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年08月" sheetId="1" r:id="rId4"/>
    <sheet state="visible" name="2022年07月" sheetId="2" r:id="rId5"/>
    <sheet state="visible" name="2022年06月" sheetId="3" r:id="rId6"/>
    <sheet state="visible" name="2022年05月" sheetId="4" r:id="rId7"/>
    <sheet state="visible" name="2022年04月" sheetId="5" r:id="rId8"/>
    <sheet state="visible" name="2022年03月" sheetId="6" r:id="rId9"/>
    <sheet state="visible" name="2022年02月" sheetId="7" r:id="rId10"/>
    <sheet state="visible" name="2022年01月" sheetId="8" r:id="rId11"/>
    <sheet state="visible" name="2021年12月" sheetId="9" r:id="rId12"/>
    <sheet state="visible" name="2021年11月" sheetId="10" r:id="rId13"/>
    <sheet state="visible" name="2021年10月" sheetId="11" r:id="rId14"/>
    <sheet state="visible" name="2021年09月" sheetId="12" r:id="rId15"/>
    <sheet state="visible" name="2021年08月" sheetId="13" r:id="rId16"/>
    <sheet state="visible" name="2021年07月" sheetId="14" r:id="rId17"/>
    <sheet state="visible" name="2021年06月" sheetId="15" r:id="rId18"/>
    <sheet state="visible" name="2021年05月" sheetId="16" r:id="rId19"/>
  </sheets>
  <definedNames/>
  <calcPr/>
</workbook>
</file>

<file path=xl/sharedStrings.xml><?xml version="1.0" encoding="utf-8"?>
<sst xmlns="http://schemas.openxmlformats.org/spreadsheetml/2006/main" count="289" uniqueCount="23">
  <si>
    <t>売り切るまでの
見込み月数</t>
  </si>
  <si>
    <t>当月目標</t>
  </si>
  <si>
    <t>目標利益</t>
  </si>
  <si>
    <t>達成率</t>
  </si>
  <si>
    <t>日付</t>
  </si>
  <si>
    <t>想定販売額</t>
  </si>
  <si>
    <t>販売原価</t>
  </si>
  <si>
    <t>想定利益</t>
  </si>
  <si>
    <t>個数</t>
  </si>
  <si>
    <t>ASIN数</t>
  </si>
  <si>
    <t>平均
購入数</t>
  </si>
  <si>
    <t>利益率</t>
  </si>
  <si>
    <t>想定ROI</t>
  </si>
  <si>
    <t>リサーチ
時間(h)</t>
  </si>
  <si>
    <t>時給単価</t>
  </si>
  <si>
    <t>仕入れ額/1h</t>
  </si>
  <si>
    <t>計</t>
  </si>
  <si>
    <t>※ 輸入の場合の販売原価：購入価格＋国際送料＋関税</t>
  </si>
  <si>
    <t>Amazon</t>
  </si>
  <si>
    <t>2日</t>
  </si>
  <si>
    <t>300万入金</t>
  </si>
  <si>
    <t>100万入金</t>
  </si>
  <si>
    <t>110万入金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</si>
</sst>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"/>
    <numFmt numFmtId="165" formatCode="m&quot;月&quot;"/>
    <numFmt numFmtId="166" formatCode="0.0"/>
    <numFmt numFmtId="167" formatCode="yyyy/mm/dd"/>
    <numFmt numFmtId="168" formatCode="m月d日"/>
  </numFmts>
  <fonts count="15">
    <font>
      <sz val="10.0"/>
      <color rgb="FF000000"/>
      <name val="Arial"/>
      <scheme val="minor"/>
    </font>
    <font>
      <color theme="1"/>
      <name val="Arial"/>
    </font>
    <font>
      <b/>
      <sz val="11.0"/>
      <color rgb="FF434343"/>
      <name val="Arial"/>
    </font>
    <font>
      <b/>
      <sz val="18.0"/>
      <color rgb="FF000000"/>
      <name val="Arial"/>
    </font>
    <font>
      <b/>
      <sz val="8.0"/>
      <color rgb="FFEA4335"/>
      <name val="Arial"/>
    </font>
    <font>
      <sz val="9.0"/>
      <color rgb="FF434343"/>
      <name val="Arial"/>
    </font>
    <font>
      <sz val="12.0"/>
      <color theme="1"/>
      <name val="Arial"/>
    </font>
    <font>
      <sz val="8.0"/>
      <color theme="1"/>
      <name val="Arial"/>
    </font>
    <font>
      <sz val="12.0"/>
      <color rgb="FF434343"/>
      <name val="Arial"/>
    </font>
    <font>
      <sz val="11.0"/>
      <color theme="1"/>
      <name val="Arial"/>
    </font>
    <font>
      <sz val="11.0"/>
      <color rgb="FF000000"/>
      <name val="Arial"/>
    </font>
    <font>
      <sz val="9.0"/>
      <color theme="1"/>
      <name val="Arial"/>
    </font>
    <font>
      <sz val="8.0"/>
      <color rgb="FF434343"/>
      <name val="Arial"/>
    </font>
    <font>
      <sz val="8.0"/>
      <color rgb="FF666666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BF0"/>
        <bgColor rgb="FFFFFBF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</fills>
  <borders count="3">
    <border/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shrinkToFit="0" vertical="bottom" wrapText="0"/>
    </xf>
    <xf borderId="0" fillId="0" fontId="1" numFmtId="3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165" xfId="0" applyAlignment="1" applyFont="1" applyNumberFormat="1">
      <alignment horizontal="left" readingOrder="0" vertical="bottom"/>
    </xf>
    <xf borderId="0" fillId="0" fontId="4" numFmtId="3" xfId="0" applyAlignment="1" applyFont="1" applyNumberFormat="1">
      <alignment shrinkToFit="0" vertical="bottom" wrapText="0"/>
    </xf>
    <xf borderId="1" fillId="2" fontId="5" numFmtId="0" xfId="0" applyAlignment="1" applyBorder="1" applyFill="1" applyFont="1">
      <alignment horizontal="center" readingOrder="0" vertical="center"/>
    </xf>
    <xf borderId="2" fillId="3" fontId="6" numFmtId="0" xfId="0" applyAlignment="1" applyBorder="1" applyFill="1" applyFont="1">
      <alignment horizontal="center" readingOrder="0" vertical="center"/>
    </xf>
    <xf borderId="0" fillId="0" fontId="7" numFmtId="0" xfId="0" applyAlignment="1" applyFont="1">
      <alignment horizontal="right" vertical="center"/>
    </xf>
    <xf borderId="0" fillId="0" fontId="8" numFmtId="3" xfId="0" applyAlignment="1" applyFont="1" applyNumberFormat="1">
      <alignment horizontal="right" vertical="center"/>
    </xf>
    <xf borderId="0" fillId="0" fontId="7" numFmtId="3" xfId="0" applyAlignment="1" applyFont="1" applyNumberFormat="1">
      <alignment horizontal="right" vertical="center"/>
    </xf>
    <xf borderId="0" fillId="3" fontId="6" numFmtId="3" xfId="0" applyAlignment="1" applyFont="1" applyNumberFormat="1">
      <alignment horizontal="right" readingOrder="0" vertical="center"/>
    </xf>
    <xf borderId="0" fillId="0" fontId="4" numFmtId="0" xfId="0" applyAlignment="1" applyFont="1">
      <alignment shrinkToFit="0" vertical="bottom" wrapText="0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right" vertical="bottom"/>
    </xf>
    <xf borderId="0" fillId="0" fontId="8" numFmtId="10" xfId="0" applyAlignment="1" applyFont="1" applyNumberFormat="1">
      <alignment horizontal="right" vertical="center"/>
    </xf>
    <xf borderId="0" fillId="0" fontId="4" numFmtId="0" xfId="0" applyAlignment="1" applyFont="1">
      <alignment shrinkToFit="0" wrapText="0"/>
    </xf>
    <xf borderId="0" fillId="0" fontId="11" numFmtId="0" xfId="0" applyAlignment="1" applyFont="1">
      <alignment vertical="bottom"/>
    </xf>
    <xf borderId="0" fillId="4" fontId="7" numFmtId="0" xfId="0" applyAlignment="1" applyFill="1" applyFont="1">
      <alignment horizontal="center" readingOrder="0" vertical="bottom"/>
    </xf>
    <xf borderId="0" fillId="4" fontId="12" numFmtId="0" xfId="0" applyAlignment="1" applyFont="1">
      <alignment horizontal="center" vertical="bottom"/>
    </xf>
    <xf borderId="0" fillId="5" fontId="12" numFmtId="0" xfId="0" applyAlignment="1" applyFill="1" applyFont="1">
      <alignment horizontal="center" vertical="bottom"/>
    </xf>
    <xf borderId="0" fillId="5" fontId="12" numFmtId="0" xfId="0" applyAlignment="1" applyFont="1">
      <alignment horizontal="center" readingOrder="0" vertical="bottom"/>
    </xf>
    <xf borderId="0" fillId="0" fontId="9" numFmtId="164" xfId="0" applyAlignment="1" applyFont="1" applyNumberFormat="1">
      <alignment horizontal="right" vertical="bottom"/>
    </xf>
    <xf borderId="0" fillId="0" fontId="9" numFmtId="3" xfId="0" applyAlignment="1" applyFont="1" applyNumberFormat="1">
      <alignment horizontal="right" vertical="bottom"/>
    </xf>
    <xf borderId="0" fillId="2" fontId="9" numFmtId="3" xfId="0" applyAlignment="1" applyFont="1" applyNumberFormat="1">
      <alignment horizontal="right" vertical="bottom"/>
    </xf>
    <xf borderId="0" fillId="2" fontId="9" numFmtId="0" xfId="0" applyAlignment="1" applyFont="1">
      <alignment horizontal="right" vertical="bottom"/>
    </xf>
    <xf borderId="0" fillId="2" fontId="1" numFmtId="166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9" numFmtId="10" xfId="0" applyAlignment="1" applyFont="1" applyNumberFormat="1">
      <alignment horizontal="right" vertical="bottom"/>
    </xf>
    <xf borderId="0" fillId="3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3" fontId="1" numFmtId="0" xfId="0" applyAlignment="1" applyFont="1">
      <alignment horizontal="right" readingOrder="0" vertical="bottom"/>
    </xf>
    <xf borderId="0" fillId="6" fontId="9" numFmtId="0" xfId="0" applyAlignment="1" applyFill="1" applyFont="1">
      <alignment horizontal="right" vertical="bottom"/>
    </xf>
    <xf borderId="0" fillId="6" fontId="9" numFmtId="3" xfId="0" applyAlignment="1" applyFont="1" applyNumberFormat="1">
      <alignment horizontal="right" vertical="bottom"/>
    </xf>
    <xf borderId="0" fillId="6" fontId="1" numFmtId="10" xfId="0" applyAlignment="1" applyFont="1" applyNumberFormat="1">
      <alignment horizontal="right" vertical="bottom"/>
    </xf>
    <xf borderId="0" fillId="0" fontId="1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3" numFmtId="167" xfId="0" applyAlignment="1" applyFont="1" applyNumberFormat="1">
      <alignment horizontal="left" readingOrder="0" vertical="bottom"/>
    </xf>
    <xf borderId="0" fillId="0" fontId="14" numFmtId="0" xfId="0" applyAlignment="1" applyFont="1">
      <alignment readingOrder="0"/>
    </xf>
    <xf borderId="0" fillId="0" fontId="14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0</xdr:row>
      <xdr:rowOff>85725</xdr:rowOff>
    </xdr:from>
    <xdr:ext cx="1133475" cy="323850"/>
    <xdr:sp>
      <xdr:nvSpPr>
        <xdr:cNvPr id="3" name="Shape 3"/>
        <xdr:cNvSpPr/>
      </xdr:nvSpPr>
      <xdr:spPr>
        <a:xfrm>
          <a:off x="1597475" y="1042250"/>
          <a:ext cx="1110300" cy="302700"/>
        </a:xfrm>
        <a:prstGeom prst="rect">
          <a:avLst/>
        </a:prstGeom>
        <a:solidFill>
          <a:srgbClr val="F3F3F3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434343"/>
              </a:solidFill>
            </a:rPr>
            <a:t>再読み込み</a:t>
          </a:r>
          <a:endParaRPr sz="1000">
            <a:solidFill>
              <a:srgbClr val="434343"/>
            </a:solidFill>
          </a:endParaRPr>
        </a:p>
      </xdr:txBody>
    </xdr:sp>
    <xdr:clientData fLocksWithSheet="0"/>
  </xdr:oneCellAnchor>
  <xdr:oneCellAnchor>
    <xdr:from>
      <xdr:col>8</xdr:col>
      <xdr:colOff>666750</xdr:colOff>
      <xdr:row>0</xdr:row>
      <xdr:rowOff>85725</xdr:rowOff>
    </xdr:from>
    <xdr:ext cx="1133475" cy="323850"/>
    <xdr:sp>
      <xdr:nvSpPr>
        <xdr:cNvPr id="4" name="Shape 4"/>
        <xdr:cNvSpPr/>
      </xdr:nvSpPr>
      <xdr:spPr>
        <a:xfrm>
          <a:off x="1597475" y="1042250"/>
          <a:ext cx="1110300" cy="302700"/>
        </a:xfrm>
        <a:prstGeom prst="rect">
          <a:avLst/>
        </a:prstGeom>
        <a:solidFill>
          <a:srgbClr val="F3F3F3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434343"/>
              </a:solidFill>
            </a:rPr>
            <a:t>シートを追加</a:t>
          </a:r>
          <a:endParaRPr sz="1000">
            <a:solidFill>
              <a:srgbClr val="434343"/>
            </a:solidFill>
          </a:endParaRPr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0</xdr:row>
      <xdr:rowOff>85725</xdr:rowOff>
    </xdr:from>
    <xdr:ext cx="1133475" cy="323850"/>
    <xdr:sp>
      <xdr:nvSpPr>
        <xdr:cNvPr id="3" name="Shape 3"/>
        <xdr:cNvSpPr/>
      </xdr:nvSpPr>
      <xdr:spPr>
        <a:xfrm>
          <a:off x="1597475" y="1042250"/>
          <a:ext cx="1110300" cy="302700"/>
        </a:xfrm>
        <a:prstGeom prst="rect">
          <a:avLst/>
        </a:prstGeom>
        <a:solidFill>
          <a:srgbClr val="F3F3F3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434343"/>
              </a:solidFill>
            </a:rPr>
            <a:t>再読み込み</a:t>
          </a:r>
          <a:endParaRPr sz="1000">
            <a:solidFill>
              <a:srgbClr val="434343"/>
            </a:solidFill>
          </a:endParaRPr>
        </a:p>
      </xdr:txBody>
    </xdr:sp>
    <xdr:clientData fLocksWithSheet="0"/>
  </xdr:oneCellAnchor>
  <xdr:oneCellAnchor>
    <xdr:from>
      <xdr:col>8</xdr:col>
      <xdr:colOff>666750</xdr:colOff>
      <xdr:row>0</xdr:row>
      <xdr:rowOff>85725</xdr:rowOff>
    </xdr:from>
    <xdr:ext cx="1133475" cy="323850"/>
    <xdr:sp>
      <xdr:nvSpPr>
        <xdr:cNvPr id="4" name="Shape 4"/>
        <xdr:cNvSpPr/>
      </xdr:nvSpPr>
      <xdr:spPr>
        <a:xfrm>
          <a:off x="1597475" y="1042250"/>
          <a:ext cx="1110300" cy="302700"/>
        </a:xfrm>
        <a:prstGeom prst="rect">
          <a:avLst/>
        </a:prstGeom>
        <a:solidFill>
          <a:srgbClr val="F3F3F3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434343"/>
              </a:solidFill>
            </a:rPr>
            <a:t>シートを追加</a:t>
          </a:r>
          <a:endParaRPr sz="1000">
            <a:solidFill>
              <a:srgbClr val="434343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0</xdr:row>
      <xdr:rowOff>85725</xdr:rowOff>
    </xdr:from>
    <xdr:ext cx="1133475" cy="323850"/>
    <xdr:sp>
      <xdr:nvSpPr>
        <xdr:cNvPr id="3" name="Shape 3"/>
        <xdr:cNvSpPr/>
      </xdr:nvSpPr>
      <xdr:spPr>
        <a:xfrm>
          <a:off x="1597475" y="1042250"/>
          <a:ext cx="1110300" cy="302700"/>
        </a:xfrm>
        <a:prstGeom prst="rect">
          <a:avLst/>
        </a:prstGeom>
        <a:solidFill>
          <a:srgbClr val="F3F3F3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434343"/>
              </a:solidFill>
            </a:rPr>
            <a:t>再読み込み</a:t>
          </a:r>
          <a:endParaRPr sz="1000">
            <a:solidFill>
              <a:srgbClr val="434343"/>
            </a:solidFill>
          </a:endParaRPr>
        </a:p>
      </xdr:txBody>
    </xdr:sp>
    <xdr:clientData fLocksWithSheet="0"/>
  </xdr:oneCellAnchor>
  <xdr:oneCellAnchor>
    <xdr:from>
      <xdr:col>8</xdr:col>
      <xdr:colOff>666750</xdr:colOff>
      <xdr:row>0</xdr:row>
      <xdr:rowOff>85725</xdr:rowOff>
    </xdr:from>
    <xdr:ext cx="1133475" cy="323850"/>
    <xdr:sp>
      <xdr:nvSpPr>
        <xdr:cNvPr id="4" name="Shape 4"/>
        <xdr:cNvSpPr/>
      </xdr:nvSpPr>
      <xdr:spPr>
        <a:xfrm>
          <a:off x="1597475" y="1042250"/>
          <a:ext cx="1110300" cy="302700"/>
        </a:xfrm>
        <a:prstGeom prst="rect">
          <a:avLst/>
        </a:prstGeom>
        <a:solidFill>
          <a:srgbClr val="F3F3F3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434343"/>
              </a:solidFill>
            </a:rPr>
            <a:t>シートを追加</a:t>
          </a:r>
          <a:endParaRPr sz="1000">
            <a:solidFill>
              <a:srgbClr val="434343"/>
            </a:solidFill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0</xdr:row>
      <xdr:rowOff>85725</xdr:rowOff>
    </xdr:from>
    <xdr:ext cx="1133475" cy="323850"/>
    <xdr:sp>
      <xdr:nvSpPr>
        <xdr:cNvPr id="3" name="Shape 3"/>
        <xdr:cNvSpPr/>
      </xdr:nvSpPr>
      <xdr:spPr>
        <a:xfrm>
          <a:off x="1597475" y="1042250"/>
          <a:ext cx="1110300" cy="302700"/>
        </a:xfrm>
        <a:prstGeom prst="rect">
          <a:avLst/>
        </a:prstGeom>
        <a:solidFill>
          <a:srgbClr val="F3F3F3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434343"/>
              </a:solidFill>
            </a:rPr>
            <a:t>再読み込み</a:t>
          </a:r>
          <a:endParaRPr sz="1000">
            <a:solidFill>
              <a:srgbClr val="434343"/>
            </a:solidFill>
          </a:endParaRPr>
        </a:p>
      </xdr:txBody>
    </xdr:sp>
    <xdr:clientData fLocksWithSheet="0"/>
  </xdr:oneCellAnchor>
  <xdr:oneCellAnchor>
    <xdr:from>
      <xdr:col>8</xdr:col>
      <xdr:colOff>666750</xdr:colOff>
      <xdr:row>0</xdr:row>
      <xdr:rowOff>85725</xdr:rowOff>
    </xdr:from>
    <xdr:ext cx="1133475" cy="323850"/>
    <xdr:sp>
      <xdr:nvSpPr>
        <xdr:cNvPr id="4" name="Shape 4"/>
        <xdr:cNvSpPr/>
      </xdr:nvSpPr>
      <xdr:spPr>
        <a:xfrm>
          <a:off x="1597475" y="1042250"/>
          <a:ext cx="1110300" cy="302700"/>
        </a:xfrm>
        <a:prstGeom prst="rect">
          <a:avLst/>
        </a:prstGeom>
        <a:solidFill>
          <a:srgbClr val="F3F3F3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434343"/>
              </a:solidFill>
            </a:rPr>
            <a:t>シートを追加</a:t>
          </a:r>
          <a:endParaRPr sz="1000">
            <a:solidFill>
              <a:srgbClr val="434343"/>
            </a:solidFill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0</xdr:row>
      <xdr:rowOff>85725</xdr:rowOff>
    </xdr:from>
    <xdr:ext cx="1133475" cy="323850"/>
    <xdr:sp>
      <xdr:nvSpPr>
        <xdr:cNvPr id="3" name="Shape 3"/>
        <xdr:cNvSpPr/>
      </xdr:nvSpPr>
      <xdr:spPr>
        <a:xfrm>
          <a:off x="1597475" y="1042250"/>
          <a:ext cx="1110300" cy="302700"/>
        </a:xfrm>
        <a:prstGeom prst="rect">
          <a:avLst/>
        </a:prstGeom>
        <a:solidFill>
          <a:srgbClr val="F3F3F3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434343"/>
              </a:solidFill>
            </a:rPr>
            <a:t>再読み込み</a:t>
          </a:r>
          <a:endParaRPr sz="1000">
            <a:solidFill>
              <a:srgbClr val="434343"/>
            </a:solidFill>
          </a:endParaRPr>
        </a:p>
      </xdr:txBody>
    </xdr:sp>
    <xdr:clientData fLocksWithSheet="0"/>
  </xdr:oneCellAnchor>
  <xdr:oneCellAnchor>
    <xdr:from>
      <xdr:col>8</xdr:col>
      <xdr:colOff>666750</xdr:colOff>
      <xdr:row>0</xdr:row>
      <xdr:rowOff>85725</xdr:rowOff>
    </xdr:from>
    <xdr:ext cx="1133475" cy="323850"/>
    <xdr:sp>
      <xdr:nvSpPr>
        <xdr:cNvPr id="4" name="Shape 4"/>
        <xdr:cNvSpPr/>
      </xdr:nvSpPr>
      <xdr:spPr>
        <a:xfrm>
          <a:off x="1597475" y="1042250"/>
          <a:ext cx="1110300" cy="302700"/>
        </a:xfrm>
        <a:prstGeom prst="rect">
          <a:avLst/>
        </a:prstGeom>
        <a:solidFill>
          <a:srgbClr val="F3F3F3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434343"/>
              </a:solidFill>
            </a:rPr>
            <a:t>シートを追加</a:t>
          </a:r>
          <a:endParaRPr sz="1000">
            <a:solidFill>
              <a:srgbClr val="434343"/>
            </a:solidFill>
          </a:endParaRPr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0</xdr:row>
      <xdr:rowOff>85725</xdr:rowOff>
    </xdr:from>
    <xdr:ext cx="1133475" cy="323850"/>
    <xdr:sp>
      <xdr:nvSpPr>
        <xdr:cNvPr id="3" name="Shape 3"/>
        <xdr:cNvSpPr/>
      </xdr:nvSpPr>
      <xdr:spPr>
        <a:xfrm>
          <a:off x="1597475" y="1042250"/>
          <a:ext cx="1110300" cy="302700"/>
        </a:xfrm>
        <a:prstGeom prst="rect">
          <a:avLst/>
        </a:prstGeom>
        <a:solidFill>
          <a:srgbClr val="F3F3F3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434343"/>
              </a:solidFill>
            </a:rPr>
            <a:t>再読み込み</a:t>
          </a:r>
          <a:endParaRPr sz="1000">
            <a:solidFill>
              <a:srgbClr val="434343"/>
            </a:solidFill>
          </a:endParaRPr>
        </a:p>
      </xdr:txBody>
    </xdr:sp>
    <xdr:clientData fLocksWithSheet="0"/>
  </xdr:oneCellAnchor>
  <xdr:oneCellAnchor>
    <xdr:from>
      <xdr:col>8</xdr:col>
      <xdr:colOff>666750</xdr:colOff>
      <xdr:row>0</xdr:row>
      <xdr:rowOff>85725</xdr:rowOff>
    </xdr:from>
    <xdr:ext cx="1133475" cy="323850"/>
    <xdr:sp>
      <xdr:nvSpPr>
        <xdr:cNvPr id="4" name="Shape 4"/>
        <xdr:cNvSpPr/>
      </xdr:nvSpPr>
      <xdr:spPr>
        <a:xfrm>
          <a:off x="1597475" y="1042250"/>
          <a:ext cx="1110300" cy="302700"/>
        </a:xfrm>
        <a:prstGeom prst="rect">
          <a:avLst/>
        </a:prstGeom>
        <a:solidFill>
          <a:srgbClr val="F3F3F3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434343"/>
              </a:solidFill>
            </a:rPr>
            <a:t>シートを追加</a:t>
          </a:r>
          <a:endParaRPr sz="1000">
            <a:solidFill>
              <a:srgbClr val="434343"/>
            </a:solidFill>
          </a:endParaRP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0</xdr:row>
      <xdr:rowOff>85725</xdr:rowOff>
    </xdr:from>
    <xdr:ext cx="1133475" cy="323850"/>
    <xdr:sp>
      <xdr:nvSpPr>
        <xdr:cNvPr id="3" name="Shape 3"/>
        <xdr:cNvSpPr/>
      </xdr:nvSpPr>
      <xdr:spPr>
        <a:xfrm>
          <a:off x="1597475" y="1042250"/>
          <a:ext cx="1110300" cy="302700"/>
        </a:xfrm>
        <a:prstGeom prst="rect">
          <a:avLst/>
        </a:prstGeom>
        <a:solidFill>
          <a:srgbClr val="F3F3F3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434343"/>
              </a:solidFill>
            </a:rPr>
            <a:t>再読み込み</a:t>
          </a:r>
          <a:endParaRPr sz="1000">
            <a:solidFill>
              <a:srgbClr val="434343"/>
            </a:solidFill>
          </a:endParaRPr>
        </a:p>
      </xdr:txBody>
    </xdr:sp>
    <xdr:clientData fLocksWithSheet="0"/>
  </xdr:oneCellAnchor>
  <xdr:oneCellAnchor>
    <xdr:from>
      <xdr:col>8</xdr:col>
      <xdr:colOff>666750</xdr:colOff>
      <xdr:row>0</xdr:row>
      <xdr:rowOff>85725</xdr:rowOff>
    </xdr:from>
    <xdr:ext cx="1133475" cy="323850"/>
    <xdr:sp>
      <xdr:nvSpPr>
        <xdr:cNvPr id="4" name="Shape 4"/>
        <xdr:cNvSpPr/>
      </xdr:nvSpPr>
      <xdr:spPr>
        <a:xfrm>
          <a:off x="1597475" y="1042250"/>
          <a:ext cx="1110300" cy="302700"/>
        </a:xfrm>
        <a:prstGeom prst="rect">
          <a:avLst/>
        </a:prstGeom>
        <a:solidFill>
          <a:srgbClr val="F3F3F3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434343"/>
              </a:solidFill>
            </a:rPr>
            <a:t>シートを追加</a:t>
          </a:r>
          <a:endParaRPr sz="1000">
            <a:solidFill>
              <a:srgbClr val="434343"/>
            </a:solidFill>
          </a:endParaRPr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0</xdr:row>
      <xdr:rowOff>85725</xdr:rowOff>
    </xdr:from>
    <xdr:ext cx="1133475" cy="323850"/>
    <xdr:sp>
      <xdr:nvSpPr>
        <xdr:cNvPr id="3" name="Shape 3"/>
        <xdr:cNvSpPr/>
      </xdr:nvSpPr>
      <xdr:spPr>
        <a:xfrm>
          <a:off x="1597475" y="1042250"/>
          <a:ext cx="1110300" cy="302700"/>
        </a:xfrm>
        <a:prstGeom prst="rect">
          <a:avLst/>
        </a:prstGeom>
        <a:solidFill>
          <a:srgbClr val="F3F3F3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434343"/>
              </a:solidFill>
            </a:rPr>
            <a:t>再読み込み</a:t>
          </a:r>
          <a:endParaRPr sz="1000">
            <a:solidFill>
              <a:srgbClr val="434343"/>
            </a:solidFill>
          </a:endParaRPr>
        </a:p>
      </xdr:txBody>
    </xdr:sp>
    <xdr:clientData fLocksWithSheet="0"/>
  </xdr:oneCellAnchor>
  <xdr:oneCellAnchor>
    <xdr:from>
      <xdr:col>8</xdr:col>
      <xdr:colOff>666750</xdr:colOff>
      <xdr:row>0</xdr:row>
      <xdr:rowOff>85725</xdr:rowOff>
    </xdr:from>
    <xdr:ext cx="1133475" cy="323850"/>
    <xdr:sp>
      <xdr:nvSpPr>
        <xdr:cNvPr id="4" name="Shape 4"/>
        <xdr:cNvSpPr/>
      </xdr:nvSpPr>
      <xdr:spPr>
        <a:xfrm>
          <a:off x="1597475" y="1042250"/>
          <a:ext cx="1110300" cy="302700"/>
        </a:xfrm>
        <a:prstGeom prst="rect">
          <a:avLst/>
        </a:prstGeom>
        <a:solidFill>
          <a:srgbClr val="F3F3F3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434343"/>
              </a:solidFill>
            </a:rPr>
            <a:t>シートを追加</a:t>
          </a:r>
          <a:endParaRPr sz="1000">
            <a:solidFill>
              <a:srgbClr val="434343"/>
            </a:solidFill>
          </a:endParaRPr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.25"/>
    <col customWidth="1" min="2" max="2" width="7.38"/>
    <col customWidth="1" min="3" max="5" width="11.38"/>
    <col customWidth="1" min="6" max="8" width="5.75"/>
    <col customWidth="1" min="9" max="11" width="8.88"/>
    <col customWidth="1" min="12" max="13" width="11.38"/>
    <col customWidth="1" min="14" max="14" width="2.38"/>
  </cols>
  <sheetData>
    <row r="1" ht="7.5" customHeight="1">
      <c r="A1" s="1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</row>
    <row r="2">
      <c r="A2" s="1"/>
      <c r="B2" s="5">
        <v>44774.0</v>
      </c>
      <c r="C2" s="6"/>
      <c r="D2" s="3"/>
      <c r="E2" s="4"/>
      <c r="F2" s="4"/>
      <c r="G2" s="4"/>
      <c r="H2" s="4"/>
      <c r="I2" s="4"/>
      <c r="J2" s="4"/>
      <c r="K2" s="4"/>
      <c r="L2" s="7" t="s">
        <v>0</v>
      </c>
      <c r="M2" s="8">
        <v>1.5</v>
      </c>
      <c r="N2" s="4"/>
    </row>
    <row r="3">
      <c r="A3" s="4"/>
      <c r="B3" s="9" t="s">
        <v>1</v>
      </c>
      <c r="C3" s="10">
        <f>iferror((E3*M2)/I37,"")</f>
        <v>10206706.25</v>
      </c>
      <c r="D3" s="11" t="s">
        <v>2</v>
      </c>
      <c r="E3" s="12">
        <v>2000000.0</v>
      </c>
      <c r="F3" s="13"/>
      <c r="G3" s="4"/>
      <c r="H3" s="4"/>
      <c r="I3" s="4"/>
      <c r="J3" s="4"/>
      <c r="K3" s="4"/>
      <c r="L3" s="14"/>
      <c r="M3" s="15"/>
      <c r="N3" s="13"/>
    </row>
    <row r="4">
      <c r="A4" s="4"/>
      <c r="B4" s="9" t="s">
        <v>3</v>
      </c>
      <c r="C4" s="16">
        <f>iferror(C37/C3,"")</f>
        <v>1.001096548</v>
      </c>
      <c r="D4" s="9"/>
      <c r="E4" s="16"/>
      <c r="F4" s="4"/>
      <c r="G4" s="4"/>
      <c r="H4" s="4"/>
      <c r="I4" s="4"/>
      <c r="J4" s="4"/>
      <c r="K4" s="17"/>
      <c r="L4" s="4"/>
      <c r="M4" s="4"/>
      <c r="N4" s="4"/>
    </row>
    <row r="5" ht="28.5" customHeight="1">
      <c r="A5" s="18"/>
      <c r="B5" s="19" t="s">
        <v>4</v>
      </c>
      <c r="C5" s="20" t="s">
        <v>5</v>
      </c>
      <c r="D5" s="20" t="s">
        <v>6</v>
      </c>
      <c r="E5" s="20" t="s">
        <v>7</v>
      </c>
      <c r="F5" s="21" t="s">
        <v>8</v>
      </c>
      <c r="G5" s="22" t="s">
        <v>9</v>
      </c>
      <c r="H5" s="22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18"/>
    </row>
    <row r="6">
      <c r="A6" s="1"/>
      <c r="B6" s="23">
        <f>B2</f>
        <v>44774</v>
      </c>
      <c r="C6" s="24">
        <f>IFERROR(__xludf.DUMMYFUNCTION("SUMPRODUCT((IMPORTRANGE(""17XjIPGwafStTRf_8bPPaoi2EFjHVy10_rRJ0uvy6YcU"",""M:M"")=B6)*1, IMPORTRANGE(""17XjIPGwafStTRf_8bPPaoi2EFjHVy10_rRJ0uvy6YcU"",""X:X""), IMPORTRANGE(""17XjIPGwafStTRf_8bPPaoi2EFjHVy10_rRJ0uvy6YcU"",""AK:AK"")) - SUMPRODUCT((IMPORTRA"&amp;"NGE(""17XjIPGwafStTRf_8bPPaoi2EFjHVy10_rRJ0uvy6YcU"",""M:M"")=B6)*1, IMPORTRANGE(""17XjIPGwafStTRf_8bPPaoi2EFjHVy10_rRJ0uvy6YcU"",""X:X""), IMPORTRANGE(""17XjIPGwafStTRf_8bPPaoi2EFjHVy10_rRJ0uvy6YcU"",""AL:AL""))"),152961.0)</f>
        <v>152961</v>
      </c>
      <c r="D6" s="24">
        <f>IFERROR(__xludf.DUMMYFUNCTION("SUMPRODUCT((IMPORTRANGE(""17XjIPGwafStTRf_8bPPaoi2EFjHVy10_rRJ0uvy6YcU"",""M:M"")=B6)*1, IMPORTRANGE(""17XjIPGwafStTRf_8bPPaoi2EFjHVy10_rRJ0uvy6YcU"",""X:X""), IMPORTRANGE(""17XjIPGwafStTRf_8bPPaoi2EFjHVy10_rRJ0uvy6YcU"",""AA:AA"")) + SUMPRODUCT((IMPORTRA"&amp;"NGE(""17XjIPGwafStTRf_8bPPaoi2EFjHVy10_rRJ0uvy6YcU"",""M:M"")=B6)*1, IMPORTRANGE(""17XjIPGwafStTRf_8bPPaoi2EFjHVy10_rRJ0uvy6YcU"",""X:X""), IMPORTRANGE(""17XjIPGwafStTRf_8bPPaoi2EFjHVy10_rRJ0uvy6YcU"",""AE:AE"")) + SUMPRODUCT((IMPORTRANGE(""17XjIPGwafStTR"&amp;"f_8bPPaoi2EFjHVy10_rRJ0uvy6YcU"",""M:M"")=B6)*1, IMPORTRANGE(""17XjIPGwafStTRf_8bPPaoi2EFjHVy10_rRJ0uvy6YcU"",""X:X""), IMPORTRANGE(""17XjIPGwafStTRf_8bPPaoi2EFjHVy10_rRJ0uvy6YcU"",""AF:AF""))"),93733.95300243203)</f>
        <v>93733.953</v>
      </c>
      <c r="E6" s="24">
        <f>IFERROR(__xludf.DUMMYFUNCTION("SUMPRODUCT((IMPORTRANGE(""17XjIPGwafStTRf_8bPPaoi2EFjHVy10_rRJ0uvy6YcU"",""M:M"")=B6)*1, IMPORTRANGE(""17XjIPGwafStTRf_8bPPaoi2EFjHVy10_rRJ0uvy6YcU"",""X:X""), IMPORTRANGE(""17XjIPGwafStTRf_8bPPaoi2EFjHVy10_rRJ0uvy6YcU"",""AO:AO""))"),34556.54699756796)</f>
        <v>34556.547</v>
      </c>
      <c r="F6" s="25">
        <f>IFERROR(__xludf.DUMMYFUNCTION("SUMPRODUCT((IMPORTRANGE(""17XjIPGwafStTRf_8bPPaoi2EFjHVy10_rRJ0uvy6YcU"",""M:M"")=B6)*1, IMPORTRANGE(""17XjIPGwafStTRf_8bPPaoi2EFjHVy10_rRJ0uvy6YcU"",""X:X""))"),25.0)</f>
        <v>25</v>
      </c>
      <c r="G6" s="26">
        <f>IFERROR(__xludf.DUMMYFUNCTION("COUNTIF(IMPORTRANGE(""17XjIPGwafStTRf_8bPPaoi2EFjHVy10_rRJ0uvy6YcU"",""M:M""), B6)"),16.0)</f>
        <v>16</v>
      </c>
      <c r="H6" s="27">
        <f t="shared" ref="H6:H36" si="1">IF(F6=0,"",F6/G6)</f>
        <v>1.5625</v>
      </c>
      <c r="I6" s="28">
        <f t="shared" ref="I6:I37" si="2">IF(C6=0,"",E6/C6)</f>
        <v>0.2259173711</v>
      </c>
      <c r="J6" s="29">
        <f t="shared" ref="J6:J37" si="3">IF(D6=0,"",E6/D6)</f>
        <v>0.3686662718</v>
      </c>
      <c r="K6" s="30"/>
      <c r="L6" s="31" t="str">
        <f t="shared" ref="L6:L35" si="4">IF(K6="","",E6/K6)</f>
        <v/>
      </c>
      <c r="M6" s="31" t="str">
        <f t="shared" ref="M6:M35" si="5">IF(K6="","",D6/K6)</f>
        <v/>
      </c>
      <c r="N6" s="4"/>
    </row>
    <row r="7">
      <c r="A7" s="1"/>
      <c r="B7" s="23">
        <f t="shared" ref="B7:B33" si="6">B6+1</f>
        <v>44775</v>
      </c>
      <c r="C7" s="24">
        <f>IFERROR(__xludf.DUMMYFUNCTION("SUMPRODUCT((IMPORTRANGE(""17XjIPGwafStTRf_8bPPaoi2EFjHVy10_rRJ0uvy6YcU"",""M:M"")=B7)*1, IMPORTRANGE(""17XjIPGwafStTRf_8bPPaoi2EFjHVy10_rRJ0uvy6YcU"",""X:X""), IMPORTRANGE(""17XjIPGwafStTRf_8bPPaoi2EFjHVy10_rRJ0uvy6YcU"",""AK:AK"")) - SUMPRODUCT((IMPORTRA"&amp;"NGE(""17XjIPGwafStTRf_8bPPaoi2EFjHVy10_rRJ0uvy6YcU"",""M:M"")=B7)*1, IMPORTRANGE(""17XjIPGwafStTRf_8bPPaoi2EFjHVy10_rRJ0uvy6YcU"",""X:X""), IMPORTRANGE(""17XjIPGwafStTRf_8bPPaoi2EFjHVy10_rRJ0uvy6YcU"",""AL:AL""))"),1561284.0)</f>
        <v>1561284</v>
      </c>
      <c r="D7" s="24">
        <f>IFERROR(__xludf.DUMMYFUNCTION("SUMPRODUCT((IMPORTRANGE(""17XjIPGwafStTRf_8bPPaoi2EFjHVy10_rRJ0uvy6YcU"",""M:M"")=B7)*1, IMPORTRANGE(""17XjIPGwafStTRf_8bPPaoi2EFjHVy10_rRJ0uvy6YcU"",""X:X""), IMPORTRANGE(""17XjIPGwafStTRf_8bPPaoi2EFjHVy10_rRJ0uvy6YcU"",""AA:AA"")) + SUMPRODUCT((IMPORTRA"&amp;"NGE(""17XjIPGwafStTRf_8bPPaoi2EFjHVy10_rRJ0uvy6YcU"",""M:M"")=B7)*1, IMPORTRANGE(""17XjIPGwafStTRf_8bPPaoi2EFjHVy10_rRJ0uvy6YcU"",""X:X""), IMPORTRANGE(""17XjIPGwafStTRf_8bPPaoi2EFjHVy10_rRJ0uvy6YcU"",""AE:AE"")) + SUMPRODUCT((IMPORTRANGE(""17XjIPGwafStTR"&amp;"f_8bPPaoi2EFjHVy10_rRJ0uvy6YcU"",""M:M"")=B7)*1, IMPORTRANGE(""17XjIPGwafStTRf_8bPPaoi2EFjHVy10_rRJ0uvy6YcU"",""X:X""), IMPORTRANGE(""17XjIPGwafStTRf_8bPPaoi2EFjHVy10_rRJ0uvy6YcU"",""AF:AF""))"),551829.1768628531)</f>
        <v>551829.1769</v>
      </c>
      <c r="E7" s="24">
        <f>IFERROR(__xludf.DUMMYFUNCTION("SUMPRODUCT((IMPORTRANGE(""17XjIPGwafStTRf_8bPPaoi2EFjHVy10_rRJ0uvy6YcU"",""M:M"")=B7)*1, IMPORTRANGE(""17XjIPGwafStTRf_8bPPaoi2EFjHVy10_rRJ0uvy6YcU"",""X:X""), IMPORTRANGE(""17XjIPGwafStTRf_8bPPaoi2EFjHVy10_rRJ0uvy6YcU"",""AO:AO""))"),661380.8231371469)</f>
        <v>661380.8231</v>
      </c>
      <c r="F7" s="25">
        <f>IFERROR(__xludf.DUMMYFUNCTION("SUMPRODUCT((IMPORTRANGE(""17XjIPGwafStTRf_8bPPaoi2EFjHVy10_rRJ0uvy6YcU"",""M:M"")=B7)*1, IMPORTRANGE(""17XjIPGwafStTRf_8bPPaoi2EFjHVy10_rRJ0uvy6YcU"",""X:X""))"),570.0)</f>
        <v>570</v>
      </c>
      <c r="G7" s="26">
        <f>IFERROR(__xludf.DUMMYFUNCTION("COUNTIF(IMPORTRANGE(""17XjIPGwafStTRf_8bPPaoi2EFjHVy10_rRJ0uvy6YcU"",""M:M""), B7)"),32.0)</f>
        <v>32</v>
      </c>
      <c r="H7" s="27">
        <f t="shared" si="1"/>
        <v>17.8125</v>
      </c>
      <c r="I7" s="28">
        <f t="shared" si="2"/>
        <v>0.4236133997</v>
      </c>
      <c r="J7" s="29">
        <f t="shared" si="3"/>
        <v>1.198524563</v>
      </c>
      <c r="K7" s="30"/>
      <c r="L7" s="31" t="str">
        <f t="shared" si="4"/>
        <v/>
      </c>
      <c r="M7" s="31" t="str">
        <f t="shared" si="5"/>
        <v/>
      </c>
      <c r="N7" s="4"/>
    </row>
    <row r="8">
      <c r="A8" s="1"/>
      <c r="B8" s="23">
        <f t="shared" si="6"/>
        <v>44776</v>
      </c>
      <c r="C8" s="24">
        <f>IFERROR(__xludf.DUMMYFUNCTION("SUMPRODUCT((IMPORTRANGE(""17XjIPGwafStTRf_8bPPaoi2EFjHVy10_rRJ0uvy6YcU"",""M:M"")=B8)*1, IMPORTRANGE(""17XjIPGwafStTRf_8bPPaoi2EFjHVy10_rRJ0uvy6YcU"",""X:X""), IMPORTRANGE(""17XjIPGwafStTRf_8bPPaoi2EFjHVy10_rRJ0uvy6YcU"",""AK:AK"")) - SUMPRODUCT((IMPORTRA"&amp;"NGE(""17XjIPGwafStTRf_8bPPaoi2EFjHVy10_rRJ0uvy6YcU"",""M:M"")=B8)*1, IMPORTRANGE(""17XjIPGwafStTRf_8bPPaoi2EFjHVy10_rRJ0uvy6YcU"",""X:X""), IMPORTRANGE(""17XjIPGwafStTRf_8bPPaoi2EFjHVy10_rRJ0uvy6YcU"",""AL:AL""))"),589629.0)</f>
        <v>589629</v>
      </c>
      <c r="D8" s="24">
        <f>IFERROR(__xludf.DUMMYFUNCTION("SUMPRODUCT((IMPORTRANGE(""17XjIPGwafStTRf_8bPPaoi2EFjHVy10_rRJ0uvy6YcU"",""M:M"")=B8)*1, IMPORTRANGE(""17XjIPGwafStTRf_8bPPaoi2EFjHVy10_rRJ0uvy6YcU"",""X:X""), IMPORTRANGE(""17XjIPGwafStTRf_8bPPaoi2EFjHVy10_rRJ0uvy6YcU"",""AA:AA"")) + SUMPRODUCT((IMPORTRA"&amp;"NGE(""17XjIPGwafStTRf_8bPPaoi2EFjHVy10_rRJ0uvy6YcU"",""M:M"")=B8)*1, IMPORTRANGE(""17XjIPGwafStTRf_8bPPaoi2EFjHVy10_rRJ0uvy6YcU"",""X:X""), IMPORTRANGE(""17XjIPGwafStTRf_8bPPaoi2EFjHVy10_rRJ0uvy6YcU"",""AE:AE"")) + SUMPRODUCT((IMPORTRANGE(""17XjIPGwafStTR"&amp;"f_8bPPaoi2EFjHVy10_rRJ0uvy6YcU"",""M:M"")=B8)*1, IMPORTRANGE(""17XjIPGwafStTRf_8bPPaoi2EFjHVy10_rRJ0uvy6YcU"",""X:X""), IMPORTRANGE(""17XjIPGwafStTRf_8bPPaoi2EFjHVy10_rRJ0uvy6YcU"",""AF:AF""))"),296657.20175959787)</f>
        <v>296657.2018</v>
      </c>
      <c r="E8" s="24">
        <f>IFERROR(__xludf.DUMMYFUNCTION("SUMPRODUCT((IMPORTRANGE(""17XjIPGwafStTRf_8bPPaoi2EFjHVy10_rRJ0uvy6YcU"",""M:M"")=B8)*1, IMPORTRANGE(""17XjIPGwafStTRf_8bPPaoi2EFjHVy10_rRJ0uvy6YcU"",""X:X""), IMPORTRANGE(""17XjIPGwafStTRf_8bPPaoi2EFjHVy10_rRJ0uvy6YcU"",""AO:AO""))"),180615.79824040207)</f>
        <v>180615.7982</v>
      </c>
      <c r="F8" s="25">
        <f>IFERROR(__xludf.DUMMYFUNCTION("SUMPRODUCT((IMPORTRANGE(""17XjIPGwafStTRf_8bPPaoi2EFjHVy10_rRJ0uvy6YcU"",""M:M"")=B8)*1, IMPORTRANGE(""17XjIPGwafStTRf_8bPPaoi2EFjHVy10_rRJ0uvy6YcU"",""X:X""))"),107.0)</f>
        <v>107</v>
      </c>
      <c r="G8" s="26">
        <f>IFERROR(__xludf.DUMMYFUNCTION("COUNTIF(IMPORTRANGE(""17XjIPGwafStTRf_8bPPaoi2EFjHVy10_rRJ0uvy6YcU"",""M:M""), B8)"),25.0)</f>
        <v>25</v>
      </c>
      <c r="H8" s="27">
        <f t="shared" si="1"/>
        <v>4.28</v>
      </c>
      <c r="I8" s="28">
        <f t="shared" si="2"/>
        <v>0.3063210904</v>
      </c>
      <c r="J8" s="29">
        <f t="shared" si="3"/>
        <v>0.6088367219</v>
      </c>
      <c r="K8" s="30"/>
      <c r="L8" s="31" t="str">
        <f t="shared" si="4"/>
        <v/>
      </c>
      <c r="M8" s="31" t="str">
        <f t="shared" si="5"/>
        <v/>
      </c>
      <c r="N8" s="4"/>
    </row>
    <row r="9">
      <c r="A9" s="1"/>
      <c r="B9" s="23">
        <f t="shared" si="6"/>
        <v>44777</v>
      </c>
      <c r="C9" s="24">
        <f>IFERROR(__xludf.DUMMYFUNCTION("SUMPRODUCT((IMPORTRANGE(""17XjIPGwafStTRf_8bPPaoi2EFjHVy10_rRJ0uvy6YcU"",""M:M"")=B9)*1, IMPORTRANGE(""17XjIPGwafStTRf_8bPPaoi2EFjHVy10_rRJ0uvy6YcU"",""X:X""), IMPORTRANGE(""17XjIPGwafStTRf_8bPPaoi2EFjHVy10_rRJ0uvy6YcU"",""AK:AK"")) - SUMPRODUCT((IMPORTRA"&amp;"NGE(""17XjIPGwafStTRf_8bPPaoi2EFjHVy10_rRJ0uvy6YcU"",""M:M"")=B9)*1, IMPORTRANGE(""17XjIPGwafStTRf_8bPPaoi2EFjHVy10_rRJ0uvy6YcU"",""X:X""), IMPORTRANGE(""17XjIPGwafStTRf_8bPPaoi2EFjHVy10_rRJ0uvy6YcU"",""AL:AL""))"),243136.0)</f>
        <v>243136</v>
      </c>
      <c r="D9" s="24">
        <f>IFERROR(__xludf.DUMMYFUNCTION("SUMPRODUCT((IMPORTRANGE(""17XjIPGwafStTRf_8bPPaoi2EFjHVy10_rRJ0uvy6YcU"",""M:M"")=B9)*1, IMPORTRANGE(""17XjIPGwafStTRf_8bPPaoi2EFjHVy10_rRJ0uvy6YcU"",""X:X""), IMPORTRANGE(""17XjIPGwafStTRf_8bPPaoi2EFjHVy10_rRJ0uvy6YcU"",""AA:AA"")) + SUMPRODUCT((IMPORTRA"&amp;"NGE(""17XjIPGwafStTRf_8bPPaoi2EFjHVy10_rRJ0uvy6YcU"",""M:M"")=B9)*1, IMPORTRANGE(""17XjIPGwafStTRf_8bPPaoi2EFjHVy10_rRJ0uvy6YcU"",""X:X""), IMPORTRANGE(""17XjIPGwafStTRf_8bPPaoi2EFjHVy10_rRJ0uvy6YcU"",""AE:AE"")) + SUMPRODUCT((IMPORTRANGE(""17XjIPGwafStTR"&amp;"f_8bPPaoi2EFjHVy10_rRJ0uvy6YcU"",""M:M"")=B9)*1, IMPORTRANGE(""17XjIPGwafStTRf_8bPPaoi2EFjHVy10_rRJ0uvy6YcU"",""X:X""), IMPORTRANGE(""17XjIPGwafStTRf_8bPPaoi2EFjHVy10_rRJ0uvy6YcU"",""AF:AF""))"),97436.01711655363)</f>
        <v>97436.01712</v>
      </c>
      <c r="E9" s="24">
        <f>IFERROR(__xludf.DUMMYFUNCTION("SUMPRODUCT((IMPORTRANGE(""17XjIPGwafStTRf_8bPPaoi2EFjHVy10_rRJ0uvy6YcU"",""M:M"")=B9)*1, IMPORTRANGE(""17XjIPGwafStTRf_8bPPaoi2EFjHVy10_rRJ0uvy6YcU"",""X:X""), IMPORTRANGE(""17XjIPGwafStTRf_8bPPaoi2EFjHVy10_rRJ0uvy6YcU"",""AO:AO""))"),92454.97780362054)</f>
        <v>92454.9778</v>
      </c>
      <c r="F9" s="25">
        <f>IFERROR(__xludf.DUMMYFUNCTION("SUMPRODUCT((IMPORTRANGE(""17XjIPGwafStTRf_8bPPaoi2EFjHVy10_rRJ0uvy6YcU"",""M:M"")=B9)*1, IMPORTRANGE(""17XjIPGwafStTRf_8bPPaoi2EFjHVy10_rRJ0uvy6YcU"",""X:X""))"),66.0)</f>
        <v>66</v>
      </c>
      <c r="G9" s="26">
        <f>IFERROR(__xludf.DUMMYFUNCTION("COUNTIF(IMPORTRANGE(""17XjIPGwafStTRf_8bPPaoi2EFjHVy10_rRJ0uvy6YcU"",""M:M""), B9)"),10.0)</f>
        <v>10</v>
      </c>
      <c r="H9" s="27">
        <f t="shared" si="1"/>
        <v>6.6</v>
      </c>
      <c r="I9" s="28">
        <f t="shared" si="2"/>
        <v>0.3802603391</v>
      </c>
      <c r="J9" s="29">
        <f t="shared" si="3"/>
        <v>0.9488788698</v>
      </c>
      <c r="K9" s="32"/>
      <c r="L9" s="31" t="str">
        <f t="shared" si="4"/>
        <v/>
      </c>
      <c r="M9" s="31" t="str">
        <f t="shared" si="5"/>
        <v/>
      </c>
      <c r="N9" s="4"/>
    </row>
    <row r="10">
      <c r="A10" s="1"/>
      <c r="B10" s="23">
        <f t="shared" si="6"/>
        <v>44778</v>
      </c>
      <c r="C10" s="24">
        <f>IFERROR(__xludf.DUMMYFUNCTION("SUMPRODUCT((IMPORTRANGE(""17XjIPGwafStTRf_8bPPaoi2EFjHVy10_rRJ0uvy6YcU"",""M:M"")=B10)*1, IMPORTRANGE(""17XjIPGwafStTRf_8bPPaoi2EFjHVy10_rRJ0uvy6YcU"",""X:X""), IMPORTRANGE(""17XjIPGwafStTRf_8bPPaoi2EFjHVy10_rRJ0uvy6YcU"",""AK:AK"")) - SUMPRODUCT((IMPORTR"&amp;"ANGE(""17XjIPGwafStTRf_8bPPaoi2EFjHVy10_rRJ0uvy6YcU"",""M:M"")=B10)*1, IMPORTRANGE(""17XjIPGwafStTRf_8bPPaoi2EFjHVy10_rRJ0uvy6YcU"",""X:X""), IMPORTRANGE(""17XjIPGwafStTRf_8bPPaoi2EFjHVy10_rRJ0uvy6YcU"",""AL:AL""))"),386219.0)</f>
        <v>386219</v>
      </c>
      <c r="D10" s="24">
        <f>IFERROR(__xludf.DUMMYFUNCTION("SUMPRODUCT((IMPORTRANGE(""17XjIPGwafStTRf_8bPPaoi2EFjHVy10_rRJ0uvy6YcU"",""M:M"")=B10)*1, IMPORTRANGE(""17XjIPGwafStTRf_8bPPaoi2EFjHVy10_rRJ0uvy6YcU"",""X:X""), IMPORTRANGE(""17XjIPGwafStTRf_8bPPaoi2EFjHVy10_rRJ0uvy6YcU"",""AA:AA"")) + SUMPRODUCT((IMPORTR"&amp;"ANGE(""17XjIPGwafStTRf_8bPPaoi2EFjHVy10_rRJ0uvy6YcU"",""M:M"")=B10)*1, IMPORTRANGE(""17XjIPGwafStTRf_8bPPaoi2EFjHVy10_rRJ0uvy6YcU"",""X:X""), IMPORTRANGE(""17XjIPGwafStTRf_8bPPaoi2EFjHVy10_rRJ0uvy6YcU"",""AE:AE"")) + SUMPRODUCT((IMPORTRANGE(""17XjIPGwafSt"&amp;"TRf_8bPPaoi2EFjHVy10_rRJ0uvy6YcU"",""M:M"")=B10)*1, IMPORTRANGE(""17XjIPGwafStTRf_8bPPaoi2EFjHVy10_rRJ0uvy6YcU"",""X:X""), IMPORTRANGE(""17XjIPGwafStTRf_8bPPaoi2EFjHVy10_rRJ0uvy6YcU"",""AF:AF""))"),217201.80676557147)</f>
        <v>217201.8068</v>
      </c>
      <c r="E10" s="24">
        <f>IFERROR(__xludf.DUMMYFUNCTION("SUMPRODUCT((IMPORTRANGE(""17XjIPGwafStTRf_8bPPaoi2EFjHVy10_rRJ0uvy6YcU"",""M:M"")=B10)*1, IMPORTRANGE(""17XjIPGwafStTRf_8bPPaoi2EFjHVy10_rRJ0uvy6YcU"",""X:X""), IMPORTRANGE(""17XjIPGwafStTRf_8bPPaoi2EFjHVy10_rRJ0uvy6YcU"",""AO:AO""))"),105939.99323442852)</f>
        <v>105939.9932</v>
      </c>
      <c r="F10" s="25">
        <f>IFERROR(__xludf.DUMMYFUNCTION("SUMPRODUCT((IMPORTRANGE(""17XjIPGwafStTRf_8bPPaoi2EFjHVy10_rRJ0uvy6YcU"",""M:M"")=B10)*1, IMPORTRANGE(""17XjIPGwafStTRf_8bPPaoi2EFjHVy10_rRJ0uvy6YcU"",""X:X""))"),51.0)</f>
        <v>51</v>
      </c>
      <c r="G10" s="26">
        <f>IFERROR(__xludf.DUMMYFUNCTION("COUNTIF(IMPORTRANGE(""17XjIPGwafStTRf_8bPPaoi2EFjHVy10_rRJ0uvy6YcU"",""M:M""), B10)"),24.0)</f>
        <v>24</v>
      </c>
      <c r="H10" s="27">
        <f t="shared" si="1"/>
        <v>2.125</v>
      </c>
      <c r="I10" s="28">
        <f t="shared" si="2"/>
        <v>0.2743003147</v>
      </c>
      <c r="J10" s="29">
        <f t="shared" si="3"/>
        <v>0.4877491344</v>
      </c>
      <c r="K10" s="32"/>
      <c r="L10" s="31" t="str">
        <f t="shared" si="4"/>
        <v/>
      </c>
      <c r="M10" s="31" t="str">
        <f t="shared" si="5"/>
        <v/>
      </c>
      <c r="N10" s="4"/>
    </row>
    <row r="11">
      <c r="A11" s="1"/>
      <c r="B11" s="23">
        <f t="shared" si="6"/>
        <v>44779</v>
      </c>
      <c r="C11" s="24">
        <f>IFERROR(__xludf.DUMMYFUNCTION("SUMPRODUCT((IMPORTRANGE(""17XjIPGwafStTRf_8bPPaoi2EFjHVy10_rRJ0uvy6YcU"",""M:M"")=B11)*1, IMPORTRANGE(""17XjIPGwafStTRf_8bPPaoi2EFjHVy10_rRJ0uvy6YcU"",""X:X""), IMPORTRANGE(""17XjIPGwafStTRf_8bPPaoi2EFjHVy10_rRJ0uvy6YcU"",""AK:AK"")) - SUMPRODUCT((IMPORTR"&amp;"ANGE(""17XjIPGwafStTRf_8bPPaoi2EFjHVy10_rRJ0uvy6YcU"",""M:M"")=B11)*1, IMPORTRANGE(""17XjIPGwafStTRf_8bPPaoi2EFjHVy10_rRJ0uvy6YcU"",""X:X""), IMPORTRANGE(""17XjIPGwafStTRf_8bPPaoi2EFjHVy10_rRJ0uvy6YcU"",""AL:AL""))"),256123.0)</f>
        <v>256123</v>
      </c>
      <c r="D11" s="24">
        <f>IFERROR(__xludf.DUMMYFUNCTION("SUMPRODUCT((IMPORTRANGE(""17XjIPGwafStTRf_8bPPaoi2EFjHVy10_rRJ0uvy6YcU"",""M:M"")=B11)*1, IMPORTRANGE(""17XjIPGwafStTRf_8bPPaoi2EFjHVy10_rRJ0uvy6YcU"",""X:X""), IMPORTRANGE(""17XjIPGwafStTRf_8bPPaoi2EFjHVy10_rRJ0uvy6YcU"",""AA:AA"")) + SUMPRODUCT((IMPORTR"&amp;"ANGE(""17XjIPGwafStTRf_8bPPaoi2EFjHVy10_rRJ0uvy6YcU"",""M:M"")=B11)*1, IMPORTRANGE(""17XjIPGwafStTRf_8bPPaoi2EFjHVy10_rRJ0uvy6YcU"",""X:X""), IMPORTRANGE(""17XjIPGwafStTRf_8bPPaoi2EFjHVy10_rRJ0uvy6YcU"",""AE:AE"")) + SUMPRODUCT((IMPORTRANGE(""17XjIPGwafSt"&amp;"TRf_8bPPaoi2EFjHVy10_rRJ0uvy6YcU"",""M:M"")=B11)*1, IMPORTRANGE(""17XjIPGwafStTRf_8bPPaoi2EFjHVy10_rRJ0uvy6YcU"",""X:X""), IMPORTRANGE(""17XjIPGwafStTRf_8bPPaoi2EFjHVy10_rRJ0uvy6YcU"",""AF:AF""))"),153883.6638619707)</f>
        <v>153883.6639</v>
      </c>
      <c r="E11" s="24">
        <f>IFERROR(__xludf.DUMMYFUNCTION("SUMPRODUCT((IMPORTRANGE(""17XjIPGwafStTRf_8bPPaoi2EFjHVy10_rRJ0uvy6YcU"",""M:M"")=B11)*1, IMPORTRANGE(""17XjIPGwafStTRf_8bPPaoi2EFjHVy10_rRJ0uvy6YcU"",""X:X""), IMPORTRANGE(""17XjIPGwafStTRf_8bPPaoi2EFjHVy10_rRJ0uvy6YcU"",""AO:AO""))"),63344.012138029284)</f>
        <v>63344.01214</v>
      </c>
      <c r="F11" s="25">
        <f>IFERROR(__xludf.DUMMYFUNCTION("SUMPRODUCT((IMPORTRANGE(""17XjIPGwafStTRf_8bPPaoi2EFjHVy10_rRJ0uvy6YcU"",""M:M"")=B11)*1, IMPORTRANGE(""17XjIPGwafStTRf_8bPPaoi2EFjHVy10_rRJ0uvy6YcU"",""X:X""))"),32.0)</f>
        <v>32</v>
      </c>
      <c r="G11" s="26">
        <f>IFERROR(__xludf.DUMMYFUNCTION("COUNTIF(IMPORTRANGE(""17XjIPGwafStTRf_8bPPaoi2EFjHVy10_rRJ0uvy6YcU"",""M:M""), B11)"),19.0)</f>
        <v>19</v>
      </c>
      <c r="H11" s="27">
        <f t="shared" si="1"/>
        <v>1.684210526</v>
      </c>
      <c r="I11" s="28">
        <f t="shared" si="2"/>
        <v>0.2473187185</v>
      </c>
      <c r="J11" s="29">
        <f t="shared" si="3"/>
        <v>0.4116357159</v>
      </c>
      <c r="K11" s="30"/>
      <c r="L11" s="31" t="str">
        <f t="shared" si="4"/>
        <v/>
      </c>
      <c r="M11" s="31" t="str">
        <f t="shared" si="5"/>
        <v/>
      </c>
      <c r="N11" s="4"/>
    </row>
    <row r="12">
      <c r="A12" s="1"/>
      <c r="B12" s="23">
        <f t="shared" si="6"/>
        <v>44780</v>
      </c>
      <c r="C12" s="24">
        <f>IFERROR(__xludf.DUMMYFUNCTION("SUMPRODUCT((IMPORTRANGE(""17XjIPGwafStTRf_8bPPaoi2EFjHVy10_rRJ0uvy6YcU"",""M:M"")=B12)*1, IMPORTRANGE(""17XjIPGwafStTRf_8bPPaoi2EFjHVy10_rRJ0uvy6YcU"",""X:X""), IMPORTRANGE(""17XjIPGwafStTRf_8bPPaoi2EFjHVy10_rRJ0uvy6YcU"",""AK:AK"")) - SUMPRODUCT((IMPORTR"&amp;"ANGE(""17XjIPGwafStTRf_8bPPaoi2EFjHVy10_rRJ0uvy6YcU"",""M:M"")=B12)*1, IMPORTRANGE(""17XjIPGwafStTRf_8bPPaoi2EFjHVy10_rRJ0uvy6YcU"",""X:X""), IMPORTRANGE(""17XjIPGwafStTRf_8bPPaoi2EFjHVy10_rRJ0uvy6YcU"",""AL:AL""))"),272041.0)</f>
        <v>272041</v>
      </c>
      <c r="D12" s="24">
        <f>IFERROR(__xludf.DUMMYFUNCTION("SUMPRODUCT((IMPORTRANGE(""17XjIPGwafStTRf_8bPPaoi2EFjHVy10_rRJ0uvy6YcU"",""M:M"")=B12)*1, IMPORTRANGE(""17XjIPGwafStTRf_8bPPaoi2EFjHVy10_rRJ0uvy6YcU"",""X:X""), IMPORTRANGE(""17XjIPGwafStTRf_8bPPaoi2EFjHVy10_rRJ0uvy6YcU"",""AA:AA"")) + SUMPRODUCT((IMPORTR"&amp;"ANGE(""17XjIPGwafStTRf_8bPPaoi2EFjHVy10_rRJ0uvy6YcU"",""M:M"")=B12)*1, IMPORTRANGE(""17XjIPGwafStTRf_8bPPaoi2EFjHVy10_rRJ0uvy6YcU"",""X:X""), IMPORTRANGE(""17XjIPGwafStTRf_8bPPaoi2EFjHVy10_rRJ0uvy6YcU"",""AE:AE"")) + SUMPRODUCT((IMPORTRANGE(""17XjIPGwafSt"&amp;"TRf_8bPPaoi2EFjHVy10_rRJ0uvy6YcU"",""M:M"")=B12)*1, IMPORTRANGE(""17XjIPGwafStTRf_8bPPaoi2EFjHVy10_rRJ0uvy6YcU"",""X:X""), IMPORTRANGE(""17XjIPGwafStTRf_8bPPaoi2EFjHVy10_rRJ0uvy6YcU"",""AF:AF""))"),152029.76428292957)</f>
        <v>152029.7643</v>
      </c>
      <c r="E12" s="24">
        <f>IFERROR(__xludf.DUMMYFUNCTION("SUMPRODUCT((IMPORTRANGE(""17XjIPGwafStTRf_8bPPaoi2EFjHVy10_rRJ0uvy6YcU"",""M:M"")=B12)*1, IMPORTRANGE(""17XjIPGwafStTRf_8bPPaoi2EFjHVy10_rRJ0uvy6YcU"",""X:X""), IMPORTRANGE(""17XjIPGwafStTRf_8bPPaoi2EFjHVy10_rRJ0uvy6YcU"",""AO:AO""))"),74528.83571707044)</f>
        <v>74528.83572</v>
      </c>
      <c r="F12" s="25">
        <f>IFERROR(__xludf.DUMMYFUNCTION("SUMPRODUCT((IMPORTRANGE(""17XjIPGwafStTRf_8bPPaoi2EFjHVy10_rRJ0uvy6YcU"",""M:M"")=B12)*1, IMPORTRANGE(""17XjIPGwafStTRf_8bPPaoi2EFjHVy10_rRJ0uvy6YcU"",""X:X""))"),48.0)</f>
        <v>48</v>
      </c>
      <c r="G12" s="26">
        <f>IFERROR(__xludf.DUMMYFUNCTION("COUNTIF(IMPORTRANGE(""17XjIPGwafStTRf_8bPPaoi2EFjHVy10_rRJ0uvy6YcU"",""M:M""), B12)"),18.0)</f>
        <v>18</v>
      </c>
      <c r="H12" s="27">
        <f t="shared" si="1"/>
        <v>2.666666667</v>
      </c>
      <c r="I12" s="28">
        <f t="shared" si="2"/>
        <v>0.2739617768</v>
      </c>
      <c r="J12" s="29">
        <f t="shared" si="3"/>
        <v>0.4902252928</v>
      </c>
      <c r="K12" s="32"/>
      <c r="L12" s="31" t="str">
        <f t="shared" si="4"/>
        <v/>
      </c>
      <c r="M12" s="31" t="str">
        <f t="shared" si="5"/>
        <v/>
      </c>
      <c r="N12" s="4"/>
    </row>
    <row r="13">
      <c r="A13" s="1"/>
      <c r="B13" s="23">
        <f t="shared" si="6"/>
        <v>44781</v>
      </c>
      <c r="C13" s="24">
        <f>IFERROR(__xludf.DUMMYFUNCTION("SUMPRODUCT((IMPORTRANGE(""17XjIPGwafStTRf_8bPPaoi2EFjHVy10_rRJ0uvy6YcU"",""M:M"")=B13)*1, IMPORTRANGE(""17XjIPGwafStTRf_8bPPaoi2EFjHVy10_rRJ0uvy6YcU"",""X:X""), IMPORTRANGE(""17XjIPGwafStTRf_8bPPaoi2EFjHVy10_rRJ0uvy6YcU"",""AK:AK"")) - SUMPRODUCT((IMPORTR"&amp;"ANGE(""17XjIPGwafStTRf_8bPPaoi2EFjHVy10_rRJ0uvy6YcU"",""M:M"")=B13)*1, IMPORTRANGE(""17XjIPGwafStTRf_8bPPaoi2EFjHVy10_rRJ0uvy6YcU"",""X:X""), IMPORTRANGE(""17XjIPGwafStTRf_8bPPaoi2EFjHVy10_rRJ0uvy6YcU"",""AL:AL""))"),737074.0)</f>
        <v>737074</v>
      </c>
      <c r="D13" s="24">
        <f>IFERROR(__xludf.DUMMYFUNCTION("SUMPRODUCT((IMPORTRANGE(""17XjIPGwafStTRf_8bPPaoi2EFjHVy10_rRJ0uvy6YcU"",""M:M"")=B13)*1, IMPORTRANGE(""17XjIPGwafStTRf_8bPPaoi2EFjHVy10_rRJ0uvy6YcU"",""X:X""), IMPORTRANGE(""17XjIPGwafStTRf_8bPPaoi2EFjHVy10_rRJ0uvy6YcU"",""AA:AA"")) + SUMPRODUCT((IMPORTR"&amp;"ANGE(""17XjIPGwafStTRf_8bPPaoi2EFjHVy10_rRJ0uvy6YcU"",""M:M"")=B13)*1, IMPORTRANGE(""17XjIPGwafStTRf_8bPPaoi2EFjHVy10_rRJ0uvy6YcU"",""X:X""), IMPORTRANGE(""17XjIPGwafStTRf_8bPPaoi2EFjHVy10_rRJ0uvy6YcU"",""AE:AE"")) + SUMPRODUCT((IMPORTRANGE(""17XjIPGwafSt"&amp;"TRf_8bPPaoi2EFjHVy10_rRJ0uvy6YcU"",""M:M"")=B13)*1, IMPORTRANGE(""17XjIPGwafStTRf_8bPPaoi2EFjHVy10_rRJ0uvy6YcU"",""X:X""), IMPORTRANGE(""17XjIPGwafStTRf_8bPPaoi2EFjHVy10_rRJ0uvy6YcU"",""AF:AF""))"),379069.5772361482)</f>
        <v>379069.5772</v>
      </c>
      <c r="E13" s="24">
        <f>IFERROR(__xludf.DUMMYFUNCTION("SUMPRODUCT((IMPORTRANGE(""17XjIPGwafStTRf_8bPPaoi2EFjHVy10_rRJ0uvy6YcU"",""M:M"")=B13)*1, IMPORTRANGE(""17XjIPGwafStTRf_8bPPaoi2EFjHVy10_rRJ0uvy6YcU"",""X:X""), IMPORTRANGE(""17XjIPGwafStTRf_8bPPaoi2EFjHVy10_rRJ0uvy6YcU"",""AO:AO""))"),200629.2227638518)</f>
        <v>200629.2228</v>
      </c>
      <c r="F13" s="25">
        <f>IFERROR(__xludf.DUMMYFUNCTION("SUMPRODUCT((IMPORTRANGE(""17XjIPGwafStTRf_8bPPaoi2EFjHVy10_rRJ0uvy6YcU"",""M:M"")=B13)*1, IMPORTRANGE(""17XjIPGwafStTRf_8bPPaoi2EFjHVy10_rRJ0uvy6YcU"",""X:X""))"),67.0)</f>
        <v>67</v>
      </c>
      <c r="G13" s="26">
        <f>IFERROR(__xludf.DUMMYFUNCTION("COUNTIF(IMPORTRANGE(""17XjIPGwafStTRf_8bPPaoi2EFjHVy10_rRJ0uvy6YcU"",""M:M""), B13)"),21.0)</f>
        <v>21</v>
      </c>
      <c r="H13" s="27">
        <f t="shared" si="1"/>
        <v>3.19047619</v>
      </c>
      <c r="I13" s="28">
        <f t="shared" si="2"/>
        <v>0.2721968524</v>
      </c>
      <c r="J13" s="29">
        <f t="shared" si="3"/>
        <v>0.5292675403</v>
      </c>
      <c r="K13" s="32"/>
      <c r="L13" s="31" t="str">
        <f t="shared" si="4"/>
        <v/>
      </c>
      <c r="M13" s="31" t="str">
        <f t="shared" si="5"/>
        <v/>
      </c>
      <c r="N13" s="4"/>
    </row>
    <row r="14">
      <c r="A14" s="1"/>
      <c r="B14" s="23">
        <f t="shared" si="6"/>
        <v>44782</v>
      </c>
      <c r="C14" s="24">
        <f>IFERROR(__xludf.DUMMYFUNCTION("SUMPRODUCT((IMPORTRANGE(""17XjIPGwafStTRf_8bPPaoi2EFjHVy10_rRJ0uvy6YcU"",""M:M"")=B14)*1, IMPORTRANGE(""17XjIPGwafStTRf_8bPPaoi2EFjHVy10_rRJ0uvy6YcU"",""X:X""), IMPORTRANGE(""17XjIPGwafStTRf_8bPPaoi2EFjHVy10_rRJ0uvy6YcU"",""AK:AK"")) - SUMPRODUCT((IMPORTR"&amp;"ANGE(""17XjIPGwafStTRf_8bPPaoi2EFjHVy10_rRJ0uvy6YcU"",""M:M"")=B14)*1, IMPORTRANGE(""17XjIPGwafStTRf_8bPPaoi2EFjHVy10_rRJ0uvy6YcU"",""X:X""), IMPORTRANGE(""17XjIPGwafStTRf_8bPPaoi2EFjHVy10_rRJ0uvy6YcU"",""AL:AL""))"),365544.28)</f>
        <v>365544.28</v>
      </c>
      <c r="D14" s="24">
        <f>IFERROR(__xludf.DUMMYFUNCTION("SUMPRODUCT((IMPORTRANGE(""17XjIPGwafStTRf_8bPPaoi2EFjHVy10_rRJ0uvy6YcU"",""M:M"")=B14)*1, IMPORTRANGE(""17XjIPGwafStTRf_8bPPaoi2EFjHVy10_rRJ0uvy6YcU"",""X:X""), IMPORTRANGE(""17XjIPGwafStTRf_8bPPaoi2EFjHVy10_rRJ0uvy6YcU"",""AA:AA"")) + SUMPRODUCT((IMPORTR"&amp;"ANGE(""17XjIPGwafStTRf_8bPPaoi2EFjHVy10_rRJ0uvy6YcU"",""M:M"")=B14)*1, IMPORTRANGE(""17XjIPGwafStTRf_8bPPaoi2EFjHVy10_rRJ0uvy6YcU"",""X:X""), IMPORTRANGE(""17XjIPGwafStTRf_8bPPaoi2EFjHVy10_rRJ0uvy6YcU"",""AE:AE"")) + SUMPRODUCT((IMPORTRANGE(""17XjIPGwafSt"&amp;"TRf_8bPPaoi2EFjHVy10_rRJ0uvy6YcU"",""M:M"")=B14)*1, IMPORTRANGE(""17XjIPGwafStTRf_8bPPaoi2EFjHVy10_rRJ0uvy6YcU"",""X:X""), IMPORTRANGE(""17XjIPGwafStTRf_8bPPaoi2EFjHVy10_rRJ0uvy6YcU"",""AF:AF""))"),194430.83198332117)</f>
        <v>194430.832</v>
      </c>
      <c r="E14" s="24">
        <f>IFERROR(__xludf.DUMMYFUNCTION("SUMPRODUCT((IMPORTRANGE(""17XjIPGwafStTRf_8bPPaoi2EFjHVy10_rRJ0uvy6YcU"",""M:M"")=B14)*1, IMPORTRANGE(""17XjIPGwafStTRf_8bPPaoi2EFjHVy10_rRJ0uvy6YcU"",""X:X""), IMPORTRANGE(""17XjIPGwafStTRf_8bPPaoi2EFjHVy10_rRJ0uvy6YcU"",""AO:AO""))"),99958.3480166788)</f>
        <v>99958.34802</v>
      </c>
      <c r="F14" s="25">
        <f>IFERROR(__xludf.DUMMYFUNCTION("SUMPRODUCT((IMPORTRANGE(""17XjIPGwafStTRf_8bPPaoi2EFjHVy10_rRJ0uvy6YcU"",""M:M"")=B14)*1, IMPORTRANGE(""17XjIPGwafStTRf_8bPPaoi2EFjHVy10_rRJ0uvy6YcU"",""X:X""))"),66.0)</f>
        <v>66</v>
      </c>
      <c r="G14" s="26">
        <f>IFERROR(__xludf.DUMMYFUNCTION("COUNTIF(IMPORTRANGE(""17XjIPGwafStTRf_8bPPaoi2EFjHVy10_rRJ0uvy6YcU"",""M:M""), B14)"),16.0)</f>
        <v>16</v>
      </c>
      <c r="H14" s="27">
        <f t="shared" si="1"/>
        <v>4.125</v>
      </c>
      <c r="I14" s="28">
        <f t="shared" si="2"/>
        <v>0.273450724</v>
      </c>
      <c r="J14" s="29">
        <f t="shared" si="3"/>
        <v>0.5141074952</v>
      </c>
      <c r="K14" s="32"/>
      <c r="L14" s="31" t="str">
        <f t="shared" si="4"/>
        <v/>
      </c>
      <c r="M14" s="31" t="str">
        <f t="shared" si="5"/>
        <v/>
      </c>
      <c r="N14" s="4"/>
    </row>
    <row r="15">
      <c r="A15" s="1"/>
      <c r="B15" s="23">
        <f t="shared" si="6"/>
        <v>44783</v>
      </c>
      <c r="C15" s="24">
        <f>IFERROR(__xludf.DUMMYFUNCTION("SUMPRODUCT((IMPORTRANGE(""17XjIPGwafStTRf_8bPPaoi2EFjHVy10_rRJ0uvy6YcU"",""M:M"")=B15)*1, IMPORTRANGE(""17XjIPGwafStTRf_8bPPaoi2EFjHVy10_rRJ0uvy6YcU"",""X:X""), IMPORTRANGE(""17XjIPGwafStTRf_8bPPaoi2EFjHVy10_rRJ0uvy6YcU"",""AK:AK"")) - SUMPRODUCT((IMPORTR"&amp;"ANGE(""17XjIPGwafStTRf_8bPPaoi2EFjHVy10_rRJ0uvy6YcU"",""M:M"")=B15)*1, IMPORTRANGE(""17XjIPGwafStTRf_8bPPaoi2EFjHVy10_rRJ0uvy6YcU"",""X:X""), IMPORTRANGE(""17XjIPGwafStTRf_8bPPaoi2EFjHVy10_rRJ0uvy6YcU"",""AL:AL""))"),446807.0)</f>
        <v>446807</v>
      </c>
      <c r="D15" s="24">
        <f>IFERROR(__xludf.DUMMYFUNCTION("SUMPRODUCT((IMPORTRANGE(""17XjIPGwafStTRf_8bPPaoi2EFjHVy10_rRJ0uvy6YcU"",""M:M"")=B15)*1, IMPORTRANGE(""17XjIPGwafStTRf_8bPPaoi2EFjHVy10_rRJ0uvy6YcU"",""X:X""), IMPORTRANGE(""17XjIPGwafStTRf_8bPPaoi2EFjHVy10_rRJ0uvy6YcU"",""AA:AA"")) + SUMPRODUCT((IMPORTR"&amp;"ANGE(""17XjIPGwafStTRf_8bPPaoi2EFjHVy10_rRJ0uvy6YcU"",""M:M"")=B15)*1, IMPORTRANGE(""17XjIPGwafStTRf_8bPPaoi2EFjHVy10_rRJ0uvy6YcU"",""X:X""), IMPORTRANGE(""17XjIPGwafStTRf_8bPPaoi2EFjHVy10_rRJ0uvy6YcU"",""AE:AE"")) + SUMPRODUCT((IMPORTRANGE(""17XjIPGwafSt"&amp;"TRf_8bPPaoi2EFjHVy10_rRJ0uvy6YcU"",""M:M"")=B15)*1, IMPORTRANGE(""17XjIPGwafStTRf_8bPPaoi2EFjHVy10_rRJ0uvy6YcU"",""X:X""), IMPORTRANGE(""17XjIPGwafStTRf_8bPPaoi2EFjHVy10_rRJ0uvy6YcU"",""AF:AF""))"),250072.1018812882)</f>
        <v>250072.1019</v>
      </c>
      <c r="E15" s="24">
        <f>IFERROR(__xludf.DUMMYFUNCTION("SUMPRODUCT((IMPORTRANGE(""17XjIPGwafStTRf_8bPPaoi2EFjHVy10_rRJ0uvy6YcU"",""M:M"")=B15)*1, IMPORTRANGE(""17XjIPGwafStTRf_8bPPaoi2EFjHVy10_rRJ0uvy6YcU"",""X:X""), IMPORTRANGE(""17XjIPGwafStTRf_8bPPaoi2EFjHVy10_rRJ0uvy6YcU"",""AO:AO""))"),110611.6981187118)</f>
        <v>110611.6981</v>
      </c>
      <c r="F15" s="25">
        <f>IFERROR(__xludf.DUMMYFUNCTION("SUMPRODUCT((IMPORTRANGE(""17XjIPGwafStTRf_8bPPaoi2EFjHVy10_rRJ0uvy6YcU"",""M:M"")=B15)*1, IMPORTRANGE(""17XjIPGwafStTRf_8bPPaoi2EFjHVy10_rRJ0uvy6YcU"",""X:X""))"),94.0)</f>
        <v>94</v>
      </c>
      <c r="G15" s="26">
        <f>IFERROR(__xludf.DUMMYFUNCTION("COUNTIF(IMPORTRANGE(""17XjIPGwafStTRf_8bPPaoi2EFjHVy10_rRJ0uvy6YcU"",""M:M""), B15)"),11.0)</f>
        <v>11</v>
      </c>
      <c r="H15" s="27">
        <f t="shared" si="1"/>
        <v>8.545454545</v>
      </c>
      <c r="I15" s="28">
        <f t="shared" si="2"/>
        <v>0.2475603518</v>
      </c>
      <c r="J15" s="29">
        <f t="shared" si="3"/>
        <v>0.4423192243</v>
      </c>
      <c r="K15" s="30"/>
      <c r="L15" s="31" t="str">
        <f t="shared" si="4"/>
        <v/>
      </c>
      <c r="M15" s="31" t="str">
        <f t="shared" si="5"/>
        <v/>
      </c>
      <c r="N15" s="4"/>
    </row>
    <row r="16">
      <c r="A16" s="1"/>
      <c r="B16" s="23">
        <f t="shared" si="6"/>
        <v>44784</v>
      </c>
      <c r="C16" s="24">
        <f>IFERROR(__xludf.DUMMYFUNCTION("SUMPRODUCT((IMPORTRANGE(""17XjIPGwafStTRf_8bPPaoi2EFjHVy10_rRJ0uvy6YcU"",""M:M"")=B16)*1, IMPORTRANGE(""17XjIPGwafStTRf_8bPPaoi2EFjHVy10_rRJ0uvy6YcU"",""X:X""), IMPORTRANGE(""17XjIPGwafStTRf_8bPPaoi2EFjHVy10_rRJ0uvy6YcU"",""AK:AK"")) - SUMPRODUCT((IMPORTR"&amp;"ANGE(""17XjIPGwafStTRf_8bPPaoi2EFjHVy10_rRJ0uvy6YcU"",""M:M"")=B16)*1, IMPORTRANGE(""17XjIPGwafStTRf_8bPPaoi2EFjHVy10_rRJ0uvy6YcU"",""X:X""), IMPORTRANGE(""17XjIPGwafStTRf_8bPPaoi2EFjHVy10_rRJ0uvy6YcU"",""AL:AL""))"),234999.0)</f>
        <v>234999</v>
      </c>
      <c r="D16" s="24">
        <f>IFERROR(__xludf.DUMMYFUNCTION("SUMPRODUCT((IMPORTRANGE(""17XjIPGwafStTRf_8bPPaoi2EFjHVy10_rRJ0uvy6YcU"",""M:M"")=B16)*1, IMPORTRANGE(""17XjIPGwafStTRf_8bPPaoi2EFjHVy10_rRJ0uvy6YcU"",""X:X""), IMPORTRANGE(""17XjIPGwafStTRf_8bPPaoi2EFjHVy10_rRJ0uvy6YcU"",""AA:AA"")) + SUMPRODUCT((IMPORTR"&amp;"ANGE(""17XjIPGwafStTRf_8bPPaoi2EFjHVy10_rRJ0uvy6YcU"",""M:M"")=B16)*1, IMPORTRANGE(""17XjIPGwafStTRf_8bPPaoi2EFjHVy10_rRJ0uvy6YcU"",""X:X""), IMPORTRANGE(""17XjIPGwafStTRf_8bPPaoi2EFjHVy10_rRJ0uvy6YcU"",""AE:AE"")) + SUMPRODUCT((IMPORTRANGE(""17XjIPGwafSt"&amp;"TRf_8bPPaoi2EFjHVy10_rRJ0uvy6YcU"",""M:M"")=B16)*1, IMPORTRANGE(""17XjIPGwafStTRf_8bPPaoi2EFjHVy10_rRJ0uvy6YcU"",""X:X""), IMPORTRANGE(""17XjIPGwafStTRf_8bPPaoi2EFjHVy10_rRJ0uvy6YcU"",""AF:AF""))"),136070.2476644577)</f>
        <v>136070.2477</v>
      </c>
      <c r="E16" s="24">
        <f>IFERROR(__xludf.DUMMYFUNCTION("SUMPRODUCT((IMPORTRANGE(""17XjIPGwafStTRf_8bPPaoi2EFjHVy10_rRJ0uvy6YcU"",""M:M"")=B16)*1, IMPORTRANGE(""17XjIPGwafStTRf_8bPPaoi2EFjHVy10_rRJ0uvy6YcU"",""X:X""), IMPORTRANGE(""17XjIPGwafStTRf_8bPPaoi2EFjHVy10_rRJ0uvy6YcU"",""AO:AO""))"),55847.85233554228)</f>
        <v>55847.85234</v>
      </c>
      <c r="F16" s="25">
        <f>IFERROR(__xludf.DUMMYFUNCTION("SUMPRODUCT((IMPORTRANGE(""17XjIPGwafStTRf_8bPPaoi2EFjHVy10_rRJ0uvy6YcU"",""M:M"")=B16)*1, IMPORTRANGE(""17XjIPGwafStTRf_8bPPaoi2EFjHVy10_rRJ0uvy6YcU"",""X:X""))"),40.0)</f>
        <v>40</v>
      </c>
      <c r="G16" s="26">
        <f>IFERROR(__xludf.DUMMYFUNCTION("COUNTIF(IMPORTRANGE(""17XjIPGwafStTRf_8bPPaoi2EFjHVy10_rRJ0uvy6YcU"",""M:M""), B16)"),22.0)</f>
        <v>22</v>
      </c>
      <c r="H16" s="27">
        <f t="shared" si="1"/>
        <v>1.818181818</v>
      </c>
      <c r="I16" s="28">
        <f t="shared" si="2"/>
        <v>0.2376514468</v>
      </c>
      <c r="J16" s="29">
        <f t="shared" si="3"/>
        <v>0.4104339728</v>
      </c>
      <c r="K16" s="32"/>
      <c r="L16" s="31" t="str">
        <f t="shared" si="4"/>
        <v/>
      </c>
      <c r="M16" s="31" t="str">
        <f t="shared" si="5"/>
        <v/>
      </c>
      <c r="N16" s="4"/>
    </row>
    <row r="17">
      <c r="A17" s="1"/>
      <c r="B17" s="23">
        <f t="shared" si="6"/>
        <v>44785</v>
      </c>
      <c r="C17" s="24">
        <f>IFERROR(__xludf.DUMMYFUNCTION("SUMPRODUCT((IMPORTRANGE(""17XjIPGwafStTRf_8bPPaoi2EFjHVy10_rRJ0uvy6YcU"",""M:M"")=B17)*1, IMPORTRANGE(""17XjIPGwafStTRf_8bPPaoi2EFjHVy10_rRJ0uvy6YcU"",""X:X""), IMPORTRANGE(""17XjIPGwafStTRf_8bPPaoi2EFjHVy10_rRJ0uvy6YcU"",""AK:AK"")) - SUMPRODUCT((IMPORTR"&amp;"ANGE(""17XjIPGwafStTRf_8bPPaoi2EFjHVy10_rRJ0uvy6YcU"",""M:M"")=B17)*1, IMPORTRANGE(""17XjIPGwafStTRf_8bPPaoi2EFjHVy10_rRJ0uvy6YcU"",""X:X""), IMPORTRANGE(""17XjIPGwafStTRf_8bPPaoi2EFjHVy10_rRJ0uvy6YcU"",""AL:AL""))"),203643.0)</f>
        <v>203643</v>
      </c>
      <c r="D17" s="24">
        <f>IFERROR(__xludf.DUMMYFUNCTION("SUMPRODUCT((IMPORTRANGE(""17XjIPGwafStTRf_8bPPaoi2EFjHVy10_rRJ0uvy6YcU"",""M:M"")=B17)*1, IMPORTRANGE(""17XjIPGwafStTRf_8bPPaoi2EFjHVy10_rRJ0uvy6YcU"",""X:X""), IMPORTRANGE(""17XjIPGwafStTRf_8bPPaoi2EFjHVy10_rRJ0uvy6YcU"",""AA:AA"")) + SUMPRODUCT((IMPORTR"&amp;"ANGE(""17XjIPGwafStTRf_8bPPaoi2EFjHVy10_rRJ0uvy6YcU"",""M:M"")=B17)*1, IMPORTRANGE(""17XjIPGwafStTRf_8bPPaoi2EFjHVy10_rRJ0uvy6YcU"",""X:X""), IMPORTRANGE(""17XjIPGwafStTRf_8bPPaoi2EFjHVy10_rRJ0uvy6YcU"",""AE:AE"")) + SUMPRODUCT((IMPORTRANGE(""17XjIPGwafSt"&amp;"TRf_8bPPaoi2EFjHVy10_rRJ0uvy6YcU"",""M:M"")=B17)*1, IMPORTRANGE(""17XjIPGwafStTRf_8bPPaoi2EFjHVy10_rRJ0uvy6YcU"",""X:X""), IMPORTRANGE(""17XjIPGwafStTRf_8bPPaoi2EFjHVy10_rRJ0uvy6YcU"",""AF:AF""))"),121705.88770183643)</f>
        <v>121705.8877</v>
      </c>
      <c r="E17" s="24">
        <f>IFERROR(__xludf.DUMMYFUNCTION("SUMPRODUCT((IMPORTRANGE(""17XjIPGwafStTRf_8bPPaoi2EFjHVy10_rRJ0uvy6YcU"",""M:M"")=B17)*1, IMPORTRANGE(""17XjIPGwafStTRf_8bPPaoi2EFjHVy10_rRJ0uvy6YcU"",""X:X""), IMPORTRANGE(""17XjIPGwafStTRf_8bPPaoi2EFjHVy10_rRJ0uvy6YcU"",""AO:AO""))"),46219.512298163594)</f>
        <v>46219.5123</v>
      </c>
      <c r="F17" s="25">
        <f>IFERROR(__xludf.DUMMYFUNCTION("SUMPRODUCT((IMPORTRANGE(""17XjIPGwafStTRf_8bPPaoi2EFjHVy10_rRJ0uvy6YcU"",""M:M"")=B17)*1, IMPORTRANGE(""17XjIPGwafStTRf_8bPPaoi2EFjHVy10_rRJ0uvy6YcU"",""X:X""))"),32.0)</f>
        <v>32</v>
      </c>
      <c r="G17" s="26">
        <f>IFERROR(__xludf.DUMMYFUNCTION("COUNTIF(IMPORTRANGE(""17XjIPGwafStTRf_8bPPaoi2EFjHVy10_rRJ0uvy6YcU"",""M:M""), B17)"),18.0)</f>
        <v>18</v>
      </c>
      <c r="H17" s="27">
        <f t="shared" si="1"/>
        <v>1.777777778</v>
      </c>
      <c r="I17" s="28">
        <f t="shared" si="2"/>
        <v>0.2269634227</v>
      </c>
      <c r="J17" s="29">
        <f t="shared" si="3"/>
        <v>0.37976398</v>
      </c>
      <c r="K17" s="32"/>
      <c r="L17" s="31" t="str">
        <f t="shared" si="4"/>
        <v/>
      </c>
      <c r="M17" s="31" t="str">
        <f t="shared" si="5"/>
        <v/>
      </c>
      <c r="N17" s="4"/>
    </row>
    <row r="18">
      <c r="A18" s="1"/>
      <c r="B18" s="23">
        <f t="shared" si="6"/>
        <v>44786</v>
      </c>
      <c r="C18" s="24">
        <f>IFERROR(__xludf.DUMMYFUNCTION("SUMPRODUCT((IMPORTRANGE(""17XjIPGwafStTRf_8bPPaoi2EFjHVy10_rRJ0uvy6YcU"",""M:M"")=B18)*1, IMPORTRANGE(""17XjIPGwafStTRf_8bPPaoi2EFjHVy10_rRJ0uvy6YcU"",""X:X""), IMPORTRANGE(""17XjIPGwafStTRf_8bPPaoi2EFjHVy10_rRJ0uvy6YcU"",""AK:AK"")) - SUMPRODUCT((IMPORTR"&amp;"ANGE(""17XjIPGwafStTRf_8bPPaoi2EFjHVy10_rRJ0uvy6YcU"",""M:M"")=B18)*1, IMPORTRANGE(""17XjIPGwafStTRf_8bPPaoi2EFjHVy10_rRJ0uvy6YcU"",""X:X""), IMPORTRANGE(""17XjIPGwafStTRf_8bPPaoi2EFjHVy10_rRJ0uvy6YcU"",""AL:AL""))"),300219.0)</f>
        <v>300219</v>
      </c>
      <c r="D18" s="24">
        <f>IFERROR(__xludf.DUMMYFUNCTION("SUMPRODUCT((IMPORTRANGE(""17XjIPGwafStTRf_8bPPaoi2EFjHVy10_rRJ0uvy6YcU"",""M:M"")=B18)*1, IMPORTRANGE(""17XjIPGwafStTRf_8bPPaoi2EFjHVy10_rRJ0uvy6YcU"",""X:X""), IMPORTRANGE(""17XjIPGwafStTRf_8bPPaoi2EFjHVy10_rRJ0uvy6YcU"",""AA:AA"")) + SUMPRODUCT((IMPORTR"&amp;"ANGE(""17XjIPGwafStTRf_8bPPaoi2EFjHVy10_rRJ0uvy6YcU"",""M:M"")=B18)*1, IMPORTRANGE(""17XjIPGwafStTRf_8bPPaoi2EFjHVy10_rRJ0uvy6YcU"",""X:X""), IMPORTRANGE(""17XjIPGwafStTRf_8bPPaoi2EFjHVy10_rRJ0uvy6YcU"",""AE:AE"")) + SUMPRODUCT((IMPORTRANGE(""17XjIPGwafSt"&amp;"TRf_8bPPaoi2EFjHVy10_rRJ0uvy6YcU"",""M:M"")=B18)*1, IMPORTRANGE(""17XjIPGwafStTRf_8bPPaoi2EFjHVy10_rRJ0uvy6YcU"",""X:X""), IMPORTRANGE(""17XjIPGwafStTRf_8bPPaoi2EFjHVy10_rRJ0uvy6YcU"",""AF:AF""))"),155747.0467369524)</f>
        <v>155747.0467</v>
      </c>
      <c r="E18" s="24">
        <f>IFERROR(__xludf.DUMMYFUNCTION("SUMPRODUCT((IMPORTRANGE(""17XjIPGwafStTRf_8bPPaoi2EFjHVy10_rRJ0uvy6YcU"",""M:M"")=B18)*1, IMPORTRANGE(""17XjIPGwafStTRf_8bPPaoi2EFjHVy10_rRJ0uvy6YcU"",""X:X""), IMPORTRANGE(""17XjIPGwafStTRf_8bPPaoi2EFjHVy10_rRJ0uvy6YcU"",""AO:AO""))"),90998.95326304756)</f>
        <v>90998.95326</v>
      </c>
      <c r="F18" s="25">
        <f>IFERROR(__xludf.DUMMYFUNCTION("SUMPRODUCT((IMPORTRANGE(""17XjIPGwafStTRf_8bPPaoi2EFjHVy10_rRJ0uvy6YcU"",""M:M"")=B18)*1, IMPORTRANGE(""17XjIPGwafStTRf_8bPPaoi2EFjHVy10_rRJ0uvy6YcU"",""X:X""))"),59.0)</f>
        <v>59</v>
      </c>
      <c r="G18" s="26">
        <f>IFERROR(__xludf.DUMMYFUNCTION("COUNTIF(IMPORTRANGE(""17XjIPGwafStTRf_8bPPaoi2EFjHVy10_rRJ0uvy6YcU"",""M:M""), B18)"),21.0)</f>
        <v>21</v>
      </c>
      <c r="H18" s="27">
        <f t="shared" si="1"/>
        <v>2.80952381</v>
      </c>
      <c r="I18" s="28">
        <f t="shared" si="2"/>
        <v>0.303108575</v>
      </c>
      <c r="J18" s="29">
        <f t="shared" si="3"/>
        <v>0.584274021</v>
      </c>
      <c r="K18" s="32"/>
      <c r="L18" s="31" t="str">
        <f t="shared" si="4"/>
        <v/>
      </c>
      <c r="M18" s="31" t="str">
        <f t="shared" si="5"/>
        <v/>
      </c>
      <c r="N18" s="4"/>
    </row>
    <row r="19">
      <c r="A19" s="1"/>
      <c r="B19" s="23">
        <f t="shared" si="6"/>
        <v>44787</v>
      </c>
      <c r="C19" s="24">
        <f>IFERROR(__xludf.DUMMYFUNCTION("SUMPRODUCT((IMPORTRANGE(""17XjIPGwafStTRf_8bPPaoi2EFjHVy10_rRJ0uvy6YcU"",""M:M"")=B19)*1, IMPORTRANGE(""17XjIPGwafStTRf_8bPPaoi2EFjHVy10_rRJ0uvy6YcU"",""X:X""), IMPORTRANGE(""17XjIPGwafStTRf_8bPPaoi2EFjHVy10_rRJ0uvy6YcU"",""AK:AK"")) - SUMPRODUCT((IMPORTR"&amp;"ANGE(""17XjIPGwafStTRf_8bPPaoi2EFjHVy10_rRJ0uvy6YcU"",""M:M"")=B19)*1, IMPORTRANGE(""17XjIPGwafStTRf_8bPPaoi2EFjHVy10_rRJ0uvy6YcU"",""X:X""), IMPORTRANGE(""17XjIPGwafStTRf_8bPPaoi2EFjHVy10_rRJ0uvy6YcU"",""AL:AL""))"),338207.0)</f>
        <v>338207</v>
      </c>
      <c r="D19" s="24">
        <f>IFERROR(__xludf.DUMMYFUNCTION("SUMPRODUCT((IMPORTRANGE(""17XjIPGwafStTRf_8bPPaoi2EFjHVy10_rRJ0uvy6YcU"",""M:M"")=B19)*1, IMPORTRANGE(""17XjIPGwafStTRf_8bPPaoi2EFjHVy10_rRJ0uvy6YcU"",""X:X""), IMPORTRANGE(""17XjIPGwafStTRf_8bPPaoi2EFjHVy10_rRJ0uvy6YcU"",""AA:AA"")) + SUMPRODUCT((IMPORTR"&amp;"ANGE(""17XjIPGwafStTRf_8bPPaoi2EFjHVy10_rRJ0uvy6YcU"",""M:M"")=B19)*1, IMPORTRANGE(""17XjIPGwafStTRf_8bPPaoi2EFjHVy10_rRJ0uvy6YcU"",""X:X""), IMPORTRANGE(""17XjIPGwafStTRf_8bPPaoi2EFjHVy10_rRJ0uvy6YcU"",""AE:AE"")) + SUMPRODUCT((IMPORTRANGE(""17XjIPGwafSt"&amp;"TRf_8bPPaoi2EFjHVy10_rRJ0uvy6YcU"",""M:M"")=B19)*1, IMPORTRANGE(""17XjIPGwafStTRf_8bPPaoi2EFjHVy10_rRJ0uvy6YcU"",""X:X""), IMPORTRANGE(""17XjIPGwafStTRf_8bPPaoi2EFjHVy10_rRJ0uvy6YcU"",""AF:AF""))"),177778.8820051453)</f>
        <v>177778.882</v>
      </c>
      <c r="E19" s="24">
        <f>IFERROR(__xludf.DUMMYFUNCTION("SUMPRODUCT((IMPORTRANGE(""17XjIPGwafStTRf_8bPPaoi2EFjHVy10_rRJ0uvy6YcU"",""M:M"")=B19)*1, IMPORTRANGE(""17XjIPGwafStTRf_8bPPaoi2EFjHVy10_rRJ0uvy6YcU"",""X:X""), IMPORTRANGE(""17XjIPGwafStTRf_8bPPaoi2EFjHVy10_rRJ0uvy6YcU"",""AO:AO""))"),96537.41799485471)</f>
        <v>96537.41799</v>
      </c>
      <c r="F19" s="25">
        <f>IFERROR(__xludf.DUMMYFUNCTION("SUMPRODUCT((IMPORTRANGE(""17XjIPGwafStTRf_8bPPaoi2EFjHVy10_rRJ0uvy6YcU"",""M:M"")=B19)*1, IMPORTRANGE(""17XjIPGwafStTRf_8bPPaoi2EFjHVy10_rRJ0uvy6YcU"",""X:X""))"),62.0)</f>
        <v>62</v>
      </c>
      <c r="G19" s="26">
        <f>IFERROR(__xludf.DUMMYFUNCTION("COUNTIF(IMPORTRANGE(""17XjIPGwafStTRf_8bPPaoi2EFjHVy10_rRJ0uvy6YcU"",""M:M""), B19)"),31.0)</f>
        <v>31</v>
      </c>
      <c r="H19" s="27">
        <f t="shared" si="1"/>
        <v>2</v>
      </c>
      <c r="I19" s="28">
        <f t="shared" si="2"/>
        <v>0.2854388525</v>
      </c>
      <c r="J19" s="29">
        <f t="shared" si="3"/>
        <v>0.5430196034</v>
      </c>
      <c r="K19" s="32"/>
      <c r="L19" s="31" t="str">
        <f t="shared" si="4"/>
        <v/>
      </c>
      <c r="M19" s="31" t="str">
        <f t="shared" si="5"/>
        <v/>
      </c>
      <c r="N19" s="4"/>
    </row>
    <row r="20">
      <c r="A20" s="1"/>
      <c r="B20" s="23">
        <f t="shared" si="6"/>
        <v>44788</v>
      </c>
      <c r="C20" s="24">
        <f>IFERROR(__xludf.DUMMYFUNCTION("SUMPRODUCT((IMPORTRANGE(""17XjIPGwafStTRf_8bPPaoi2EFjHVy10_rRJ0uvy6YcU"",""M:M"")=B20)*1, IMPORTRANGE(""17XjIPGwafStTRf_8bPPaoi2EFjHVy10_rRJ0uvy6YcU"",""X:X""), IMPORTRANGE(""17XjIPGwafStTRf_8bPPaoi2EFjHVy10_rRJ0uvy6YcU"",""AK:AK"")) - SUMPRODUCT((IMPORTR"&amp;"ANGE(""17XjIPGwafStTRf_8bPPaoi2EFjHVy10_rRJ0uvy6YcU"",""M:M"")=B20)*1, IMPORTRANGE(""17XjIPGwafStTRf_8bPPaoi2EFjHVy10_rRJ0uvy6YcU"",""X:X""), IMPORTRANGE(""17XjIPGwafStTRf_8bPPaoi2EFjHVy10_rRJ0uvy6YcU"",""AL:AL""))"),379930.0)</f>
        <v>379930</v>
      </c>
      <c r="D20" s="24">
        <f>IFERROR(__xludf.DUMMYFUNCTION("SUMPRODUCT((IMPORTRANGE(""17XjIPGwafStTRf_8bPPaoi2EFjHVy10_rRJ0uvy6YcU"",""M:M"")=B20)*1, IMPORTRANGE(""17XjIPGwafStTRf_8bPPaoi2EFjHVy10_rRJ0uvy6YcU"",""X:X""), IMPORTRANGE(""17XjIPGwafStTRf_8bPPaoi2EFjHVy10_rRJ0uvy6YcU"",""AA:AA"")) + SUMPRODUCT((IMPORTR"&amp;"ANGE(""17XjIPGwafStTRf_8bPPaoi2EFjHVy10_rRJ0uvy6YcU"",""M:M"")=B20)*1, IMPORTRANGE(""17XjIPGwafStTRf_8bPPaoi2EFjHVy10_rRJ0uvy6YcU"",""X:X""), IMPORTRANGE(""17XjIPGwafStTRf_8bPPaoi2EFjHVy10_rRJ0uvy6YcU"",""AE:AE"")) + SUMPRODUCT((IMPORTRANGE(""17XjIPGwafSt"&amp;"TRf_8bPPaoi2EFjHVy10_rRJ0uvy6YcU"",""M:M"")=B20)*1, IMPORTRANGE(""17XjIPGwafStTRf_8bPPaoi2EFjHVy10_rRJ0uvy6YcU"",""X:X""), IMPORTRANGE(""17XjIPGwafStTRf_8bPPaoi2EFjHVy10_rRJ0uvy6YcU"",""AF:AF""))"),149287.4269936669)</f>
        <v>149287.427</v>
      </c>
      <c r="E20" s="24">
        <f>IFERROR(__xludf.DUMMYFUNCTION("SUMPRODUCT((IMPORTRANGE(""17XjIPGwafStTRf_8bPPaoi2EFjHVy10_rRJ0uvy6YcU"",""M:M"")=B20)*1, IMPORTRANGE(""17XjIPGwafStTRf_8bPPaoi2EFjHVy10_rRJ0uvy6YcU"",""X:X""), IMPORTRANGE(""17XjIPGwafStTRf_8bPPaoi2EFjHVy10_rRJ0uvy6YcU"",""AO:AO""))"),154293.1730063331)</f>
        <v>154293.173</v>
      </c>
      <c r="F20" s="25">
        <f>IFERROR(__xludf.DUMMYFUNCTION("SUMPRODUCT((IMPORTRANGE(""17XjIPGwafStTRf_8bPPaoi2EFjHVy10_rRJ0uvy6YcU"",""M:M"")=B20)*1, IMPORTRANGE(""17XjIPGwafStTRf_8bPPaoi2EFjHVy10_rRJ0uvy6YcU"",""X:X""))"),128.0)</f>
        <v>128</v>
      </c>
      <c r="G20" s="26">
        <f>IFERROR(__xludf.DUMMYFUNCTION("COUNTIF(IMPORTRANGE(""17XjIPGwafStTRf_8bPPaoi2EFjHVy10_rRJ0uvy6YcU"",""M:M""), B20)"),5.0)</f>
        <v>5</v>
      </c>
      <c r="H20" s="27">
        <f t="shared" si="1"/>
        <v>25.6</v>
      </c>
      <c r="I20" s="28">
        <f t="shared" si="2"/>
        <v>0.4061094754</v>
      </c>
      <c r="J20" s="29">
        <f t="shared" si="3"/>
        <v>1.033530928</v>
      </c>
      <c r="K20" s="32"/>
      <c r="L20" s="31" t="str">
        <f t="shared" si="4"/>
        <v/>
      </c>
      <c r="M20" s="31" t="str">
        <f t="shared" si="5"/>
        <v/>
      </c>
      <c r="N20" s="4"/>
    </row>
    <row r="21">
      <c r="A21" s="1"/>
      <c r="B21" s="23">
        <f t="shared" si="6"/>
        <v>44789</v>
      </c>
      <c r="C21" s="24">
        <f>IFERROR(__xludf.DUMMYFUNCTION("SUMPRODUCT((IMPORTRANGE(""17XjIPGwafStTRf_8bPPaoi2EFjHVy10_rRJ0uvy6YcU"",""M:M"")=B21)*1, IMPORTRANGE(""17XjIPGwafStTRf_8bPPaoi2EFjHVy10_rRJ0uvy6YcU"",""X:X""), IMPORTRANGE(""17XjIPGwafStTRf_8bPPaoi2EFjHVy10_rRJ0uvy6YcU"",""AK:AK"")) - SUMPRODUCT((IMPORTR"&amp;"ANGE(""17XjIPGwafStTRf_8bPPaoi2EFjHVy10_rRJ0uvy6YcU"",""M:M"")=B21)*1, IMPORTRANGE(""17XjIPGwafStTRf_8bPPaoi2EFjHVy10_rRJ0uvy6YcU"",""X:X""), IMPORTRANGE(""17XjIPGwafStTRf_8bPPaoi2EFjHVy10_rRJ0uvy6YcU"",""AL:AL""))"),746839.0)</f>
        <v>746839</v>
      </c>
      <c r="D21" s="24">
        <f>IFERROR(__xludf.DUMMYFUNCTION("SUMPRODUCT((IMPORTRANGE(""17XjIPGwafStTRf_8bPPaoi2EFjHVy10_rRJ0uvy6YcU"",""M:M"")=B21)*1, IMPORTRANGE(""17XjIPGwafStTRf_8bPPaoi2EFjHVy10_rRJ0uvy6YcU"",""X:X""), IMPORTRANGE(""17XjIPGwafStTRf_8bPPaoi2EFjHVy10_rRJ0uvy6YcU"",""AA:AA"")) + SUMPRODUCT((IMPORTR"&amp;"ANGE(""17XjIPGwafStTRf_8bPPaoi2EFjHVy10_rRJ0uvy6YcU"",""M:M"")=B21)*1, IMPORTRANGE(""17XjIPGwafStTRf_8bPPaoi2EFjHVy10_rRJ0uvy6YcU"",""X:X""), IMPORTRANGE(""17XjIPGwafStTRf_8bPPaoi2EFjHVy10_rRJ0uvy6YcU"",""AE:AE"")) + SUMPRODUCT((IMPORTRANGE(""17XjIPGwafSt"&amp;"TRf_8bPPaoi2EFjHVy10_rRJ0uvy6YcU"",""M:M"")=B21)*1, IMPORTRANGE(""17XjIPGwafStTRf_8bPPaoi2EFjHVy10_rRJ0uvy6YcU"",""X:X""), IMPORTRANGE(""17XjIPGwafStTRf_8bPPaoi2EFjHVy10_rRJ0uvy6YcU"",""AF:AF""))"),405147.9631232473)</f>
        <v>405147.9631</v>
      </c>
      <c r="E21" s="24">
        <f>IFERROR(__xludf.DUMMYFUNCTION("SUMPRODUCT((IMPORTRANGE(""17XjIPGwafStTRf_8bPPaoi2EFjHVy10_rRJ0uvy6YcU"",""M:M"")=B21)*1, IMPORTRANGE(""17XjIPGwafStTRf_8bPPaoi2EFjHVy10_rRJ0uvy6YcU"",""X:X""), IMPORTRANGE(""17XjIPGwafStTRf_8bPPaoi2EFjHVy10_rRJ0uvy6YcU"",""AO:AO""))"),200461.73687675272)</f>
        <v>200461.7369</v>
      </c>
      <c r="F21" s="25">
        <f>IFERROR(__xludf.DUMMYFUNCTION("SUMPRODUCT((IMPORTRANGE(""17XjIPGwafStTRf_8bPPaoi2EFjHVy10_rRJ0uvy6YcU"",""M:M"")=B21)*1, IMPORTRANGE(""17XjIPGwafStTRf_8bPPaoi2EFjHVy10_rRJ0uvy6YcU"",""X:X""))"),135.0)</f>
        <v>135</v>
      </c>
      <c r="G21" s="26">
        <f>IFERROR(__xludf.DUMMYFUNCTION("COUNTIF(IMPORTRANGE(""17XjIPGwafStTRf_8bPPaoi2EFjHVy10_rRJ0uvy6YcU"",""M:M""), B21)"),62.0)</f>
        <v>62</v>
      </c>
      <c r="H21" s="27">
        <f t="shared" si="1"/>
        <v>2.177419355</v>
      </c>
      <c r="I21" s="28">
        <f t="shared" si="2"/>
        <v>0.2684135896</v>
      </c>
      <c r="J21" s="29">
        <f t="shared" si="3"/>
        <v>0.4947864857</v>
      </c>
      <c r="K21" s="32"/>
      <c r="L21" s="31" t="str">
        <f t="shared" si="4"/>
        <v/>
      </c>
      <c r="M21" s="31" t="str">
        <f t="shared" si="5"/>
        <v/>
      </c>
      <c r="N21" s="4"/>
    </row>
    <row r="22">
      <c r="A22" s="1"/>
      <c r="B22" s="23">
        <f t="shared" si="6"/>
        <v>44790</v>
      </c>
      <c r="C22" s="24">
        <f>IFERROR(__xludf.DUMMYFUNCTION("SUMPRODUCT((IMPORTRANGE(""17XjIPGwafStTRf_8bPPaoi2EFjHVy10_rRJ0uvy6YcU"",""M:M"")=B22)*1, IMPORTRANGE(""17XjIPGwafStTRf_8bPPaoi2EFjHVy10_rRJ0uvy6YcU"",""X:X""), IMPORTRANGE(""17XjIPGwafStTRf_8bPPaoi2EFjHVy10_rRJ0uvy6YcU"",""AK:AK"")) - SUMPRODUCT((IMPORTR"&amp;"ANGE(""17XjIPGwafStTRf_8bPPaoi2EFjHVy10_rRJ0uvy6YcU"",""M:M"")=B22)*1, IMPORTRANGE(""17XjIPGwafStTRf_8bPPaoi2EFjHVy10_rRJ0uvy6YcU"",""X:X""), IMPORTRANGE(""17XjIPGwafStTRf_8bPPaoi2EFjHVy10_rRJ0uvy6YcU"",""AL:AL""))"),256262.0)</f>
        <v>256262</v>
      </c>
      <c r="D22" s="24">
        <f>IFERROR(__xludf.DUMMYFUNCTION("SUMPRODUCT((IMPORTRANGE(""17XjIPGwafStTRf_8bPPaoi2EFjHVy10_rRJ0uvy6YcU"",""M:M"")=B22)*1, IMPORTRANGE(""17XjIPGwafStTRf_8bPPaoi2EFjHVy10_rRJ0uvy6YcU"",""X:X""), IMPORTRANGE(""17XjIPGwafStTRf_8bPPaoi2EFjHVy10_rRJ0uvy6YcU"",""AA:AA"")) + SUMPRODUCT((IMPORTR"&amp;"ANGE(""17XjIPGwafStTRf_8bPPaoi2EFjHVy10_rRJ0uvy6YcU"",""M:M"")=B22)*1, IMPORTRANGE(""17XjIPGwafStTRf_8bPPaoi2EFjHVy10_rRJ0uvy6YcU"",""X:X""), IMPORTRANGE(""17XjIPGwafStTRf_8bPPaoi2EFjHVy10_rRJ0uvy6YcU"",""AE:AE"")) + SUMPRODUCT((IMPORTRANGE(""17XjIPGwafSt"&amp;"TRf_8bPPaoi2EFjHVy10_rRJ0uvy6YcU"",""M:M"")=B22)*1, IMPORTRANGE(""17XjIPGwafStTRf_8bPPaoi2EFjHVy10_rRJ0uvy6YcU"",""X:X""), IMPORTRANGE(""17XjIPGwafStTRf_8bPPaoi2EFjHVy10_rRJ0uvy6YcU"",""AF:AF""))"),135782.89364263773)</f>
        <v>135782.8936</v>
      </c>
      <c r="E22" s="24">
        <f>IFERROR(__xludf.DUMMYFUNCTION("SUMPRODUCT((IMPORTRANGE(""17XjIPGwafStTRf_8bPPaoi2EFjHVy10_rRJ0uvy6YcU"",""M:M"")=B22)*1, IMPORTRANGE(""17XjIPGwafStTRf_8bPPaoi2EFjHVy10_rRJ0uvy6YcU"",""X:X""), IMPORTRANGE(""17XjIPGwafStTRf_8bPPaoi2EFjHVy10_rRJ0uvy6YcU"",""AO:AO""))"),64902.90635736229)</f>
        <v>64902.90636</v>
      </c>
      <c r="F22" s="25">
        <f>IFERROR(__xludf.DUMMYFUNCTION("SUMPRODUCT((IMPORTRANGE(""17XjIPGwafStTRf_8bPPaoi2EFjHVy10_rRJ0uvy6YcU"",""M:M"")=B22)*1, IMPORTRANGE(""17XjIPGwafStTRf_8bPPaoi2EFjHVy10_rRJ0uvy6YcU"",""X:X""))"),54.0)</f>
        <v>54</v>
      </c>
      <c r="G22" s="26">
        <f>IFERROR(__xludf.DUMMYFUNCTION("COUNTIF(IMPORTRANGE(""17XjIPGwafStTRf_8bPPaoi2EFjHVy10_rRJ0uvy6YcU"",""M:M""), B22)"),22.0)</f>
        <v>22</v>
      </c>
      <c r="H22" s="27">
        <f t="shared" si="1"/>
        <v>2.454545455</v>
      </c>
      <c r="I22" s="28">
        <f t="shared" si="2"/>
        <v>0.2532677742</v>
      </c>
      <c r="J22" s="29">
        <f t="shared" si="3"/>
        <v>0.4779903021</v>
      </c>
      <c r="K22" s="32"/>
      <c r="L22" s="31" t="str">
        <f t="shared" si="4"/>
        <v/>
      </c>
      <c r="M22" s="31" t="str">
        <f t="shared" si="5"/>
        <v/>
      </c>
      <c r="N22" s="4"/>
    </row>
    <row r="23">
      <c r="A23" s="1"/>
      <c r="B23" s="23">
        <f t="shared" si="6"/>
        <v>44791</v>
      </c>
      <c r="C23" s="24">
        <f>IFERROR(__xludf.DUMMYFUNCTION("SUMPRODUCT((IMPORTRANGE(""17XjIPGwafStTRf_8bPPaoi2EFjHVy10_rRJ0uvy6YcU"",""M:M"")=B23)*1, IMPORTRANGE(""17XjIPGwafStTRf_8bPPaoi2EFjHVy10_rRJ0uvy6YcU"",""X:X""), IMPORTRANGE(""17XjIPGwafStTRf_8bPPaoi2EFjHVy10_rRJ0uvy6YcU"",""AK:AK"")) - SUMPRODUCT((IMPORTR"&amp;"ANGE(""17XjIPGwafStTRf_8bPPaoi2EFjHVy10_rRJ0uvy6YcU"",""M:M"")=B23)*1, IMPORTRANGE(""17XjIPGwafStTRf_8bPPaoi2EFjHVy10_rRJ0uvy6YcU"",""X:X""), IMPORTRANGE(""17XjIPGwafStTRf_8bPPaoi2EFjHVy10_rRJ0uvy6YcU"",""AL:AL""))"),1320609.0)</f>
        <v>1320609</v>
      </c>
      <c r="D23" s="24">
        <f>IFERROR(__xludf.DUMMYFUNCTION("SUMPRODUCT((IMPORTRANGE(""17XjIPGwafStTRf_8bPPaoi2EFjHVy10_rRJ0uvy6YcU"",""M:M"")=B23)*1, IMPORTRANGE(""17XjIPGwafStTRf_8bPPaoi2EFjHVy10_rRJ0uvy6YcU"",""X:X""), IMPORTRANGE(""17XjIPGwafStTRf_8bPPaoi2EFjHVy10_rRJ0uvy6YcU"",""AA:AA"")) + SUMPRODUCT((IMPORTR"&amp;"ANGE(""17XjIPGwafStTRf_8bPPaoi2EFjHVy10_rRJ0uvy6YcU"",""M:M"")=B23)*1, IMPORTRANGE(""17XjIPGwafStTRf_8bPPaoi2EFjHVy10_rRJ0uvy6YcU"",""X:X""), IMPORTRANGE(""17XjIPGwafStTRf_8bPPaoi2EFjHVy10_rRJ0uvy6YcU"",""AE:AE"")) + SUMPRODUCT((IMPORTRANGE(""17XjIPGwafSt"&amp;"TRf_8bPPaoi2EFjHVy10_rRJ0uvy6YcU"",""M:M"")=B23)*1, IMPORTRANGE(""17XjIPGwafStTRf_8bPPaoi2EFjHVy10_rRJ0uvy6YcU"",""X:X""), IMPORTRANGE(""17XjIPGwafStTRf_8bPPaoi2EFjHVy10_rRJ0uvy6YcU"",""AF:AF""))"),681410.177178398)</f>
        <v>681410.1772</v>
      </c>
      <c r="E23" s="24">
        <f>IFERROR(__xludf.DUMMYFUNCTION("SUMPRODUCT((IMPORTRANGE(""17XjIPGwafStTRf_8bPPaoi2EFjHVy10_rRJ0uvy6YcU"",""M:M"")=B23)*1, IMPORTRANGE(""17XjIPGwafStTRf_8bPPaoi2EFjHVy10_rRJ0uvy6YcU"",""X:X""), IMPORTRANGE(""17XjIPGwafStTRf_8bPPaoi2EFjHVy10_rRJ0uvy6YcU"",""AO:AO""))"),302025.86682160187)</f>
        <v>302025.8668</v>
      </c>
      <c r="F23" s="25">
        <f>IFERROR(__xludf.DUMMYFUNCTION("SUMPRODUCT((IMPORTRANGE(""17XjIPGwafStTRf_8bPPaoi2EFjHVy10_rRJ0uvy6YcU"",""M:M"")=B23)*1, IMPORTRANGE(""17XjIPGwafStTRf_8bPPaoi2EFjHVy10_rRJ0uvy6YcU"",""X:X""))"),248.0)</f>
        <v>248</v>
      </c>
      <c r="G23" s="26">
        <f>IFERROR(__xludf.DUMMYFUNCTION("COUNTIF(IMPORTRANGE(""17XjIPGwafStTRf_8bPPaoi2EFjHVy10_rRJ0uvy6YcU"",""M:M""), B23)"),21.0)</f>
        <v>21</v>
      </c>
      <c r="H23" s="27">
        <f t="shared" si="1"/>
        <v>11.80952381</v>
      </c>
      <c r="I23" s="28">
        <f t="shared" si="2"/>
        <v>0.2287019601</v>
      </c>
      <c r="J23" s="29">
        <f t="shared" si="3"/>
        <v>0.4432365071</v>
      </c>
      <c r="K23" s="32"/>
      <c r="L23" s="31" t="str">
        <f t="shared" si="4"/>
        <v/>
      </c>
      <c r="M23" s="31" t="str">
        <f t="shared" si="5"/>
        <v/>
      </c>
      <c r="N23" s="4"/>
    </row>
    <row r="24">
      <c r="A24" s="1"/>
      <c r="B24" s="23">
        <f t="shared" si="6"/>
        <v>44792</v>
      </c>
      <c r="C24" s="24">
        <f>IFERROR(__xludf.DUMMYFUNCTION("SUMPRODUCT((IMPORTRANGE(""17XjIPGwafStTRf_8bPPaoi2EFjHVy10_rRJ0uvy6YcU"",""M:M"")=B24)*1, IMPORTRANGE(""17XjIPGwafStTRf_8bPPaoi2EFjHVy10_rRJ0uvy6YcU"",""X:X""), IMPORTRANGE(""17XjIPGwafStTRf_8bPPaoi2EFjHVy10_rRJ0uvy6YcU"",""AK:AK"")) - SUMPRODUCT((IMPORTR"&amp;"ANGE(""17XjIPGwafStTRf_8bPPaoi2EFjHVy10_rRJ0uvy6YcU"",""M:M"")=B24)*1, IMPORTRANGE(""17XjIPGwafStTRf_8bPPaoi2EFjHVy10_rRJ0uvy6YcU"",""X:X""), IMPORTRANGE(""17XjIPGwafStTRf_8bPPaoi2EFjHVy10_rRJ0uvy6YcU"",""AL:AL""))"),331845.12)</f>
        <v>331845.12</v>
      </c>
      <c r="D24" s="24">
        <f>IFERROR(__xludf.DUMMYFUNCTION("SUMPRODUCT((IMPORTRANGE(""17XjIPGwafStTRf_8bPPaoi2EFjHVy10_rRJ0uvy6YcU"",""M:M"")=B24)*1, IMPORTRANGE(""17XjIPGwafStTRf_8bPPaoi2EFjHVy10_rRJ0uvy6YcU"",""X:X""), IMPORTRANGE(""17XjIPGwafStTRf_8bPPaoi2EFjHVy10_rRJ0uvy6YcU"",""AA:AA"")) + SUMPRODUCT((IMPORTR"&amp;"ANGE(""17XjIPGwafStTRf_8bPPaoi2EFjHVy10_rRJ0uvy6YcU"",""M:M"")=B24)*1, IMPORTRANGE(""17XjIPGwafStTRf_8bPPaoi2EFjHVy10_rRJ0uvy6YcU"",""X:X""), IMPORTRANGE(""17XjIPGwafStTRf_8bPPaoi2EFjHVy10_rRJ0uvy6YcU"",""AE:AE"")) + SUMPRODUCT((IMPORTRANGE(""17XjIPGwafSt"&amp;"TRf_8bPPaoi2EFjHVy10_rRJ0uvy6YcU"",""M:M"")=B24)*1, IMPORTRANGE(""17XjIPGwafStTRf_8bPPaoi2EFjHVy10_rRJ0uvy6YcU"",""X:X""), IMPORTRANGE(""17XjIPGwafStTRf_8bPPaoi2EFjHVy10_rRJ0uvy6YcU"",""AF:AF""))"),195455.11875832023)</f>
        <v>195455.1188</v>
      </c>
      <c r="E24" s="24">
        <f>IFERROR(__xludf.DUMMYFUNCTION("SUMPRODUCT((IMPORTRANGE(""17XjIPGwafStTRf_8bPPaoi2EFjHVy10_rRJ0uvy6YcU"",""M:M"")=B24)*1, IMPORTRANGE(""17XjIPGwafStTRf_8bPPaoi2EFjHVy10_rRJ0uvy6YcU"",""X:X""), IMPORTRANGE(""17XjIPGwafStTRf_8bPPaoi2EFjHVy10_rRJ0uvy6YcU"",""AO:AO""))"),77026.1012416798)</f>
        <v>77026.10124</v>
      </c>
      <c r="F24" s="25">
        <f>IFERROR(__xludf.DUMMYFUNCTION("SUMPRODUCT((IMPORTRANGE(""17XjIPGwafStTRf_8bPPaoi2EFjHVy10_rRJ0uvy6YcU"",""M:M"")=B24)*1, IMPORTRANGE(""17XjIPGwafStTRf_8bPPaoi2EFjHVy10_rRJ0uvy6YcU"",""X:X""))"),47.0)</f>
        <v>47</v>
      </c>
      <c r="G24" s="26">
        <f>IFERROR(__xludf.DUMMYFUNCTION("COUNTIF(IMPORTRANGE(""17XjIPGwafStTRf_8bPPaoi2EFjHVy10_rRJ0uvy6YcU"",""M:M""), B24)"),23.0)</f>
        <v>23</v>
      </c>
      <c r="H24" s="27">
        <f t="shared" si="1"/>
        <v>2.043478261</v>
      </c>
      <c r="I24" s="28">
        <f t="shared" si="2"/>
        <v>0.2321146119</v>
      </c>
      <c r="J24" s="29">
        <f t="shared" si="3"/>
        <v>0.3940858737</v>
      </c>
      <c r="K24" s="30"/>
      <c r="L24" s="31" t="str">
        <f t="shared" si="4"/>
        <v/>
      </c>
      <c r="M24" s="31" t="str">
        <f t="shared" si="5"/>
        <v/>
      </c>
      <c r="N24" s="4"/>
    </row>
    <row r="25">
      <c r="A25" s="1"/>
      <c r="B25" s="23">
        <f t="shared" si="6"/>
        <v>44793</v>
      </c>
      <c r="C25" s="24">
        <f>IFERROR(__xludf.DUMMYFUNCTION("SUMPRODUCT((IMPORTRANGE(""17XjIPGwafStTRf_8bPPaoi2EFjHVy10_rRJ0uvy6YcU"",""M:M"")=B25)*1, IMPORTRANGE(""17XjIPGwafStTRf_8bPPaoi2EFjHVy10_rRJ0uvy6YcU"",""X:X""), IMPORTRANGE(""17XjIPGwafStTRf_8bPPaoi2EFjHVy10_rRJ0uvy6YcU"",""AK:AK"")) - SUMPRODUCT((IMPORTR"&amp;"ANGE(""17XjIPGwafStTRf_8bPPaoi2EFjHVy10_rRJ0uvy6YcU"",""M:M"")=B25)*1, IMPORTRANGE(""17XjIPGwafStTRf_8bPPaoi2EFjHVy10_rRJ0uvy6YcU"",""X:X""), IMPORTRANGE(""17XjIPGwafStTRf_8bPPaoi2EFjHVy10_rRJ0uvy6YcU"",""AL:AL""))"),566408.0)</f>
        <v>566408</v>
      </c>
      <c r="D25" s="24">
        <f>IFERROR(__xludf.DUMMYFUNCTION("SUMPRODUCT((IMPORTRANGE(""17XjIPGwafStTRf_8bPPaoi2EFjHVy10_rRJ0uvy6YcU"",""M:M"")=B25)*1, IMPORTRANGE(""17XjIPGwafStTRf_8bPPaoi2EFjHVy10_rRJ0uvy6YcU"",""X:X""), IMPORTRANGE(""17XjIPGwafStTRf_8bPPaoi2EFjHVy10_rRJ0uvy6YcU"",""AA:AA"")) + SUMPRODUCT((IMPORTR"&amp;"ANGE(""17XjIPGwafStTRf_8bPPaoi2EFjHVy10_rRJ0uvy6YcU"",""M:M"")=B25)*1, IMPORTRANGE(""17XjIPGwafStTRf_8bPPaoi2EFjHVy10_rRJ0uvy6YcU"",""X:X""), IMPORTRANGE(""17XjIPGwafStTRf_8bPPaoi2EFjHVy10_rRJ0uvy6YcU"",""AE:AE"")) + SUMPRODUCT((IMPORTRANGE(""17XjIPGwafSt"&amp;"TRf_8bPPaoi2EFjHVy10_rRJ0uvy6YcU"",""M:M"")=B25)*1, IMPORTRANGE(""17XjIPGwafStTRf_8bPPaoi2EFjHVy10_rRJ0uvy6YcU"",""X:X""), IMPORTRANGE(""17XjIPGwafStTRf_8bPPaoi2EFjHVy10_rRJ0uvy6YcU"",""AF:AF""))"),330647.97568814375)</f>
        <v>330647.9757</v>
      </c>
      <c r="E25" s="24">
        <f>IFERROR(__xludf.DUMMYFUNCTION("SUMPRODUCT((IMPORTRANGE(""17XjIPGwafStTRf_8bPPaoi2EFjHVy10_rRJ0uvy6YcU"",""M:M"")=B25)*1, IMPORTRANGE(""17XjIPGwafStTRf_8bPPaoi2EFjHVy10_rRJ0uvy6YcU"",""X:X""), IMPORTRANGE(""17XjIPGwafStTRf_8bPPaoi2EFjHVy10_rRJ0uvy6YcU"",""AO:AO""))"),139201.32431185618)</f>
        <v>139201.3243</v>
      </c>
      <c r="F25" s="25">
        <f>IFERROR(__xludf.DUMMYFUNCTION("SUMPRODUCT((IMPORTRANGE(""17XjIPGwafStTRf_8bPPaoi2EFjHVy10_rRJ0uvy6YcU"",""M:M"")=B25)*1, IMPORTRANGE(""17XjIPGwafStTRf_8bPPaoi2EFjHVy10_rRJ0uvy6YcU"",""X:X""))"),79.0)</f>
        <v>79</v>
      </c>
      <c r="G25" s="26">
        <f>IFERROR(__xludf.DUMMYFUNCTION("COUNTIF(IMPORTRANGE(""17XjIPGwafStTRf_8bPPaoi2EFjHVy10_rRJ0uvy6YcU"",""M:M""), B25)"),24.0)</f>
        <v>24</v>
      </c>
      <c r="H25" s="27">
        <f t="shared" si="1"/>
        <v>3.291666667</v>
      </c>
      <c r="I25" s="28">
        <f t="shared" si="2"/>
        <v>0.2457615788</v>
      </c>
      <c r="J25" s="29">
        <f t="shared" si="3"/>
        <v>0.4209955437</v>
      </c>
      <c r="K25" s="32"/>
      <c r="L25" s="31" t="str">
        <f t="shared" si="4"/>
        <v/>
      </c>
      <c r="M25" s="31" t="str">
        <f t="shared" si="5"/>
        <v/>
      </c>
      <c r="N25" s="4"/>
    </row>
    <row r="26">
      <c r="A26" s="1"/>
      <c r="B26" s="23">
        <f t="shared" si="6"/>
        <v>44794</v>
      </c>
      <c r="C26" s="24">
        <f>IFERROR(__xludf.DUMMYFUNCTION("SUMPRODUCT((IMPORTRANGE(""17XjIPGwafStTRf_8bPPaoi2EFjHVy10_rRJ0uvy6YcU"",""M:M"")=B26)*1, IMPORTRANGE(""17XjIPGwafStTRf_8bPPaoi2EFjHVy10_rRJ0uvy6YcU"",""X:X""), IMPORTRANGE(""17XjIPGwafStTRf_8bPPaoi2EFjHVy10_rRJ0uvy6YcU"",""AK:AK"")) - SUMPRODUCT((IMPORTR"&amp;"ANGE(""17XjIPGwafStTRf_8bPPaoi2EFjHVy10_rRJ0uvy6YcU"",""M:M"")=B26)*1, IMPORTRANGE(""17XjIPGwafStTRf_8bPPaoi2EFjHVy10_rRJ0uvy6YcU"",""X:X""), IMPORTRANGE(""17XjIPGwafStTRf_8bPPaoi2EFjHVy10_rRJ0uvy6YcU"",""AL:AL""))"),228579.0)</f>
        <v>228579</v>
      </c>
      <c r="D26" s="24">
        <f>IFERROR(__xludf.DUMMYFUNCTION("SUMPRODUCT((IMPORTRANGE(""17XjIPGwafStTRf_8bPPaoi2EFjHVy10_rRJ0uvy6YcU"",""M:M"")=B26)*1, IMPORTRANGE(""17XjIPGwafStTRf_8bPPaoi2EFjHVy10_rRJ0uvy6YcU"",""X:X""), IMPORTRANGE(""17XjIPGwafStTRf_8bPPaoi2EFjHVy10_rRJ0uvy6YcU"",""AA:AA"")) + SUMPRODUCT((IMPORTR"&amp;"ANGE(""17XjIPGwafStTRf_8bPPaoi2EFjHVy10_rRJ0uvy6YcU"",""M:M"")=B26)*1, IMPORTRANGE(""17XjIPGwafStTRf_8bPPaoi2EFjHVy10_rRJ0uvy6YcU"",""X:X""), IMPORTRANGE(""17XjIPGwafStTRf_8bPPaoi2EFjHVy10_rRJ0uvy6YcU"",""AE:AE"")) + SUMPRODUCT((IMPORTRANGE(""17XjIPGwafSt"&amp;"TRf_8bPPaoi2EFjHVy10_rRJ0uvy6YcU"",""M:M"")=B26)*1, IMPORTRANGE(""17XjIPGwafStTRf_8bPPaoi2EFjHVy10_rRJ0uvy6YcU"",""X:X""), IMPORTRANGE(""17XjIPGwafStTRf_8bPPaoi2EFjHVy10_rRJ0uvy6YcU"",""AF:AF""))"),119442.60995074661)</f>
        <v>119442.61</v>
      </c>
      <c r="E26" s="24">
        <f>IFERROR(__xludf.DUMMYFUNCTION("SUMPRODUCT((IMPORTRANGE(""17XjIPGwafStTRf_8bPPaoi2EFjHVy10_rRJ0uvy6YcU"",""M:M"")=B26)*1, IMPORTRANGE(""17XjIPGwafStTRf_8bPPaoi2EFjHVy10_rRJ0uvy6YcU"",""X:X""), IMPORTRANGE(""17XjIPGwafStTRf_8bPPaoi2EFjHVy10_rRJ0uvy6YcU"",""AO:AO""))"),67445.29004925335)</f>
        <v>67445.29005</v>
      </c>
      <c r="F26" s="25">
        <f>IFERROR(__xludf.DUMMYFUNCTION("SUMPRODUCT((IMPORTRANGE(""17XjIPGwafStTRf_8bPPaoi2EFjHVy10_rRJ0uvy6YcU"",""M:M"")=B26)*1, IMPORTRANGE(""17XjIPGwafStTRf_8bPPaoi2EFjHVy10_rRJ0uvy6YcU"",""X:X""))"),39.0)</f>
        <v>39</v>
      </c>
      <c r="G26" s="26">
        <f>IFERROR(__xludf.DUMMYFUNCTION("COUNTIF(IMPORTRANGE(""17XjIPGwafStTRf_8bPPaoi2EFjHVy10_rRJ0uvy6YcU"",""M:M""), B26)"),21.0)</f>
        <v>21</v>
      </c>
      <c r="H26" s="27">
        <f t="shared" si="1"/>
        <v>1.857142857</v>
      </c>
      <c r="I26" s="28">
        <f t="shared" si="2"/>
        <v>0.29506337</v>
      </c>
      <c r="J26" s="29">
        <f t="shared" si="3"/>
        <v>0.5646669147</v>
      </c>
      <c r="K26" s="30"/>
      <c r="L26" s="31" t="str">
        <f t="shared" si="4"/>
        <v/>
      </c>
      <c r="M26" s="31" t="str">
        <f t="shared" si="5"/>
        <v/>
      </c>
      <c r="N26" s="4"/>
    </row>
    <row r="27">
      <c r="A27" s="1"/>
      <c r="B27" s="23">
        <f t="shared" si="6"/>
        <v>44795</v>
      </c>
      <c r="C27" s="24">
        <f>IFERROR(__xludf.DUMMYFUNCTION("SUMPRODUCT((IMPORTRANGE(""17XjIPGwafStTRf_8bPPaoi2EFjHVy10_rRJ0uvy6YcU"",""M:M"")=B27)*1, IMPORTRANGE(""17XjIPGwafStTRf_8bPPaoi2EFjHVy10_rRJ0uvy6YcU"",""X:X""), IMPORTRANGE(""17XjIPGwafStTRf_8bPPaoi2EFjHVy10_rRJ0uvy6YcU"",""AK:AK"")) - SUMPRODUCT((IMPORTR"&amp;"ANGE(""17XjIPGwafStTRf_8bPPaoi2EFjHVy10_rRJ0uvy6YcU"",""M:M"")=B27)*1, IMPORTRANGE(""17XjIPGwafStTRf_8bPPaoi2EFjHVy10_rRJ0uvy6YcU"",""X:X""), IMPORTRANGE(""17XjIPGwafStTRf_8bPPaoi2EFjHVy10_rRJ0uvy6YcU"",""AL:AL""))"),299540.0)</f>
        <v>299540</v>
      </c>
      <c r="D27" s="24">
        <f>IFERROR(__xludf.DUMMYFUNCTION("SUMPRODUCT((IMPORTRANGE(""17XjIPGwafStTRf_8bPPaoi2EFjHVy10_rRJ0uvy6YcU"",""M:M"")=B27)*1, IMPORTRANGE(""17XjIPGwafStTRf_8bPPaoi2EFjHVy10_rRJ0uvy6YcU"",""X:X""), IMPORTRANGE(""17XjIPGwafStTRf_8bPPaoi2EFjHVy10_rRJ0uvy6YcU"",""AA:AA"")) + SUMPRODUCT((IMPORTR"&amp;"ANGE(""17XjIPGwafStTRf_8bPPaoi2EFjHVy10_rRJ0uvy6YcU"",""M:M"")=B27)*1, IMPORTRANGE(""17XjIPGwafStTRf_8bPPaoi2EFjHVy10_rRJ0uvy6YcU"",""X:X""), IMPORTRANGE(""17XjIPGwafStTRf_8bPPaoi2EFjHVy10_rRJ0uvy6YcU"",""AE:AE"")) + SUMPRODUCT((IMPORTRANGE(""17XjIPGwafSt"&amp;"TRf_8bPPaoi2EFjHVy10_rRJ0uvy6YcU"",""M:M"")=B27)*1, IMPORTRANGE(""17XjIPGwafStTRf_8bPPaoi2EFjHVy10_rRJ0uvy6YcU"",""X:X""), IMPORTRANGE(""17XjIPGwafStTRf_8bPPaoi2EFjHVy10_rRJ0uvy6YcU"",""AF:AF""))"),159577.34573839945)</f>
        <v>159577.3457</v>
      </c>
      <c r="E27" s="24">
        <f>IFERROR(__xludf.DUMMYFUNCTION("SUMPRODUCT((IMPORTRANGE(""17XjIPGwafStTRf_8bPPaoi2EFjHVy10_rRJ0uvy6YcU"",""M:M"")=B27)*1, IMPORTRANGE(""17XjIPGwafStTRf_8bPPaoi2EFjHVy10_rRJ0uvy6YcU"",""X:X""), IMPORTRANGE(""17XjIPGwafStTRf_8bPPaoi2EFjHVy10_rRJ0uvy6YcU"",""AO:AO""))"),84309.25426160051)</f>
        <v>84309.25426</v>
      </c>
      <c r="F27" s="25">
        <f>IFERROR(__xludf.DUMMYFUNCTION("SUMPRODUCT((IMPORTRANGE(""17XjIPGwafStTRf_8bPPaoi2EFjHVy10_rRJ0uvy6YcU"",""M:M"")=B27)*1, IMPORTRANGE(""17XjIPGwafStTRf_8bPPaoi2EFjHVy10_rRJ0uvy6YcU"",""X:X""))"),56.0)</f>
        <v>56</v>
      </c>
      <c r="G27" s="26">
        <f>IFERROR(__xludf.DUMMYFUNCTION("COUNTIF(IMPORTRANGE(""17XjIPGwafStTRf_8bPPaoi2EFjHVy10_rRJ0uvy6YcU"",""M:M""), B27)"),30.0)</f>
        <v>30</v>
      </c>
      <c r="H27" s="27">
        <f t="shared" si="1"/>
        <v>1.866666667</v>
      </c>
      <c r="I27" s="28">
        <f t="shared" si="2"/>
        <v>0.2814624233</v>
      </c>
      <c r="J27" s="29">
        <f t="shared" si="3"/>
        <v>0.5283284659</v>
      </c>
      <c r="K27" s="32"/>
      <c r="L27" s="31" t="str">
        <f t="shared" si="4"/>
        <v/>
      </c>
      <c r="M27" s="31" t="str">
        <f t="shared" si="5"/>
        <v/>
      </c>
      <c r="N27" s="4"/>
    </row>
    <row r="28">
      <c r="A28" s="1"/>
      <c r="B28" s="23">
        <f t="shared" si="6"/>
        <v>44796</v>
      </c>
      <c r="C28" s="24">
        <f>IFERROR(__xludf.DUMMYFUNCTION("SUMPRODUCT((IMPORTRANGE(""17XjIPGwafStTRf_8bPPaoi2EFjHVy10_rRJ0uvy6YcU"",""M:M"")=B28)*1, IMPORTRANGE(""17XjIPGwafStTRf_8bPPaoi2EFjHVy10_rRJ0uvy6YcU"",""X:X""), IMPORTRANGE(""17XjIPGwafStTRf_8bPPaoi2EFjHVy10_rRJ0uvy6YcU"",""AK:AK"")) - SUMPRODUCT((IMPORTR"&amp;"ANGE(""17XjIPGwafStTRf_8bPPaoi2EFjHVy10_rRJ0uvy6YcU"",""M:M"")=B28)*1, IMPORTRANGE(""17XjIPGwafStTRf_8bPPaoi2EFjHVy10_rRJ0uvy6YcU"",""X:X""), IMPORTRANGE(""17XjIPGwafStTRf_8bPPaoi2EFjHVy10_rRJ0uvy6YcU"",""AL:AL""))"),0.0)</f>
        <v>0</v>
      </c>
      <c r="D28" s="24">
        <f>IFERROR(__xludf.DUMMYFUNCTION("SUMPRODUCT((IMPORTRANGE(""17XjIPGwafStTRf_8bPPaoi2EFjHVy10_rRJ0uvy6YcU"",""M:M"")=B28)*1, IMPORTRANGE(""17XjIPGwafStTRf_8bPPaoi2EFjHVy10_rRJ0uvy6YcU"",""X:X""), IMPORTRANGE(""17XjIPGwafStTRf_8bPPaoi2EFjHVy10_rRJ0uvy6YcU"",""AA:AA"")) + SUMPRODUCT((IMPORTR"&amp;"ANGE(""17XjIPGwafStTRf_8bPPaoi2EFjHVy10_rRJ0uvy6YcU"",""M:M"")=B28)*1, IMPORTRANGE(""17XjIPGwafStTRf_8bPPaoi2EFjHVy10_rRJ0uvy6YcU"",""X:X""), IMPORTRANGE(""17XjIPGwafStTRf_8bPPaoi2EFjHVy10_rRJ0uvy6YcU"",""AE:AE"")) + SUMPRODUCT((IMPORTRANGE(""17XjIPGwafSt"&amp;"TRf_8bPPaoi2EFjHVy10_rRJ0uvy6YcU"",""M:M"")=B28)*1, IMPORTRANGE(""17XjIPGwafStTRf_8bPPaoi2EFjHVy10_rRJ0uvy6YcU"",""X:X""), IMPORTRANGE(""17XjIPGwafStTRf_8bPPaoi2EFjHVy10_rRJ0uvy6YcU"",""AF:AF""))"),0.0)</f>
        <v>0</v>
      </c>
      <c r="E28" s="24">
        <f>IFERROR(__xludf.DUMMYFUNCTION("SUMPRODUCT((IMPORTRANGE(""17XjIPGwafStTRf_8bPPaoi2EFjHVy10_rRJ0uvy6YcU"",""M:M"")=B28)*1, IMPORTRANGE(""17XjIPGwafStTRf_8bPPaoi2EFjHVy10_rRJ0uvy6YcU"",""X:X""), IMPORTRANGE(""17XjIPGwafStTRf_8bPPaoi2EFjHVy10_rRJ0uvy6YcU"",""AO:AO""))"),0.0)</f>
        <v>0</v>
      </c>
      <c r="F28" s="25">
        <f>IFERROR(__xludf.DUMMYFUNCTION("SUMPRODUCT((IMPORTRANGE(""17XjIPGwafStTRf_8bPPaoi2EFjHVy10_rRJ0uvy6YcU"",""M:M"")=B28)*1, IMPORTRANGE(""17XjIPGwafStTRf_8bPPaoi2EFjHVy10_rRJ0uvy6YcU"",""X:X""))"),0.0)</f>
        <v>0</v>
      </c>
      <c r="G28" s="26">
        <f>IFERROR(__xludf.DUMMYFUNCTION("COUNTIF(IMPORTRANGE(""17XjIPGwafStTRf_8bPPaoi2EFjHVy10_rRJ0uvy6YcU"",""M:M""), B28)"),0.0)</f>
        <v>0</v>
      </c>
      <c r="H28" s="27" t="str">
        <f t="shared" si="1"/>
        <v/>
      </c>
      <c r="I28" s="28" t="str">
        <f t="shared" si="2"/>
        <v/>
      </c>
      <c r="J28" s="29" t="str">
        <f t="shared" si="3"/>
        <v/>
      </c>
      <c r="K28" s="32"/>
      <c r="L28" s="31" t="str">
        <f t="shared" si="4"/>
        <v/>
      </c>
      <c r="M28" s="31" t="str">
        <f t="shared" si="5"/>
        <v/>
      </c>
      <c r="N28" s="4"/>
    </row>
    <row r="29">
      <c r="A29" s="1"/>
      <c r="B29" s="23">
        <f t="shared" si="6"/>
        <v>44797</v>
      </c>
      <c r="C29" s="24">
        <f>IFERROR(__xludf.DUMMYFUNCTION("SUMPRODUCT((IMPORTRANGE(""17XjIPGwafStTRf_8bPPaoi2EFjHVy10_rRJ0uvy6YcU"",""M:M"")=B29)*1, IMPORTRANGE(""17XjIPGwafStTRf_8bPPaoi2EFjHVy10_rRJ0uvy6YcU"",""X:X""), IMPORTRANGE(""17XjIPGwafStTRf_8bPPaoi2EFjHVy10_rRJ0uvy6YcU"",""AK:AK"")) - SUMPRODUCT((IMPORTR"&amp;"ANGE(""17XjIPGwafStTRf_8bPPaoi2EFjHVy10_rRJ0uvy6YcU"",""M:M"")=B29)*1, IMPORTRANGE(""17XjIPGwafStTRf_8bPPaoi2EFjHVy10_rRJ0uvy6YcU"",""X:X""), IMPORTRANGE(""17XjIPGwafStTRf_8bPPaoi2EFjHVy10_rRJ0uvy6YcU"",""AL:AL""))"),0.0)</f>
        <v>0</v>
      </c>
      <c r="D29" s="24">
        <f>IFERROR(__xludf.DUMMYFUNCTION("SUMPRODUCT((IMPORTRANGE(""17XjIPGwafStTRf_8bPPaoi2EFjHVy10_rRJ0uvy6YcU"",""M:M"")=B29)*1, IMPORTRANGE(""17XjIPGwafStTRf_8bPPaoi2EFjHVy10_rRJ0uvy6YcU"",""X:X""), IMPORTRANGE(""17XjIPGwafStTRf_8bPPaoi2EFjHVy10_rRJ0uvy6YcU"",""AA:AA"")) + SUMPRODUCT((IMPORTR"&amp;"ANGE(""17XjIPGwafStTRf_8bPPaoi2EFjHVy10_rRJ0uvy6YcU"",""M:M"")=B29)*1, IMPORTRANGE(""17XjIPGwafStTRf_8bPPaoi2EFjHVy10_rRJ0uvy6YcU"",""X:X""), IMPORTRANGE(""17XjIPGwafStTRf_8bPPaoi2EFjHVy10_rRJ0uvy6YcU"",""AE:AE"")) + SUMPRODUCT((IMPORTRANGE(""17XjIPGwafSt"&amp;"TRf_8bPPaoi2EFjHVy10_rRJ0uvy6YcU"",""M:M"")=B29)*1, IMPORTRANGE(""17XjIPGwafStTRf_8bPPaoi2EFjHVy10_rRJ0uvy6YcU"",""X:X""), IMPORTRANGE(""17XjIPGwafStTRf_8bPPaoi2EFjHVy10_rRJ0uvy6YcU"",""AF:AF""))"),0.0)</f>
        <v>0</v>
      </c>
      <c r="E29" s="24">
        <f>IFERROR(__xludf.DUMMYFUNCTION("SUMPRODUCT((IMPORTRANGE(""17XjIPGwafStTRf_8bPPaoi2EFjHVy10_rRJ0uvy6YcU"",""M:M"")=B29)*1, IMPORTRANGE(""17XjIPGwafStTRf_8bPPaoi2EFjHVy10_rRJ0uvy6YcU"",""X:X""), IMPORTRANGE(""17XjIPGwafStTRf_8bPPaoi2EFjHVy10_rRJ0uvy6YcU"",""AO:AO""))"),0.0)</f>
        <v>0</v>
      </c>
      <c r="F29" s="25">
        <f>IFERROR(__xludf.DUMMYFUNCTION("SUMPRODUCT((IMPORTRANGE(""17XjIPGwafStTRf_8bPPaoi2EFjHVy10_rRJ0uvy6YcU"",""M:M"")=B29)*1, IMPORTRANGE(""17XjIPGwafStTRf_8bPPaoi2EFjHVy10_rRJ0uvy6YcU"",""X:X""))"),0.0)</f>
        <v>0</v>
      </c>
      <c r="G29" s="26">
        <f>IFERROR(__xludf.DUMMYFUNCTION("COUNTIF(IMPORTRANGE(""17XjIPGwafStTRf_8bPPaoi2EFjHVy10_rRJ0uvy6YcU"",""M:M""), B29)"),0.0)</f>
        <v>0</v>
      </c>
      <c r="H29" s="27" t="str">
        <f t="shared" si="1"/>
        <v/>
      </c>
      <c r="I29" s="28" t="str">
        <f t="shared" si="2"/>
        <v/>
      </c>
      <c r="J29" s="29" t="str">
        <f t="shared" si="3"/>
        <v/>
      </c>
      <c r="K29" s="32"/>
      <c r="L29" s="31" t="str">
        <f t="shared" si="4"/>
        <v/>
      </c>
      <c r="M29" s="31" t="str">
        <f t="shared" si="5"/>
        <v/>
      </c>
      <c r="N29" s="4"/>
    </row>
    <row r="30">
      <c r="A30" s="1"/>
      <c r="B30" s="23">
        <f t="shared" si="6"/>
        <v>44798</v>
      </c>
      <c r="C30" s="24">
        <f>IFERROR(__xludf.DUMMYFUNCTION("SUMPRODUCT((IMPORTRANGE(""17XjIPGwafStTRf_8bPPaoi2EFjHVy10_rRJ0uvy6YcU"",""M:M"")=B30)*1, IMPORTRANGE(""17XjIPGwafStTRf_8bPPaoi2EFjHVy10_rRJ0uvy6YcU"",""X:X""), IMPORTRANGE(""17XjIPGwafStTRf_8bPPaoi2EFjHVy10_rRJ0uvy6YcU"",""AK:AK"")) - SUMPRODUCT((IMPORTR"&amp;"ANGE(""17XjIPGwafStTRf_8bPPaoi2EFjHVy10_rRJ0uvy6YcU"",""M:M"")=B30)*1, IMPORTRANGE(""17XjIPGwafStTRf_8bPPaoi2EFjHVy10_rRJ0uvy6YcU"",""X:X""), IMPORTRANGE(""17XjIPGwafStTRf_8bPPaoi2EFjHVy10_rRJ0uvy6YcU"",""AL:AL""))"),0.0)</f>
        <v>0</v>
      </c>
      <c r="D30" s="24">
        <f>IFERROR(__xludf.DUMMYFUNCTION("SUMPRODUCT((IMPORTRANGE(""17XjIPGwafStTRf_8bPPaoi2EFjHVy10_rRJ0uvy6YcU"",""M:M"")=B30)*1, IMPORTRANGE(""17XjIPGwafStTRf_8bPPaoi2EFjHVy10_rRJ0uvy6YcU"",""X:X""), IMPORTRANGE(""17XjIPGwafStTRf_8bPPaoi2EFjHVy10_rRJ0uvy6YcU"",""AA:AA"")) + SUMPRODUCT((IMPORTR"&amp;"ANGE(""17XjIPGwafStTRf_8bPPaoi2EFjHVy10_rRJ0uvy6YcU"",""M:M"")=B30)*1, IMPORTRANGE(""17XjIPGwafStTRf_8bPPaoi2EFjHVy10_rRJ0uvy6YcU"",""X:X""), IMPORTRANGE(""17XjIPGwafStTRf_8bPPaoi2EFjHVy10_rRJ0uvy6YcU"",""AE:AE"")) + SUMPRODUCT((IMPORTRANGE(""17XjIPGwafSt"&amp;"TRf_8bPPaoi2EFjHVy10_rRJ0uvy6YcU"",""M:M"")=B30)*1, IMPORTRANGE(""17XjIPGwafStTRf_8bPPaoi2EFjHVy10_rRJ0uvy6YcU"",""X:X""), IMPORTRANGE(""17XjIPGwafStTRf_8bPPaoi2EFjHVy10_rRJ0uvy6YcU"",""AF:AF""))"),0.0)</f>
        <v>0</v>
      </c>
      <c r="E30" s="24">
        <f>IFERROR(__xludf.DUMMYFUNCTION("SUMPRODUCT((IMPORTRANGE(""17XjIPGwafStTRf_8bPPaoi2EFjHVy10_rRJ0uvy6YcU"",""M:M"")=B30)*1, IMPORTRANGE(""17XjIPGwafStTRf_8bPPaoi2EFjHVy10_rRJ0uvy6YcU"",""X:X""), IMPORTRANGE(""17XjIPGwafStTRf_8bPPaoi2EFjHVy10_rRJ0uvy6YcU"",""AO:AO""))"),0.0)</f>
        <v>0</v>
      </c>
      <c r="F30" s="25">
        <f>IFERROR(__xludf.DUMMYFUNCTION("SUMPRODUCT((IMPORTRANGE(""17XjIPGwafStTRf_8bPPaoi2EFjHVy10_rRJ0uvy6YcU"",""M:M"")=B30)*1, IMPORTRANGE(""17XjIPGwafStTRf_8bPPaoi2EFjHVy10_rRJ0uvy6YcU"",""X:X""))"),0.0)</f>
        <v>0</v>
      </c>
      <c r="G30" s="26">
        <f>IFERROR(__xludf.DUMMYFUNCTION("COUNTIF(IMPORTRANGE(""17XjIPGwafStTRf_8bPPaoi2EFjHVy10_rRJ0uvy6YcU"",""M:M""), B30)"),0.0)</f>
        <v>0</v>
      </c>
      <c r="H30" s="27" t="str">
        <f t="shared" si="1"/>
        <v/>
      </c>
      <c r="I30" s="28" t="str">
        <f t="shared" si="2"/>
        <v/>
      </c>
      <c r="J30" s="29" t="str">
        <f t="shared" si="3"/>
        <v/>
      </c>
      <c r="K30" s="30"/>
      <c r="L30" s="31" t="str">
        <f t="shared" si="4"/>
        <v/>
      </c>
      <c r="M30" s="31" t="str">
        <f t="shared" si="5"/>
        <v/>
      </c>
      <c r="N30" s="4"/>
    </row>
    <row r="31">
      <c r="A31" s="1"/>
      <c r="B31" s="23">
        <f t="shared" si="6"/>
        <v>44799</v>
      </c>
      <c r="C31" s="24">
        <f>IFERROR(__xludf.DUMMYFUNCTION("SUMPRODUCT((IMPORTRANGE(""17XjIPGwafStTRf_8bPPaoi2EFjHVy10_rRJ0uvy6YcU"",""M:M"")=B31)*1, IMPORTRANGE(""17XjIPGwafStTRf_8bPPaoi2EFjHVy10_rRJ0uvy6YcU"",""X:X""), IMPORTRANGE(""17XjIPGwafStTRf_8bPPaoi2EFjHVy10_rRJ0uvy6YcU"",""AK:AK"")) - SUMPRODUCT((IMPORTR"&amp;"ANGE(""17XjIPGwafStTRf_8bPPaoi2EFjHVy10_rRJ0uvy6YcU"",""M:M"")=B31)*1, IMPORTRANGE(""17XjIPGwafStTRf_8bPPaoi2EFjHVy10_rRJ0uvy6YcU"",""X:X""), IMPORTRANGE(""17XjIPGwafStTRf_8bPPaoi2EFjHVy10_rRJ0uvy6YcU"",""AL:AL""))"),0.0)</f>
        <v>0</v>
      </c>
      <c r="D31" s="24">
        <f>IFERROR(__xludf.DUMMYFUNCTION("SUMPRODUCT((IMPORTRANGE(""17XjIPGwafStTRf_8bPPaoi2EFjHVy10_rRJ0uvy6YcU"",""M:M"")=B31)*1, IMPORTRANGE(""17XjIPGwafStTRf_8bPPaoi2EFjHVy10_rRJ0uvy6YcU"",""X:X""), IMPORTRANGE(""17XjIPGwafStTRf_8bPPaoi2EFjHVy10_rRJ0uvy6YcU"",""AA:AA"")) + SUMPRODUCT((IMPORTR"&amp;"ANGE(""17XjIPGwafStTRf_8bPPaoi2EFjHVy10_rRJ0uvy6YcU"",""M:M"")=B31)*1, IMPORTRANGE(""17XjIPGwafStTRf_8bPPaoi2EFjHVy10_rRJ0uvy6YcU"",""X:X""), IMPORTRANGE(""17XjIPGwafStTRf_8bPPaoi2EFjHVy10_rRJ0uvy6YcU"",""AE:AE"")) + SUMPRODUCT((IMPORTRANGE(""17XjIPGwafSt"&amp;"TRf_8bPPaoi2EFjHVy10_rRJ0uvy6YcU"",""M:M"")=B31)*1, IMPORTRANGE(""17XjIPGwafStTRf_8bPPaoi2EFjHVy10_rRJ0uvy6YcU"",""X:X""), IMPORTRANGE(""17XjIPGwafStTRf_8bPPaoi2EFjHVy10_rRJ0uvy6YcU"",""AF:AF""))"),0.0)</f>
        <v>0</v>
      </c>
      <c r="E31" s="24">
        <f>IFERROR(__xludf.DUMMYFUNCTION("SUMPRODUCT((IMPORTRANGE(""17XjIPGwafStTRf_8bPPaoi2EFjHVy10_rRJ0uvy6YcU"",""M:M"")=B31)*1, IMPORTRANGE(""17XjIPGwafStTRf_8bPPaoi2EFjHVy10_rRJ0uvy6YcU"",""X:X""), IMPORTRANGE(""17XjIPGwafStTRf_8bPPaoi2EFjHVy10_rRJ0uvy6YcU"",""AO:AO""))"),0.0)</f>
        <v>0</v>
      </c>
      <c r="F31" s="25">
        <f>IFERROR(__xludf.DUMMYFUNCTION("SUMPRODUCT((IMPORTRANGE(""17XjIPGwafStTRf_8bPPaoi2EFjHVy10_rRJ0uvy6YcU"",""M:M"")=B31)*1, IMPORTRANGE(""17XjIPGwafStTRf_8bPPaoi2EFjHVy10_rRJ0uvy6YcU"",""X:X""))"),0.0)</f>
        <v>0</v>
      </c>
      <c r="G31" s="26">
        <f>IFERROR(__xludf.DUMMYFUNCTION("COUNTIF(IMPORTRANGE(""17XjIPGwafStTRf_8bPPaoi2EFjHVy10_rRJ0uvy6YcU"",""M:M""), B31)"),0.0)</f>
        <v>0</v>
      </c>
      <c r="H31" s="27" t="str">
        <f t="shared" si="1"/>
        <v/>
      </c>
      <c r="I31" s="28" t="str">
        <f t="shared" si="2"/>
        <v/>
      </c>
      <c r="J31" s="29" t="str">
        <f t="shared" si="3"/>
        <v/>
      </c>
      <c r="K31" s="30"/>
      <c r="L31" s="31" t="str">
        <f t="shared" si="4"/>
        <v/>
      </c>
      <c r="M31" s="31" t="str">
        <f t="shared" si="5"/>
        <v/>
      </c>
      <c r="N31" s="4"/>
    </row>
    <row r="32">
      <c r="A32" s="1"/>
      <c r="B32" s="23">
        <f t="shared" si="6"/>
        <v>44800</v>
      </c>
      <c r="C32" s="24">
        <f>IFERROR(__xludf.DUMMYFUNCTION("SUMPRODUCT((IMPORTRANGE(""17XjIPGwafStTRf_8bPPaoi2EFjHVy10_rRJ0uvy6YcU"",""M:M"")=B32)*1, IMPORTRANGE(""17XjIPGwafStTRf_8bPPaoi2EFjHVy10_rRJ0uvy6YcU"",""X:X""), IMPORTRANGE(""17XjIPGwafStTRf_8bPPaoi2EFjHVy10_rRJ0uvy6YcU"",""AK:AK"")) - SUMPRODUCT((IMPORTR"&amp;"ANGE(""17XjIPGwafStTRf_8bPPaoi2EFjHVy10_rRJ0uvy6YcU"",""M:M"")=B32)*1, IMPORTRANGE(""17XjIPGwafStTRf_8bPPaoi2EFjHVy10_rRJ0uvy6YcU"",""X:X""), IMPORTRANGE(""17XjIPGwafStTRf_8bPPaoi2EFjHVy10_rRJ0uvy6YcU"",""AL:AL""))"),0.0)</f>
        <v>0</v>
      </c>
      <c r="D32" s="24">
        <f>IFERROR(__xludf.DUMMYFUNCTION("SUMPRODUCT((IMPORTRANGE(""17XjIPGwafStTRf_8bPPaoi2EFjHVy10_rRJ0uvy6YcU"",""M:M"")=B32)*1, IMPORTRANGE(""17XjIPGwafStTRf_8bPPaoi2EFjHVy10_rRJ0uvy6YcU"",""X:X""), IMPORTRANGE(""17XjIPGwafStTRf_8bPPaoi2EFjHVy10_rRJ0uvy6YcU"",""AA:AA"")) + SUMPRODUCT((IMPORTR"&amp;"ANGE(""17XjIPGwafStTRf_8bPPaoi2EFjHVy10_rRJ0uvy6YcU"",""M:M"")=B32)*1, IMPORTRANGE(""17XjIPGwafStTRf_8bPPaoi2EFjHVy10_rRJ0uvy6YcU"",""X:X""), IMPORTRANGE(""17XjIPGwafStTRf_8bPPaoi2EFjHVy10_rRJ0uvy6YcU"",""AE:AE"")) + SUMPRODUCT((IMPORTRANGE(""17XjIPGwafSt"&amp;"TRf_8bPPaoi2EFjHVy10_rRJ0uvy6YcU"",""M:M"")=B32)*1, IMPORTRANGE(""17XjIPGwafStTRf_8bPPaoi2EFjHVy10_rRJ0uvy6YcU"",""X:X""), IMPORTRANGE(""17XjIPGwafStTRf_8bPPaoi2EFjHVy10_rRJ0uvy6YcU"",""AF:AF""))"),0.0)</f>
        <v>0</v>
      </c>
      <c r="E32" s="24">
        <f>IFERROR(__xludf.DUMMYFUNCTION("SUMPRODUCT((IMPORTRANGE(""17XjIPGwafStTRf_8bPPaoi2EFjHVy10_rRJ0uvy6YcU"",""M:M"")=B32)*1, IMPORTRANGE(""17XjIPGwafStTRf_8bPPaoi2EFjHVy10_rRJ0uvy6YcU"",""X:X""), IMPORTRANGE(""17XjIPGwafStTRf_8bPPaoi2EFjHVy10_rRJ0uvy6YcU"",""AO:AO""))"),0.0)</f>
        <v>0</v>
      </c>
      <c r="F32" s="25">
        <f>IFERROR(__xludf.DUMMYFUNCTION("SUMPRODUCT((IMPORTRANGE(""17XjIPGwafStTRf_8bPPaoi2EFjHVy10_rRJ0uvy6YcU"",""M:M"")=B32)*1, IMPORTRANGE(""17XjIPGwafStTRf_8bPPaoi2EFjHVy10_rRJ0uvy6YcU"",""X:X""))"),0.0)</f>
        <v>0</v>
      </c>
      <c r="G32" s="26">
        <f>IFERROR(__xludf.DUMMYFUNCTION("COUNTIF(IMPORTRANGE(""17XjIPGwafStTRf_8bPPaoi2EFjHVy10_rRJ0uvy6YcU"",""M:M""), B32)"),0.0)</f>
        <v>0</v>
      </c>
      <c r="H32" s="27" t="str">
        <f t="shared" si="1"/>
        <v/>
      </c>
      <c r="I32" s="28" t="str">
        <f t="shared" si="2"/>
        <v/>
      </c>
      <c r="J32" s="29" t="str">
        <f t="shared" si="3"/>
        <v/>
      </c>
      <c r="K32" s="32"/>
      <c r="L32" s="31" t="str">
        <f t="shared" si="4"/>
        <v/>
      </c>
      <c r="M32" s="31" t="str">
        <f t="shared" si="5"/>
        <v/>
      </c>
      <c r="N32" s="4"/>
    </row>
    <row r="33">
      <c r="A33" s="1"/>
      <c r="B33" s="23">
        <f t="shared" si="6"/>
        <v>44801</v>
      </c>
      <c r="C33" s="24">
        <f>IFERROR(__xludf.DUMMYFUNCTION("SUMPRODUCT((IMPORTRANGE(""17XjIPGwafStTRf_8bPPaoi2EFjHVy10_rRJ0uvy6YcU"",""M:M"")=B33)*1, IMPORTRANGE(""17XjIPGwafStTRf_8bPPaoi2EFjHVy10_rRJ0uvy6YcU"",""X:X""), IMPORTRANGE(""17XjIPGwafStTRf_8bPPaoi2EFjHVy10_rRJ0uvy6YcU"",""AK:AK"")) - SUMPRODUCT((IMPORTR"&amp;"ANGE(""17XjIPGwafStTRf_8bPPaoi2EFjHVy10_rRJ0uvy6YcU"",""M:M"")=B33)*1, IMPORTRANGE(""17XjIPGwafStTRf_8bPPaoi2EFjHVy10_rRJ0uvy6YcU"",""X:X""), IMPORTRANGE(""17XjIPGwafStTRf_8bPPaoi2EFjHVy10_rRJ0uvy6YcU"",""AL:AL""))"),0.0)</f>
        <v>0</v>
      </c>
      <c r="D33" s="24">
        <f>IFERROR(__xludf.DUMMYFUNCTION("SUMPRODUCT((IMPORTRANGE(""17XjIPGwafStTRf_8bPPaoi2EFjHVy10_rRJ0uvy6YcU"",""M:M"")=B33)*1, IMPORTRANGE(""17XjIPGwafStTRf_8bPPaoi2EFjHVy10_rRJ0uvy6YcU"",""X:X""), IMPORTRANGE(""17XjIPGwafStTRf_8bPPaoi2EFjHVy10_rRJ0uvy6YcU"",""AA:AA"")) + SUMPRODUCT((IMPORTR"&amp;"ANGE(""17XjIPGwafStTRf_8bPPaoi2EFjHVy10_rRJ0uvy6YcU"",""M:M"")=B33)*1, IMPORTRANGE(""17XjIPGwafStTRf_8bPPaoi2EFjHVy10_rRJ0uvy6YcU"",""X:X""), IMPORTRANGE(""17XjIPGwafStTRf_8bPPaoi2EFjHVy10_rRJ0uvy6YcU"",""AE:AE"")) + SUMPRODUCT((IMPORTRANGE(""17XjIPGwafSt"&amp;"TRf_8bPPaoi2EFjHVy10_rRJ0uvy6YcU"",""M:M"")=B33)*1, IMPORTRANGE(""17XjIPGwafStTRf_8bPPaoi2EFjHVy10_rRJ0uvy6YcU"",""X:X""), IMPORTRANGE(""17XjIPGwafStTRf_8bPPaoi2EFjHVy10_rRJ0uvy6YcU"",""AF:AF""))"),0.0)</f>
        <v>0</v>
      </c>
      <c r="E33" s="24">
        <f>IFERROR(__xludf.DUMMYFUNCTION("SUMPRODUCT((IMPORTRANGE(""17XjIPGwafStTRf_8bPPaoi2EFjHVy10_rRJ0uvy6YcU"",""M:M"")=B33)*1, IMPORTRANGE(""17XjIPGwafStTRf_8bPPaoi2EFjHVy10_rRJ0uvy6YcU"",""X:X""), IMPORTRANGE(""17XjIPGwafStTRf_8bPPaoi2EFjHVy10_rRJ0uvy6YcU"",""AO:AO""))"),0.0)</f>
        <v>0</v>
      </c>
      <c r="F33" s="25">
        <f>IFERROR(__xludf.DUMMYFUNCTION("SUMPRODUCT((IMPORTRANGE(""17XjIPGwafStTRf_8bPPaoi2EFjHVy10_rRJ0uvy6YcU"",""M:M"")=B33)*1, IMPORTRANGE(""17XjIPGwafStTRf_8bPPaoi2EFjHVy10_rRJ0uvy6YcU"",""X:X""))"),0.0)</f>
        <v>0</v>
      </c>
      <c r="G33" s="26">
        <f>IFERROR(__xludf.DUMMYFUNCTION("COUNTIF(IMPORTRANGE(""17XjIPGwafStTRf_8bPPaoi2EFjHVy10_rRJ0uvy6YcU"",""M:M""), B33)"),0.0)</f>
        <v>0</v>
      </c>
      <c r="H33" s="27" t="str">
        <f t="shared" si="1"/>
        <v/>
      </c>
      <c r="I33" s="28" t="str">
        <f t="shared" si="2"/>
        <v/>
      </c>
      <c r="J33" s="29" t="str">
        <f t="shared" si="3"/>
        <v/>
      </c>
      <c r="K33" s="30"/>
      <c r="L33" s="31" t="str">
        <f t="shared" si="4"/>
        <v/>
      </c>
      <c r="M33" s="31" t="str">
        <f t="shared" si="5"/>
        <v/>
      </c>
      <c r="N33" s="4"/>
    </row>
    <row r="34">
      <c r="A34" s="1"/>
      <c r="B34" s="23">
        <f t="shared" ref="B34:B36" si="7">IFERROR(IF(MONTH(B33)=MONTH(B33+1),B33+1,"--"),"--")</f>
        <v>44802</v>
      </c>
      <c r="C34" s="24">
        <f>IFERROR(__xludf.DUMMYFUNCTION("SUMPRODUCT((IMPORTRANGE(""17XjIPGwafStTRf_8bPPaoi2EFjHVy10_rRJ0uvy6YcU"",""M:M"")=B34)*1, IMPORTRANGE(""17XjIPGwafStTRf_8bPPaoi2EFjHVy10_rRJ0uvy6YcU"",""X:X""), IMPORTRANGE(""17XjIPGwafStTRf_8bPPaoi2EFjHVy10_rRJ0uvy6YcU"",""AK:AK"")) - SUMPRODUCT((IMPORTR"&amp;"ANGE(""17XjIPGwafStTRf_8bPPaoi2EFjHVy10_rRJ0uvy6YcU"",""M:M"")=B34)*1, IMPORTRANGE(""17XjIPGwafStTRf_8bPPaoi2EFjHVy10_rRJ0uvy6YcU"",""X:X""), IMPORTRANGE(""17XjIPGwafStTRf_8bPPaoi2EFjHVy10_rRJ0uvy6YcU"",""AL:AL""))"),0.0)</f>
        <v>0</v>
      </c>
      <c r="D34" s="24">
        <f>IFERROR(__xludf.DUMMYFUNCTION("SUMPRODUCT((IMPORTRANGE(""17XjIPGwafStTRf_8bPPaoi2EFjHVy10_rRJ0uvy6YcU"",""M:M"")=B34)*1, IMPORTRANGE(""17XjIPGwafStTRf_8bPPaoi2EFjHVy10_rRJ0uvy6YcU"",""X:X""), IMPORTRANGE(""17XjIPGwafStTRf_8bPPaoi2EFjHVy10_rRJ0uvy6YcU"",""AA:AA"")) + SUMPRODUCT((IMPORTR"&amp;"ANGE(""17XjIPGwafStTRf_8bPPaoi2EFjHVy10_rRJ0uvy6YcU"",""M:M"")=B34)*1, IMPORTRANGE(""17XjIPGwafStTRf_8bPPaoi2EFjHVy10_rRJ0uvy6YcU"",""X:X""), IMPORTRANGE(""17XjIPGwafStTRf_8bPPaoi2EFjHVy10_rRJ0uvy6YcU"",""AE:AE"")) + SUMPRODUCT((IMPORTRANGE(""17XjIPGwafSt"&amp;"TRf_8bPPaoi2EFjHVy10_rRJ0uvy6YcU"",""M:M"")=B34)*1, IMPORTRANGE(""17XjIPGwafStTRf_8bPPaoi2EFjHVy10_rRJ0uvy6YcU"",""X:X""), IMPORTRANGE(""17XjIPGwafStTRf_8bPPaoi2EFjHVy10_rRJ0uvy6YcU"",""AF:AF""))"),0.0)</f>
        <v>0</v>
      </c>
      <c r="E34" s="24">
        <f>IFERROR(__xludf.DUMMYFUNCTION("SUMPRODUCT((IMPORTRANGE(""17XjIPGwafStTRf_8bPPaoi2EFjHVy10_rRJ0uvy6YcU"",""M:M"")=B34)*1, IMPORTRANGE(""17XjIPGwafStTRf_8bPPaoi2EFjHVy10_rRJ0uvy6YcU"",""X:X""), IMPORTRANGE(""17XjIPGwafStTRf_8bPPaoi2EFjHVy10_rRJ0uvy6YcU"",""AO:AO""))"),0.0)</f>
        <v>0</v>
      </c>
      <c r="F34" s="25">
        <f>IFERROR(__xludf.DUMMYFUNCTION("SUMPRODUCT((IMPORTRANGE(""17XjIPGwafStTRf_8bPPaoi2EFjHVy10_rRJ0uvy6YcU"",""M:M"")=B34)*1, IMPORTRANGE(""17XjIPGwafStTRf_8bPPaoi2EFjHVy10_rRJ0uvy6YcU"",""X:X""))"),0.0)</f>
        <v>0</v>
      </c>
      <c r="G34" s="26">
        <f>IFERROR(__xludf.DUMMYFUNCTION("COUNTIF(IMPORTRANGE(""17XjIPGwafStTRf_8bPPaoi2EFjHVy10_rRJ0uvy6YcU"",""M:M""), B34)"),0.0)</f>
        <v>0</v>
      </c>
      <c r="H34" s="27" t="str">
        <f t="shared" si="1"/>
        <v/>
      </c>
      <c r="I34" s="28" t="str">
        <f t="shared" si="2"/>
        <v/>
      </c>
      <c r="J34" s="29" t="str">
        <f t="shared" si="3"/>
        <v/>
      </c>
      <c r="K34" s="30"/>
      <c r="L34" s="31" t="str">
        <f t="shared" si="4"/>
        <v/>
      </c>
      <c r="M34" s="31" t="str">
        <f t="shared" si="5"/>
        <v/>
      </c>
      <c r="N34" s="4"/>
    </row>
    <row r="35">
      <c r="A35" s="1"/>
      <c r="B35" s="23">
        <f t="shared" si="7"/>
        <v>44803</v>
      </c>
      <c r="C35" s="24">
        <f>IFERROR(__xludf.DUMMYFUNCTION("SUMPRODUCT((IMPORTRANGE(""17XjIPGwafStTRf_8bPPaoi2EFjHVy10_rRJ0uvy6YcU"",""M:M"")=B35)*1, IMPORTRANGE(""17XjIPGwafStTRf_8bPPaoi2EFjHVy10_rRJ0uvy6YcU"",""X:X""), IMPORTRANGE(""17XjIPGwafStTRf_8bPPaoi2EFjHVy10_rRJ0uvy6YcU"",""AK:AK"")) - SUMPRODUCT((IMPORTR"&amp;"ANGE(""17XjIPGwafStTRf_8bPPaoi2EFjHVy10_rRJ0uvy6YcU"",""M:M"")=B35)*1, IMPORTRANGE(""17XjIPGwafStTRf_8bPPaoi2EFjHVy10_rRJ0uvy6YcU"",""X:X""), IMPORTRANGE(""17XjIPGwafStTRf_8bPPaoi2EFjHVy10_rRJ0uvy6YcU"",""AL:AL""))"),0.0)</f>
        <v>0</v>
      </c>
      <c r="D35" s="24">
        <f>IFERROR(__xludf.DUMMYFUNCTION("SUMPRODUCT((IMPORTRANGE(""17XjIPGwafStTRf_8bPPaoi2EFjHVy10_rRJ0uvy6YcU"",""M:M"")=B35)*1, IMPORTRANGE(""17XjIPGwafStTRf_8bPPaoi2EFjHVy10_rRJ0uvy6YcU"",""X:X""), IMPORTRANGE(""17XjIPGwafStTRf_8bPPaoi2EFjHVy10_rRJ0uvy6YcU"",""AA:AA"")) + SUMPRODUCT((IMPORTR"&amp;"ANGE(""17XjIPGwafStTRf_8bPPaoi2EFjHVy10_rRJ0uvy6YcU"",""M:M"")=B35)*1, IMPORTRANGE(""17XjIPGwafStTRf_8bPPaoi2EFjHVy10_rRJ0uvy6YcU"",""X:X""), IMPORTRANGE(""17XjIPGwafStTRf_8bPPaoi2EFjHVy10_rRJ0uvy6YcU"",""AE:AE"")) + SUMPRODUCT((IMPORTRANGE(""17XjIPGwafSt"&amp;"TRf_8bPPaoi2EFjHVy10_rRJ0uvy6YcU"",""M:M"")=B35)*1, IMPORTRANGE(""17XjIPGwafStTRf_8bPPaoi2EFjHVy10_rRJ0uvy6YcU"",""X:X""), IMPORTRANGE(""17XjIPGwafStTRf_8bPPaoi2EFjHVy10_rRJ0uvy6YcU"",""AF:AF""))"),0.0)</f>
        <v>0</v>
      </c>
      <c r="E35" s="24">
        <f>IFERROR(__xludf.DUMMYFUNCTION("SUMPRODUCT((IMPORTRANGE(""17XjIPGwafStTRf_8bPPaoi2EFjHVy10_rRJ0uvy6YcU"",""M:M"")=B35)*1, IMPORTRANGE(""17XjIPGwafStTRf_8bPPaoi2EFjHVy10_rRJ0uvy6YcU"",""X:X""), IMPORTRANGE(""17XjIPGwafStTRf_8bPPaoi2EFjHVy10_rRJ0uvy6YcU"",""AO:AO""))"),0.0)</f>
        <v>0</v>
      </c>
      <c r="F35" s="25">
        <f>IFERROR(__xludf.DUMMYFUNCTION("SUMPRODUCT((IMPORTRANGE(""17XjIPGwafStTRf_8bPPaoi2EFjHVy10_rRJ0uvy6YcU"",""M:M"")=B35)*1, IMPORTRANGE(""17XjIPGwafStTRf_8bPPaoi2EFjHVy10_rRJ0uvy6YcU"",""X:X""))"),0.0)</f>
        <v>0</v>
      </c>
      <c r="G35" s="26">
        <f>IFERROR(__xludf.DUMMYFUNCTION("COUNTIF(IMPORTRANGE(""17XjIPGwafStTRf_8bPPaoi2EFjHVy10_rRJ0uvy6YcU"",""M:M""), B35)"),0.0)</f>
        <v>0</v>
      </c>
      <c r="H35" s="27" t="str">
        <f t="shared" si="1"/>
        <v/>
      </c>
      <c r="I35" s="28" t="str">
        <f t="shared" si="2"/>
        <v/>
      </c>
      <c r="J35" s="29" t="str">
        <f t="shared" si="3"/>
        <v/>
      </c>
      <c r="K35" s="32"/>
      <c r="L35" s="31" t="str">
        <f t="shared" si="4"/>
        <v/>
      </c>
      <c r="M35" s="31" t="str">
        <f t="shared" si="5"/>
        <v/>
      </c>
      <c r="N35" s="4"/>
    </row>
    <row r="36">
      <c r="A36" s="1"/>
      <c r="B36" s="23">
        <f t="shared" si="7"/>
        <v>44804</v>
      </c>
      <c r="C36" s="24">
        <f>IFERROR(__xludf.DUMMYFUNCTION("SUMPRODUCT((IMPORTRANGE(""17XjIPGwafStTRf_8bPPaoi2EFjHVy10_rRJ0uvy6YcU"",""M:M"")=B36)*1, IMPORTRANGE(""17XjIPGwafStTRf_8bPPaoi2EFjHVy10_rRJ0uvy6YcU"",""X:X""), IMPORTRANGE(""17XjIPGwafStTRf_8bPPaoi2EFjHVy10_rRJ0uvy6YcU"",""AK:AK"")) - SUMPRODUCT((IMPORTR"&amp;"ANGE(""17XjIPGwafStTRf_8bPPaoi2EFjHVy10_rRJ0uvy6YcU"",""M:M"")=B36)*1, IMPORTRANGE(""17XjIPGwafStTRf_8bPPaoi2EFjHVy10_rRJ0uvy6YcU"",""X:X""), IMPORTRANGE(""17XjIPGwafStTRf_8bPPaoi2EFjHVy10_rRJ0uvy6YcU"",""AL:AL""))"),0.0)</f>
        <v>0</v>
      </c>
      <c r="D36" s="24">
        <f>IFERROR(__xludf.DUMMYFUNCTION("SUMPRODUCT((IMPORTRANGE(""17XjIPGwafStTRf_8bPPaoi2EFjHVy10_rRJ0uvy6YcU"",""M:M"")=B36)*1, IMPORTRANGE(""17XjIPGwafStTRf_8bPPaoi2EFjHVy10_rRJ0uvy6YcU"",""X:X""), IMPORTRANGE(""17XjIPGwafStTRf_8bPPaoi2EFjHVy10_rRJ0uvy6YcU"",""AA:AA"")) + SUMPRODUCT((IMPORTR"&amp;"ANGE(""17XjIPGwafStTRf_8bPPaoi2EFjHVy10_rRJ0uvy6YcU"",""M:M"")=B36)*1, IMPORTRANGE(""17XjIPGwafStTRf_8bPPaoi2EFjHVy10_rRJ0uvy6YcU"",""X:X""), IMPORTRANGE(""17XjIPGwafStTRf_8bPPaoi2EFjHVy10_rRJ0uvy6YcU"",""AE:AE"")) + SUMPRODUCT((IMPORTRANGE(""17XjIPGwafSt"&amp;"TRf_8bPPaoi2EFjHVy10_rRJ0uvy6YcU"",""M:M"")=B36)*1, IMPORTRANGE(""17XjIPGwafStTRf_8bPPaoi2EFjHVy10_rRJ0uvy6YcU"",""X:X""), IMPORTRANGE(""17XjIPGwafStTRf_8bPPaoi2EFjHVy10_rRJ0uvy6YcU"",""AF:AF""))"),0.0)</f>
        <v>0</v>
      </c>
      <c r="E36" s="24">
        <f>IFERROR(__xludf.DUMMYFUNCTION("SUMPRODUCT((IMPORTRANGE(""17XjIPGwafStTRf_8bPPaoi2EFjHVy10_rRJ0uvy6YcU"",""M:M"")=B36)*1, IMPORTRANGE(""17XjIPGwafStTRf_8bPPaoi2EFjHVy10_rRJ0uvy6YcU"",""X:X""), IMPORTRANGE(""17XjIPGwafStTRf_8bPPaoi2EFjHVy10_rRJ0uvy6YcU"",""AO:AO""))"),0.0)</f>
        <v>0</v>
      </c>
      <c r="F36" s="25">
        <f>IFERROR(__xludf.DUMMYFUNCTION("SUMPRODUCT((IMPORTRANGE(""17XjIPGwafStTRf_8bPPaoi2EFjHVy10_rRJ0uvy6YcU"",""M:M"")=B36)*1, IMPORTRANGE(""17XjIPGwafStTRf_8bPPaoi2EFjHVy10_rRJ0uvy6YcU"",""X:X""))"),0.0)</f>
        <v>0</v>
      </c>
      <c r="G36" s="26">
        <f>IFERROR(__xludf.DUMMYFUNCTION("COUNTIF(IMPORTRANGE(""17XjIPGwafStTRf_8bPPaoi2EFjHVy10_rRJ0uvy6YcU"",""M:M""), B36)"),0.0)</f>
        <v>0</v>
      </c>
      <c r="H36" s="27" t="str">
        <f t="shared" si="1"/>
        <v/>
      </c>
      <c r="I36" s="28" t="str">
        <f t="shared" si="2"/>
        <v/>
      </c>
      <c r="J36" s="29" t="str">
        <f t="shared" si="3"/>
        <v/>
      </c>
      <c r="K36" s="30"/>
      <c r="L36" s="31" t="str">
        <f>if(B36="","",IF(K36="","",E36/K36))</f>
        <v/>
      </c>
      <c r="M36" s="31" t="str">
        <f>if(B36="","",IF(K36="","",D36/K36))</f>
        <v/>
      </c>
      <c r="N36" s="4"/>
    </row>
    <row r="37">
      <c r="A37" s="4"/>
      <c r="B37" s="33" t="s">
        <v>16</v>
      </c>
      <c r="C37" s="34">
        <f t="shared" ref="C37:H37" si="8">SUM(C6:C36)</f>
        <v>10217898.4</v>
      </c>
      <c r="D37" s="34">
        <f t="shared" si="8"/>
        <v>5154397.67</v>
      </c>
      <c r="E37" s="34">
        <f t="shared" si="8"/>
        <v>3003289.645</v>
      </c>
      <c r="F37" s="34">
        <f t="shared" si="8"/>
        <v>2105</v>
      </c>
      <c r="G37" s="34">
        <f t="shared" si="8"/>
        <v>492</v>
      </c>
      <c r="H37" s="34">
        <f t="shared" si="8"/>
        <v>112.0977344</v>
      </c>
      <c r="I37" s="35">
        <f t="shared" si="2"/>
        <v>0.2939243989</v>
      </c>
      <c r="J37" s="35">
        <f t="shared" si="3"/>
        <v>0.5826654902</v>
      </c>
      <c r="K37" s="33">
        <f>SUM(K6:K36)</f>
        <v>0</v>
      </c>
      <c r="L37" s="34" t="str">
        <f>iferror(IF(K37="","",E37/K37),"")</f>
        <v/>
      </c>
      <c r="M37" s="34" t="str">
        <f>iferror(IF(K37="","",D37/K37),"")</f>
        <v/>
      </c>
      <c r="N37" s="4"/>
    </row>
    <row r="38">
      <c r="A38" s="4"/>
      <c r="B38" s="4"/>
      <c r="C38" s="4"/>
      <c r="D38" s="36" t="s">
        <v>17</v>
      </c>
      <c r="E38" s="4"/>
      <c r="F38" s="4"/>
      <c r="G38" s="4"/>
      <c r="H38" s="4"/>
      <c r="I38" s="4"/>
      <c r="J38" s="4"/>
      <c r="K38" s="4"/>
      <c r="L38" s="4"/>
      <c r="M38" s="4"/>
      <c r="N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2" max="2" width="10.0"/>
    <col customWidth="1" min="3" max="5" width="11.38"/>
    <col customWidth="1" min="6" max="8" width="5.75"/>
    <col customWidth="1" min="9" max="11" width="8.88"/>
    <col customWidth="1" min="12" max="13" width="11.38"/>
    <col customWidth="1" min="14" max="14" width="2.38"/>
  </cols>
  <sheetData>
    <row r="1" ht="7.5" customHeight="1">
      <c r="A1" s="1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</row>
    <row r="2">
      <c r="A2" s="1"/>
      <c r="B2" s="38">
        <v>44501.0</v>
      </c>
      <c r="C2" s="6"/>
      <c r="D2" s="3"/>
      <c r="E2" s="4"/>
      <c r="F2" s="4"/>
      <c r="G2" s="4"/>
      <c r="H2" s="4"/>
      <c r="I2" s="4"/>
      <c r="J2" s="4"/>
      <c r="K2" s="4"/>
      <c r="L2" s="7" t="s">
        <v>0</v>
      </c>
      <c r="M2" s="8">
        <v>1.5</v>
      </c>
      <c r="N2" s="4"/>
    </row>
    <row r="3">
      <c r="A3" s="4"/>
      <c r="B3" s="9"/>
      <c r="C3" s="10">
        <f>iferror((E3*M2)/I37,"")</f>
        <v>12746011.3</v>
      </c>
      <c r="D3" s="11" t="s">
        <v>2</v>
      </c>
      <c r="E3" s="12">
        <v>2000000.0</v>
      </c>
      <c r="F3" s="13"/>
      <c r="G3" s="4"/>
      <c r="H3" s="4"/>
      <c r="I3" s="4"/>
      <c r="J3" s="4"/>
      <c r="K3" s="4"/>
      <c r="L3" s="14"/>
      <c r="M3" s="15"/>
      <c r="N3" s="13"/>
    </row>
    <row r="4">
      <c r="A4" s="4"/>
      <c r="B4" s="9" t="s">
        <v>3</v>
      </c>
      <c r="C4" s="16">
        <f>iferror(C37/C3,"")</f>
        <v>0.9326817402</v>
      </c>
      <c r="D4" s="9"/>
      <c r="E4" s="16"/>
      <c r="F4" s="4"/>
      <c r="G4" s="4"/>
      <c r="H4" s="4"/>
      <c r="I4" s="4"/>
      <c r="J4" s="4"/>
      <c r="K4" s="17"/>
      <c r="L4" s="4"/>
      <c r="M4" s="4"/>
      <c r="N4" s="4"/>
    </row>
    <row r="5" ht="28.5" customHeight="1">
      <c r="A5" s="18"/>
      <c r="B5" s="19" t="s">
        <v>4</v>
      </c>
      <c r="C5" s="20" t="s">
        <v>5</v>
      </c>
      <c r="D5" s="20" t="s">
        <v>6</v>
      </c>
      <c r="E5" s="20" t="s">
        <v>7</v>
      </c>
      <c r="F5" s="21" t="s">
        <v>8</v>
      </c>
      <c r="G5" s="22" t="s">
        <v>9</v>
      </c>
      <c r="H5" s="22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18"/>
    </row>
    <row r="6">
      <c r="A6" s="1"/>
      <c r="B6" s="23">
        <f>B2</f>
        <v>44501</v>
      </c>
      <c r="C6" s="24">
        <f>IFERROR(__xludf.DUMMYFUNCTION("SUMPRODUCT((IMPORTRANGE(""17XjIPGwafStTRf_8bPPaoi2EFjHVy10_rRJ0uvy6YcU"",""M:M"")=B6)*1, IMPORTRANGE(""17XjIPGwafStTRf_8bPPaoi2EFjHVy10_rRJ0uvy6YcU"",""X:X""), IMPORTRANGE(""17XjIPGwafStTRf_8bPPaoi2EFjHVy10_rRJ0uvy6YcU"",""AK:AK"")) - SUMPRODUCT((IMPORTRA"&amp;"NGE(""17XjIPGwafStTRf_8bPPaoi2EFjHVy10_rRJ0uvy6YcU"",""M:M"")=B6)*1, IMPORTRANGE(""17XjIPGwafStTRf_8bPPaoi2EFjHVy10_rRJ0uvy6YcU"",""X:X""), IMPORTRANGE(""17XjIPGwafStTRf_8bPPaoi2EFjHVy10_rRJ0uvy6YcU"",""AL:AL""))"),325144.0)</f>
        <v>325144</v>
      </c>
      <c r="D6" s="24">
        <f>IFERROR(__xludf.DUMMYFUNCTION("SUMPRODUCT((IMPORTRANGE(""17XjIPGwafStTRf_8bPPaoi2EFjHVy10_rRJ0uvy6YcU"",""M:M"")=B6)*1, IMPORTRANGE(""17XjIPGwafStTRf_8bPPaoi2EFjHVy10_rRJ0uvy6YcU"",""X:X""), IMPORTRANGE(""17XjIPGwafStTRf_8bPPaoi2EFjHVy10_rRJ0uvy6YcU"",""AA:AA"")) + SUMPRODUCT((IMPORTRA"&amp;"NGE(""17XjIPGwafStTRf_8bPPaoi2EFjHVy10_rRJ0uvy6YcU"",""M:M"")=B6)*1, IMPORTRANGE(""17XjIPGwafStTRf_8bPPaoi2EFjHVy10_rRJ0uvy6YcU"",""X:X""), IMPORTRANGE(""17XjIPGwafStTRf_8bPPaoi2EFjHVy10_rRJ0uvy6YcU"",""AE:AE"")) + SUMPRODUCT((IMPORTRANGE(""17XjIPGwafStTR"&amp;"f_8bPPaoi2EFjHVy10_rRJ0uvy6YcU"",""M:M"")=B6)*1, IMPORTRANGE(""17XjIPGwafStTRf_8bPPaoi2EFjHVy10_rRJ0uvy6YcU"",""X:X""), IMPORTRANGE(""17XjIPGwafStTRf_8bPPaoi2EFjHVy10_rRJ0uvy6YcU"",""AF:AF""))"),183779.06720166098)</f>
        <v>183779.0672</v>
      </c>
      <c r="E6" s="24">
        <f>IFERROR(__xludf.DUMMYFUNCTION("SUMPRODUCT((IMPORTRANGE(""17XjIPGwafStTRf_8bPPaoi2EFjHVy10_rRJ0uvy6YcU"",""M:M"")=B6)*1, IMPORTRANGE(""17XjIPGwafStTRf_8bPPaoi2EFjHVy10_rRJ0uvy6YcU"",""X:X""), IMPORTRANGE(""17XjIPGwafStTRf_8bPPaoi2EFjHVy10_rRJ0uvy6YcU"",""AO:AO""))"),87601.69198201247)</f>
        <v>87601.69198</v>
      </c>
      <c r="F6" s="25">
        <f>IFERROR(__xludf.DUMMYFUNCTION("SUMPRODUCT((IMPORTRANGE(""17XjIPGwafStTRf_8bPPaoi2EFjHVy10_rRJ0uvy6YcU"",""M:M"")=B6)*1, IMPORTRANGE(""17XjIPGwafStTRf_8bPPaoi2EFjHVy10_rRJ0uvy6YcU"",""X:X""))"),43.0)</f>
        <v>43</v>
      </c>
      <c r="G6" s="26">
        <f>IFERROR(__xludf.DUMMYFUNCTION("COUNTIF(IMPORTRANGE(""17XjIPGwafStTRf_8bPPaoi2EFjHVy10_rRJ0uvy6YcU"",""M:M""), B6)"),23.0)</f>
        <v>23</v>
      </c>
      <c r="H6" s="27">
        <f t="shared" ref="H6:H36" si="1">IF(F6=0,"",F6/G6)</f>
        <v>1.869565217</v>
      </c>
      <c r="I6" s="28">
        <f t="shared" ref="I6:I37" si="2">IF(C6=0,"",E6/C6)</f>
        <v>0.269424292</v>
      </c>
      <c r="J6" s="29">
        <f t="shared" ref="J6:J37" si="3">IF(D6=0,"",E6/D6)</f>
        <v>0.4766684983</v>
      </c>
      <c r="K6" s="30"/>
      <c r="L6" s="31" t="str">
        <f t="shared" ref="L6:L35" si="4">IF(K6="","",E6/K6)</f>
        <v/>
      </c>
      <c r="M6" s="31" t="str">
        <f t="shared" ref="M6:M35" si="5">IF(K6="","",D6/K6)</f>
        <v/>
      </c>
      <c r="N6" s="4"/>
    </row>
    <row r="7">
      <c r="A7" s="1"/>
      <c r="B7" s="23">
        <f t="shared" ref="B7:B33" si="6">B6+1</f>
        <v>44502</v>
      </c>
      <c r="C7" s="24">
        <f>IFERROR(__xludf.DUMMYFUNCTION("SUMPRODUCT((IMPORTRANGE(""17XjIPGwafStTRf_8bPPaoi2EFjHVy10_rRJ0uvy6YcU"",""M:M"")=B7)*1, IMPORTRANGE(""17XjIPGwafStTRf_8bPPaoi2EFjHVy10_rRJ0uvy6YcU"",""X:X""), IMPORTRANGE(""17XjIPGwafStTRf_8bPPaoi2EFjHVy10_rRJ0uvy6YcU"",""AK:AK"")) - SUMPRODUCT((IMPORTRA"&amp;"NGE(""17XjIPGwafStTRf_8bPPaoi2EFjHVy10_rRJ0uvy6YcU"",""M:M"")=B7)*1, IMPORTRANGE(""17XjIPGwafStTRf_8bPPaoi2EFjHVy10_rRJ0uvy6YcU"",""X:X""), IMPORTRANGE(""17XjIPGwafStTRf_8bPPaoi2EFjHVy10_rRJ0uvy6YcU"",""AL:AL""))"),497750.0)</f>
        <v>497750</v>
      </c>
      <c r="D7" s="24">
        <f>IFERROR(__xludf.DUMMYFUNCTION("SUMPRODUCT((IMPORTRANGE(""17XjIPGwafStTRf_8bPPaoi2EFjHVy10_rRJ0uvy6YcU"",""M:M"")=B7)*1, IMPORTRANGE(""17XjIPGwafStTRf_8bPPaoi2EFjHVy10_rRJ0uvy6YcU"",""X:X""), IMPORTRANGE(""17XjIPGwafStTRf_8bPPaoi2EFjHVy10_rRJ0uvy6YcU"",""AA:AA"")) + SUMPRODUCT((IMPORTRA"&amp;"NGE(""17XjIPGwafStTRf_8bPPaoi2EFjHVy10_rRJ0uvy6YcU"",""M:M"")=B7)*1, IMPORTRANGE(""17XjIPGwafStTRf_8bPPaoi2EFjHVy10_rRJ0uvy6YcU"",""X:X""), IMPORTRANGE(""17XjIPGwafStTRf_8bPPaoi2EFjHVy10_rRJ0uvy6YcU"",""AE:AE"")) + SUMPRODUCT((IMPORTRANGE(""17XjIPGwafStTR"&amp;"f_8bPPaoi2EFjHVy10_rRJ0uvy6YcU"",""M:M"")=B7)*1, IMPORTRANGE(""17XjIPGwafStTRf_8bPPaoi2EFjHVy10_rRJ0uvy6YcU"",""X:X""), IMPORTRANGE(""17XjIPGwafStTRf_8bPPaoi2EFjHVy10_rRJ0uvy6YcU"",""AF:AF""))"),320250.7665481623)</f>
        <v>320250.7665</v>
      </c>
      <c r="E7" s="24">
        <f>IFERROR(__xludf.DUMMYFUNCTION("SUMPRODUCT((IMPORTRANGE(""17XjIPGwafStTRf_8bPPaoi2EFjHVy10_rRJ0uvy6YcU"",""M:M"")=B7)*1, IMPORTRANGE(""17XjIPGwafStTRf_8bPPaoi2EFjHVy10_rRJ0uvy6YcU"",""X:X""), IMPORTRANGE(""17XjIPGwafStTRf_8bPPaoi2EFjHVy10_rRJ0uvy6YcU"",""AO:AO""))"),110971.70514126524)</f>
        <v>110971.7051</v>
      </c>
      <c r="F7" s="25">
        <f>IFERROR(__xludf.DUMMYFUNCTION("SUMPRODUCT((IMPORTRANGE(""17XjIPGwafStTRf_8bPPaoi2EFjHVy10_rRJ0uvy6YcU"",""M:M"")=B7)*1, IMPORTRANGE(""17XjIPGwafStTRf_8bPPaoi2EFjHVy10_rRJ0uvy6YcU"",""X:X""))"),56.0)</f>
        <v>56</v>
      </c>
      <c r="G7" s="26">
        <f>IFERROR(__xludf.DUMMYFUNCTION("COUNTIF(IMPORTRANGE(""17XjIPGwafStTRf_8bPPaoi2EFjHVy10_rRJ0uvy6YcU"",""M:M""), B7)"),25.0)</f>
        <v>25</v>
      </c>
      <c r="H7" s="27">
        <f t="shared" si="1"/>
        <v>2.24</v>
      </c>
      <c r="I7" s="28">
        <f t="shared" si="2"/>
        <v>0.2229466703</v>
      </c>
      <c r="J7" s="29">
        <f t="shared" si="3"/>
        <v>0.3465150336</v>
      </c>
      <c r="K7" s="30"/>
      <c r="L7" s="31" t="str">
        <f t="shared" si="4"/>
        <v/>
      </c>
      <c r="M7" s="31" t="str">
        <f t="shared" si="5"/>
        <v/>
      </c>
      <c r="N7" s="4"/>
    </row>
    <row r="8">
      <c r="A8" s="1"/>
      <c r="B8" s="23">
        <f t="shared" si="6"/>
        <v>44503</v>
      </c>
      <c r="C8" s="24">
        <f>IFERROR(__xludf.DUMMYFUNCTION("SUMPRODUCT((IMPORTRANGE(""17XjIPGwafStTRf_8bPPaoi2EFjHVy10_rRJ0uvy6YcU"",""M:M"")=B8)*1, IMPORTRANGE(""17XjIPGwafStTRf_8bPPaoi2EFjHVy10_rRJ0uvy6YcU"",""X:X""), IMPORTRANGE(""17XjIPGwafStTRf_8bPPaoi2EFjHVy10_rRJ0uvy6YcU"",""AK:AK"")) - SUMPRODUCT((IMPORTRA"&amp;"NGE(""17XjIPGwafStTRf_8bPPaoi2EFjHVy10_rRJ0uvy6YcU"",""M:M"")=B8)*1, IMPORTRANGE(""17XjIPGwafStTRf_8bPPaoi2EFjHVy10_rRJ0uvy6YcU"",""X:X""), IMPORTRANGE(""17XjIPGwafStTRf_8bPPaoi2EFjHVy10_rRJ0uvy6YcU"",""AL:AL""))"),0.0)</f>
        <v>0</v>
      </c>
      <c r="D8" s="24">
        <f>IFERROR(__xludf.DUMMYFUNCTION("SUMPRODUCT((IMPORTRANGE(""17XjIPGwafStTRf_8bPPaoi2EFjHVy10_rRJ0uvy6YcU"",""M:M"")=B8)*1, IMPORTRANGE(""17XjIPGwafStTRf_8bPPaoi2EFjHVy10_rRJ0uvy6YcU"",""X:X""), IMPORTRANGE(""17XjIPGwafStTRf_8bPPaoi2EFjHVy10_rRJ0uvy6YcU"",""AA:AA"")) + SUMPRODUCT((IMPORTRA"&amp;"NGE(""17XjIPGwafStTRf_8bPPaoi2EFjHVy10_rRJ0uvy6YcU"",""M:M"")=B8)*1, IMPORTRANGE(""17XjIPGwafStTRf_8bPPaoi2EFjHVy10_rRJ0uvy6YcU"",""X:X""), IMPORTRANGE(""17XjIPGwafStTRf_8bPPaoi2EFjHVy10_rRJ0uvy6YcU"",""AE:AE"")) + SUMPRODUCT((IMPORTRANGE(""17XjIPGwafStTR"&amp;"f_8bPPaoi2EFjHVy10_rRJ0uvy6YcU"",""M:M"")=B8)*1, IMPORTRANGE(""17XjIPGwafStTRf_8bPPaoi2EFjHVy10_rRJ0uvy6YcU"",""X:X""), IMPORTRANGE(""17XjIPGwafStTRf_8bPPaoi2EFjHVy10_rRJ0uvy6YcU"",""AF:AF""))"),0.0)</f>
        <v>0</v>
      </c>
      <c r="E8" s="24">
        <f>IFERROR(__xludf.DUMMYFUNCTION("SUMPRODUCT((IMPORTRANGE(""17XjIPGwafStTRf_8bPPaoi2EFjHVy10_rRJ0uvy6YcU"",""M:M"")=B8)*1, IMPORTRANGE(""17XjIPGwafStTRf_8bPPaoi2EFjHVy10_rRJ0uvy6YcU"",""X:X""), IMPORTRANGE(""17XjIPGwafStTRf_8bPPaoi2EFjHVy10_rRJ0uvy6YcU"",""AO:AO""))"),0.0)</f>
        <v>0</v>
      </c>
      <c r="F8" s="25">
        <f>IFERROR(__xludf.DUMMYFUNCTION("SUMPRODUCT((IMPORTRANGE(""17XjIPGwafStTRf_8bPPaoi2EFjHVy10_rRJ0uvy6YcU"",""M:M"")=B8)*1, IMPORTRANGE(""17XjIPGwafStTRf_8bPPaoi2EFjHVy10_rRJ0uvy6YcU"",""X:X""))"),0.0)</f>
        <v>0</v>
      </c>
      <c r="G8" s="26">
        <f>IFERROR(__xludf.DUMMYFUNCTION("COUNTIF(IMPORTRANGE(""17XjIPGwafStTRf_8bPPaoi2EFjHVy10_rRJ0uvy6YcU"",""M:M""), B8)"),0.0)</f>
        <v>0</v>
      </c>
      <c r="H8" s="27" t="str">
        <f t="shared" si="1"/>
        <v/>
      </c>
      <c r="I8" s="28" t="str">
        <f t="shared" si="2"/>
        <v/>
      </c>
      <c r="J8" s="29" t="str">
        <f t="shared" si="3"/>
        <v/>
      </c>
      <c r="K8" s="30"/>
      <c r="L8" s="31" t="str">
        <f t="shared" si="4"/>
        <v/>
      </c>
      <c r="M8" s="31" t="str">
        <f t="shared" si="5"/>
        <v/>
      </c>
      <c r="N8" s="4"/>
    </row>
    <row r="9">
      <c r="A9" s="1"/>
      <c r="B9" s="23">
        <f t="shared" si="6"/>
        <v>44504</v>
      </c>
      <c r="C9" s="24">
        <f>IFERROR(__xludf.DUMMYFUNCTION("SUMPRODUCT((IMPORTRANGE(""17XjIPGwafStTRf_8bPPaoi2EFjHVy10_rRJ0uvy6YcU"",""M:M"")=B9)*1, IMPORTRANGE(""17XjIPGwafStTRf_8bPPaoi2EFjHVy10_rRJ0uvy6YcU"",""X:X""), IMPORTRANGE(""17XjIPGwafStTRf_8bPPaoi2EFjHVy10_rRJ0uvy6YcU"",""AK:AK"")) - SUMPRODUCT((IMPORTRA"&amp;"NGE(""17XjIPGwafStTRf_8bPPaoi2EFjHVy10_rRJ0uvy6YcU"",""M:M"")=B9)*1, IMPORTRANGE(""17XjIPGwafStTRf_8bPPaoi2EFjHVy10_rRJ0uvy6YcU"",""X:X""), IMPORTRANGE(""17XjIPGwafStTRf_8bPPaoi2EFjHVy10_rRJ0uvy6YcU"",""AL:AL""))"),432093.0)</f>
        <v>432093</v>
      </c>
      <c r="D9" s="24">
        <f>IFERROR(__xludf.DUMMYFUNCTION("SUMPRODUCT((IMPORTRANGE(""17XjIPGwafStTRf_8bPPaoi2EFjHVy10_rRJ0uvy6YcU"",""M:M"")=B9)*1, IMPORTRANGE(""17XjIPGwafStTRf_8bPPaoi2EFjHVy10_rRJ0uvy6YcU"",""X:X""), IMPORTRANGE(""17XjIPGwafStTRf_8bPPaoi2EFjHVy10_rRJ0uvy6YcU"",""AA:AA"")) + SUMPRODUCT((IMPORTRA"&amp;"NGE(""17XjIPGwafStTRf_8bPPaoi2EFjHVy10_rRJ0uvy6YcU"",""M:M"")=B9)*1, IMPORTRANGE(""17XjIPGwafStTRf_8bPPaoi2EFjHVy10_rRJ0uvy6YcU"",""X:X""), IMPORTRANGE(""17XjIPGwafStTRf_8bPPaoi2EFjHVy10_rRJ0uvy6YcU"",""AE:AE"")) + SUMPRODUCT((IMPORTRANGE(""17XjIPGwafStTR"&amp;"f_8bPPaoi2EFjHVy10_rRJ0uvy6YcU"",""M:M"")=B9)*1, IMPORTRANGE(""17XjIPGwafStTRf_8bPPaoi2EFjHVy10_rRJ0uvy6YcU"",""X:X""), IMPORTRANGE(""17XjIPGwafStTRf_8bPPaoi2EFjHVy10_rRJ0uvy6YcU"",""AF:AF""))"),276203.18381484767)</f>
        <v>276203.1838</v>
      </c>
      <c r="E9" s="24">
        <f>IFERROR(__xludf.DUMMYFUNCTION("SUMPRODUCT((IMPORTRANGE(""17XjIPGwafStTRf_8bPPaoi2EFjHVy10_rRJ0uvy6YcU"",""M:M"")=B9)*1, IMPORTRANGE(""17XjIPGwafStTRf_8bPPaoi2EFjHVy10_rRJ0uvy6YcU"",""X:X""), IMPORTRANGE(""17XjIPGwafStTRf_8bPPaoi2EFjHVy10_rRJ0uvy6YcU"",""AO:AO""))"),91497.4932655961)</f>
        <v>91497.49327</v>
      </c>
      <c r="F9" s="25">
        <f>IFERROR(__xludf.DUMMYFUNCTION("SUMPRODUCT((IMPORTRANGE(""17XjIPGwafStTRf_8bPPaoi2EFjHVy10_rRJ0uvy6YcU"",""M:M"")=B9)*1, IMPORTRANGE(""17XjIPGwafStTRf_8bPPaoi2EFjHVy10_rRJ0uvy6YcU"",""X:X""))"),49.0)</f>
        <v>49</v>
      </c>
      <c r="G9" s="26">
        <f>IFERROR(__xludf.DUMMYFUNCTION("COUNTIF(IMPORTRANGE(""17XjIPGwafStTRf_8bPPaoi2EFjHVy10_rRJ0uvy6YcU"",""M:M""), B9)"),26.0)</f>
        <v>26</v>
      </c>
      <c r="H9" s="27">
        <f t="shared" si="1"/>
        <v>1.884615385</v>
      </c>
      <c r="I9" s="28">
        <f t="shared" si="2"/>
        <v>0.211754167</v>
      </c>
      <c r="J9" s="29">
        <f t="shared" si="3"/>
        <v>0.3312687855</v>
      </c>
      <c r="K9" s="32"/>
      <c r="L9" s="31" t="str">
        <f t="shared" si="4"/>
        <v/>
      </c>
      <c r="M9" s="31" t="str">
        <f t="shared" si="5"/>
        <v/>
      </c>
      <c r="N9" s="4"/>
    </row>
    <row r="10">
      <c r="A10" s="1"/>
      <c r="B10" s="23">
        <f t="shared" si="6"/>
        <v>44505</v>
      </c>
      <c r="C10" s="24">
        <f>IFERROR(__xludf.DUMMYFUNCTION("SUMPRODUCT((IMPORTRANGE(""17XjIPGwafStTRf_8bPPaoi2EFjHVy10_rRJ0uvy6YcU"",""M:M"")=B10)*1, IMPORTRANGE(""17XjIPGwafStTRf_8bPPaoi2EFjHVy10_rRJ0uvy6YcU"",""X:X""), IMPORTRANGE(""17XjIPGwafStTRf_8bPPaoi2EFjHVy10_rRJ0uvy6YcU"",""AK:AK"")) - SUMPRODUCT((IMPORTR"&amp;"ANGE(""17XjIPGwafStTRf_8bPPaoi2EFjHVy10_rRJ0uvy6YcU"",""M:M"")=B10)*1, IMPORTRANGE(""17XjIPGwafStTRf_8bPPaoi2EFjHVy10_rRJ0uvy6YcU"",""X:X""), IMPORTRANGE(""17XjIPGwafStTRf_8bPPaoi2EFjHVy10_rRJ0uvy6YcU"",""AL:AL""))"),0.0)</f>
        <v>0</v>
      </c>
      <c r="D10" s="24">
        <f>IFERROR(__xludf.DUMMYFUNCTION("SUMPRODUCT((IMPORTRANGE(""17XjIPGwafStTRf_8bPPaoi2EFjHVy10_rRJ0uvy6YcU"",""M:M"")=B10)*1, IMPORTRANGE(""17XjIPGwafStTRf_8bPPaoi2EFjHVy10_rRJ0uvy6YcU"",""X:X""), IMPORTRANGE(""17XjIPGwafStTRf_8bPPaoi2EFjHVy10_rRJ0uvy6YcU"",""AA:AA"")) + SUMPRODUCT((IMPORTR"&amp;"ANGE(""17XjIPGwafStTRf_8bPPaoi2EFjHVy10_rRJ0uvy6YcU"",""M:M"")=B10)*1, IMPORTRANGE(""17XjIPGwafStTRf_8bPPaoi2EFjHVy10_rRJ0uvy6YcU"",""X:X""), IMPORTRANGE(""17XjIPGwafStTRf_8bPPaoi2EFjHVy10_rRJ0uvy6YcU"",""AE:AE"")) + SUMPRODUCT((IMPORTRANGE(""17XjIPGwafSt"&amp;"TRf_8bPPaoi2EFjHVy10_rRJ0uvy6YcU"",""M:M"")=B10)*1, IMPORTRANGE(""17XjIPGwafStTRf_8bPPaoi2EFjHVy10_rRJ0uvy6YcU"",""X:X""), IMPORTRANGE(""17XjIPGwafStTRf_8bPPaoi2EFjHVy10_rRJ0uvy6YcU"",""AF:AF""))"),0.0)</f>
        <v>0</v>
      </c>
      <c r="E10" s="24">
        <f>IFERROR(__xludf.DUMMYFUNCTION("SUMPRODUCT((IMPORTRANGE(""17XjIPGwafStTRf_8bPPaoi2EFjHVy10_rRJ0uvy6YcU"",""M:M"")=B10)*1, IMPORTRANGE(""17XjIPGwafStTRf_8bPPaoi2EFjHVy10_rRJ0uvy6YcU"",""X:X""), IMPORTRANGE(""17XjIPGwafStTRf_8bPPaoi2EFjHVy10_rRJ0uvy6YcU"",""AO:AO""))"),0.0)</f>
        <v>0</v>
      </c>
      <c r="F10" s="25">
        <f>IFERROR(__xludf.DUMMYFUNCTION("SUMPRODUCT((IMPORTRANGE(""17XjIPGwafStTRf_8bPPaoi2EFjHVy10_rRJ0uvy6YcU"",""M:M"")=B10)*1, IMPORTRANGE(""17XjIPGwafStTRf_8bPPaoi2EFjHVy10_rRJ0uvy6YcU"",""X:X""))"),0.0)</f>
        <v>0</v>
      </c>
      <c r="G10" s="26">
        <f>IFERROR(__xludf.DUMMYFUNCTION("COUNTIF(IMPORTRANGE(""17XjIPGwafStTRf_8bPPaoi2EFjHVy10_rRJ0uvy6YcU"",""M:M""), B10)"),0.0)</f>
        <v>0</v>
      </c>
      <c r="H10" s="27" t="str">
        <f t="shared" si="1"/>
        <v/>
      </c>
      <c r="I10" s="28" t="str">
        <f t="shared" si="2"/>
        <v/>
      </c>
      <c r="J10" s="29" t="str">
        <f t="shared" si="3"/>
        <v/>
      </c>
      <c r="K10" s="32"/>
      <c r="L10" s="31" t="str">
        <f t="shared" si="4"/>
        <v/>
      </c>
      <c r="M10" s="31" t="str">
        <f t="shared" si="5"/>
        <v/>
      </c>
      <c r="N10" s="4"/>
    </row>
    <row r="11">
      <c r="A11" s="1"/>
      <c r="B11" s="23">
        <f t="shared" si="6"/>
        <v>44506</v>
      </c>
      <c r="C11" s="24">
        <f>IFERROR(__xludf.DUMMYFUNCTION("SUMPRODUCT((IMPORTRANGE(""17XjIPGwafStTRf_8bPPaoi2EFjHVy10_rRJ0uvy6YcU"",""M:M"")=B11)*1, IMPORTRANGE(""17XjIPGwafStTRf_8bPPaoi2EFjHVy10_rRJ0uvy6YcU"",""X:X""), IMPORTRANGE(""17XjIPGwafStTRf_8bPPaoi2EFjHVy10_rRJ0uvy6YcU"",""AK:AK"")) - SUMPRODUCT((IMPORTR"&amp;"ANGE(""17XjIPGwafStTRf_8bPPaoi2EFjHVy10_rRJ0uvy6YcU"",""M:M"")=B11)*1, IMPORTRANGE(""17XjIPGwafStTRf_8bPPaoi2EFjHVy10_rRJ0uvy6YcU"",""X:X""), IMPORTRANGE(""17XjIPGwafStTRf_8bPPaoi2EFjHVy10_rRJ0uvy6YcU"",""AL:AL""))"),567439.0)</f>
        <v>567439</v>
      </c>
      <c r="D11" s="24">
        <f>IFERROR(__xludf.DUMMYFUNCTION("SUMPRODUCT((IMPORTRANGE(""17XjIPGwafStTRf_8bPPaoi2EFjHVy10_rRJ0uvy6YcU"",""M:M"")=B11)*1, IMPORTRANGE(""17XjIPGwafStTRf_8bPPaoi2EFjHVy10_rRJ0uvy6YcU"",""X:X""), IMPORTRANGE(""17XjIPGwafStTRf_8bPPaoi2EFjHVy10_rRJ0uvy6YcU"",""AA:AA"")) + SUMPRODUCT((IMPORTR"&amp;"ANGE(""17XjIPGwafStTRf_8bPPaoi2EFjHVy10_rRJ0uvy6YcU"",""M:M"")=B11)*1, IMPORTRANGE(""17XjIPGwafStTRf_8bPPaoi2EFjHVy10_rRJ0uvy6YcU"",""X:X""), IMPORTRANGE(""17XjIPGwafStTRf_8bPPaoi2EFjHVy10_rRJ0uvy6YcU"",""AE:AE"")) + SUMPRODUCT((IMPORTRANGE(""17XjIPGwafSt"&amp;"TRf_8bPPaoi2EFjHVy10_rRJ0uvy6YcU"",""M:M"")=B11)*1, IMPORTRANGE(""17XjIPGwafStTRf_8bPPaoi2EFjHVy10_rRJ0uvy6YcU"",""X:X""), IMPORTRANGE(""17XjIPGwafStTRf_8bPPaoi2EFjHVy10_rRJ0uvy6YcU"",""AF:AF""))"),415170.57129076903)</f>
        <v>415170.5713</v>
      </c>
      <c r="E11" s="24">
        <f>IFERROR(__xludf.DUMMYFUNCTION("SUMPRODUCT((IMPORTRANGE(""17XjIPGwafStTRf_8bPPaoi2EFjHVy10_rRJ0uvy6YcU"",""M:M"")=B11)*1, IMPORTRANGE(""17XjIPGwafStTRf_8bPPaoi2EFjHVy10_rRJ0uvy6YcU"",""X:X""), IMPORTRANGE(""17XjIPGwafStTRf_8bPPaoi2EFjHVy10_rRJ0uvy6YcU"",""AO:AO""))"),83287.45956652472)</f>
        <v>83287.45957</v>
      </c>
      <c r="F11" s="25">
        <f>IFERROR(__xludf.DUMMYFUNCTION("SUMPRODUCT((IMPORTRANGE(""17XjIPGwafStTRf_8bPPaoi2EFjHVy10_rRJ0uvy6YcU"",""M:M"")=B11)*1, IMPORTRANGE(""17XjIPGwafStTRf_8bPPaoi2EFjHVy10_rRJ0uvy6YcU"",""X:X""))"),70.0)</f>
        <v>70</v>
      </c>
      <c r="G11" s="26">
        <f>IFERROR(__xludf.DUMMYFUNCTION("COUNTIF(IMPORTRANGE(""17XjIPGwafStTRf_8bPPaoi2EFjHVy10_rRJ0uvy6YcU"",""M:M""), B11)"),34.0)</f>
        <v>34</v>
      </c>
      <c r="H11" s="27">
        <f t="shared" si="1"/>
        <v>2.058823529</v>
      </c>
      <c r="I11" s="28">
        <f t="shared" si="2"/>
        <v>0.1467778203</v>
      </c>
      <c r="J11" s="29">
        <f t="shared" si="3"/>
        <v>0.2006102198</v>
      </c>
      <c r="K11" s="30"/>
      <c r="L11" s="31" t="str">
        <f t="shared" si="4"/>
        <v/>
      </c>
      <c r="M11" s="31" t="str">
        <f t="shared" si="5"/>
        <v/>
      </c>
      <c r="N11" s="4"/>
    </row>
    <row r="12">
      <c r="A12" s="1"/>
      <c r="B12" s="23">
        <f t="shared" si="6"/>
        <v>44507</v>
      </c>
      <c r="C12" s="24">
        <f>IFERROR(__xludf.DUMMYFUNCTION("SUMPRODUCT((IMPORTRANGE(""17XjIPGwafStTRf_8bPPaoi2EFjHVy10_rRJ0uvy6YcU"",""M:M"")=B12)*1, IMPORTRANGE(""17XjIPGwafStTRf_8bPPaoi2EFjHVy10_rRJ0uvy6YcU"",""X:X""), IMPORTRANGE(""17XjIPGwafStTRf_8bPPaoi2EFjHVy10_rRJ0uvy6YcU"",""AK:AK"")) - SUMPRODUCT((IMPORTR"&amp;"ANGE(""17XjIPGwafStTRf_8bPPaoi2EFjHVy10_rRJ0uvy6YcU"",""M:M"")=B12)*1, IMPORTRANGE(""17XjIPGwafStTRf_8bPPaoi2EFjHVy10_rRJ0uvy6YcU"",""X:X""), IMPORTRANGE(""17XjIPGwafStTRf_8bPPaoi2EFjHVy10_rRJ0uvy6YcU"",""AL:AL""))"),122896.0)</f>
        <v>122896</v>
      </c>
      <c r="D12" s="24">
        <f>IFERROR(__xludf.DUMMYFUNCTION("SUMPRODUCT((IMPORTRANGE(""17XjIPGwafStTRf_8bPPaoi2EFjHVy10_rRJ0uvy6YcU"",""M:M"")=B12)*1, IMPORTRANGE(""17XjIPGwafStTRf_8bPPaoi2EFjHVy10_rRJ0uvy6YcU"",""X:X""), IMPORTRANGE(""17XjIPGwafStTRf_8bPPaoi2EFjHVy10_rRJ0uvy6YcU"",""AA:AA"")) + SUMPRODUCT((IMPORTR"&amp;"ANGE(""17XjIPGwafStTRf_8bPPaoi2EFjHVy10_rRJ0uvy6YcU"",""M:M"")=B12)*1, IMPORTRANGE(""17XjIPGwafStTRf_8bPPaoi2EFjHVy10_rRJ0uvy6YcU"",""X:X""), IMPORTRANGE(""17XjIPGwafStTRf_8bPPaoi2EFjHVy10_rRJ0uvy6YcU"",""AE:AE"")) + SUMPRODUCT((IMPORTRANGE(""17XjIPGwafSt"&amp;"TRf_8bPPaoi2EFjHVy10_rRJ0uvy6YcU"",""M:M"")=B12)*1, IMPORTRANGE(""17XjIPGwafStTRf_8bPPaoi2EFjHVy10_rRJ0uvy6YcU"",""X:X""), IMPORTRANGE(""17XjIPGwafStTRf_8bPPaoi2EFjHVy10_rRJ0uvy6YcU"",""AF:AF""))"),83705.59652327772)</f>
        <v>83705.59652</v>
      </c>
      <c r="E12" s="24">
        <f>IFERROR(__xludf.DUMMYFUNCTION("SUMPRODUCT((IMPORTRANGE(""17XjIPGwafStTRf_8bPPaoi2EFjHVy10_rRJ0uvy6YcU"",""M:M"")=B12)*1, IMPORTRANGE(""17XjIPGwafStTRf_8bPPaoi2EFjHVy10_rRJ0uvy6YcU"",""X:X""), IMPORTRANGE(""17XjIPGwafStTRf_8bPPaoi2EFjHVy10_rRJ0uvy6YcU"",""AO:AO""))"),17612.582544236015)</f>
        <v>17612.58254</v>
      </c>
      <c r="F12" s="25">
        <f>IFERROR(__xludf.DUMMYFUNCTION("SUMPRODUCT((IMPORTRANGE(""17XjIPGwafStTRf_8bPPaoi2EFjHVy10_rRJ0uvy6YcU"",""M:M"")=B12)*1, IMPORTRANGE(""17XjIPGwafStTRf_8bPPaoi2EFjHVy10_rRJ0uvy6YcU"",""X:X""))"),23.0)</f>
        <v>23</v>
      </c>
      <c r="G12" s="26">
        <f>IFERROR(__xludf.DUMMYFUNCTION("COUNTIF(IMPORTRANGE(""17XjIPGwafStTRf_8bPPaoi2EFjHVy10_rRJ0uvy6YcU"",""M:M""), B12)"),12.0)</f>
        <v>12</v>
      </c>
      <c r="H12" s="27">
        <f t="shared" si="1"/>
        <v>1.916666667</v>
      </c>
      <c r="I12" s="28">
        <f t="shared" si="2"/>
        <v>0.1433129031</v>
      </c>
      <c r="J12" s="29">
        <f t="shared" si="3"/>
        <v>0.2104110511</v>
      </c>
      <c r="K12" s="32"/>
      <c r="L12" s="31" t="str">
        <f t="shared" si="4"/>
        <v/>
      </c>
      <c r="M12" s="31" t="str">
        <f t="shared" si="5"/>
        <v/>
      </c>
      <c r="N12" s="4"/>
    </row>
    <row r="13">
      <c r="A13" s="1"/>
      <c r="B13" s="23">
        <f t="shared" si="6"/>
        <v>44508</v>
      </c>
      <c r="C13" s="24">
        <f>IFERROR(__xludf.DUMMYFUNCTION("SUMPRODUCT((IMPORTRANGE(""17XjIPGwafStTRf_8bPPaoi2EFjHVy10_rRJ0uvy6YcU"",""M:M"")=B13)*1, IMPORTRANGE(""17XjIPGwafStTRf_8bPPaoi2EFjHVy10_rRJ0uvy6YcU"",""X:X""), IMPORTRANGE(""17XjIPGwafStTRf_8bPPaoi2EFjHVy10_rRJ0uvy6YcU"",""AK:AK"")) - SUMPRODUCT((IMPORTR"&amp;"ANGE(""17XjIPGwafStTRf_8bPPaoi2EFjHVy10_rRJ0uvy6YcU"",""M:M"")=B13)*1, IMPORTRANGE(""17XjIPGwafStTRf_8bPPaoi2EFjHVy10_rRJ0uvy6YcU"",""X:X""), IMPORTRANGE(""17XjIPGwafStTRf_8bPPaoi2EFjHVy10_rRJ0uvy6YcU"",""AL:AL""))"),134629.0)</f>
        <v>134629</v>
      </c>
      <c r="D13" s="24">
        <f>IFERROR(__xludf.DUMMYFUNCTION("SUMPRODUCT((IMPORTRANGE(""17XjIPGwafStTRf_8bPPaoi2EFjHVy10_rRJ0uvy6YcU"",""M:M"")=B13)*1, IMPORTRANGE(""17XjIPGwafStTRf_8bPPaoi2EFjHVy10_rRJ0uvy6YcU"",""X:X""), IMPORTRANGE(""17XjIPGwafStTRf_8bPPaoi2EFjHVy10_rRJ0uvy6YcU"",""AA:AA"")) + SUMPRODUCT((IMPORTR"&amp;"ANGE(""17XjIPGwafStTRf_8bPPaoi2EFjHVy10_rRJ0uvy6YcU"",""M:M"")=B13)*1, IMPORTRANGE(""17XjIPGwafStTRf_8bPPaoi2EFjHVy10_rRJ0uvy6YcU"",""X:X""), IMPORTRANGE(""17XjIPGwafStTRf_8bPPaoi2EFjHVy10_rRJ0uvy6YcU"",""AE:AE"")) + SUMPRODUCT((IMPORTRANGE(""17XjIPGwafSt"&amp;"TRf_8bPPaoi2EFjHVy10_rRJ0uvy6YcU"",""M:M"")=B13)*1, IMPORTRANGE(""17XjIPGwafStTRf_8bPPaoi2EFjHVy10_rRJ0uvy6YcU"",""X:X""), IMPORTRANGE(""17XjIPGwafStTRf_8bPPaoi2EFjHVy10_rRJ0uvy6YcU"",""AF:AF""))"),65247.58231378396)</f>
        <v>65247.58231</v>
      </c>
      <c r="E13" s="24">
        <f>IFERROR(__xludf.DUMMYFUNCTION("SUMPRODUCT((IMPORTRANGE(""17XjIPGwafStTRf_8bPPaoi2EFjHVy10_rRJ0uvy6YcU"",""M:M"")=B13)*1, IMPORTRANGE(""17XjIPGwafStTRf_8bPPaoi2EFjHVy10_rRJ0uvy6YcU"",""X:X""), IMPORTRANGE(""17XjIPGwafStTRf_8bPPaoi2EFjHVy10_rRJ0uvy6YcU"",""AO:AO""))"),47125.317686216025)</f>
        <v>47125.31769</v>
      </c>
      <c r="F13" s="25">
        <f>IFERROR(__xludf.DUMMYFUNCTION("SUMPRODUCT((IMPORTRANGE(""17XjIPGwafStTRf_8bPPaoi2EFjHVy10_rRJ0uvy6YcU"",""M:M"")=B13)*1, IMPORTRANGE(""17XjIPGwafStTRf_8bPPaoi2EFjHVy10_rRJ0uvy6YcU"",""X:X""))"),15.0)</f>
        <v>15</v>
      </c>
      <c r="G13" s="26">
        <f>IFERROR(__xludf.DUMMYFUNCTION("COUNTIF(IMPORTRANGE(""17XjIPGwafStTRf_8bPPaoi2EFjHVy10_rRJ0uvy6YcU"",""M:M""), B13)"),9.0)</f>
        <v>9</v>
      </c>
      <c r="H13" s="27">
        <f t="shared" si="1"/>
        <v>1.666666667</v>
      </c>
      <c r="I13" s="28">
        <f t="shared" si="2"/>
        <v>0.3500383846</v>
      </c>
      <c r="J13" s="29">
        <f t="shared" si="3"/>
        <v>0.7222538524</v>
      </c>
      <c r="K13" s="32"/>
      <c r="L13" s="31" t="str">
        <f t="shared" si="4"/>
        <v/>
      </c>
      <c r="M13" s="31" t="str">
        <f t="shared" si="5"/>
        <v/>
      </c>
      <c r="N13" s="4"/>
    </row>
    <row r="14">
      <c r="A14" s="1"/>
      <c r="B14" s="23">
        <f t="shared" si="6"/>
        <v>44509</v>
      </c>
      <c r="C14" s="24">
        <f>IFERROR(__xludf.DUMMYFUNCTION("SUMPRODUCT((IMPORTRANGE(""17XjIPGwafStTRf_8bPPaoi2EFjHVy10_rRJ0uvy6YcU"",""M:M"")=B14)*1, IMPORTRANGE(""17XjIPGwafStTRf_8bPPaoi2EFjHVy10_rRJ0uvy6YcU"",""X:X""), IMPORTRANGE(""17XjIPGwafStTRf_8bPPaoi2EFjHVy10_rRJ0uvy6YcU"",""AK:AK"")) - SUMPRODUCT((IMPORTR"&amp;"ANGE(""17XjIPGwafStTRf_8bPPaoi2EFjHVy10_rRJ0uvy6YcU"",""M:M"")=B14)*1, IMPORTRANGE(""17XjIPGwafStTRf_8bPPaoi2EFjHVy10_rRJ0uvy6YcU"",""X:X""), IMPORTRANGE(""17XjIPGwafStTRf_8bPPaoi2EFjHVy10_rRJ0uvy6YcU"",""AL:AL""))"),238176.0)</f>
        <v>238176</v>
      </c>
      <c r="D14" s="24">
        <f>IFERROR(__xludf.DUMMYFUNCTION("SUMPRODUCT((IMPORTRANGE(""17XjIPGwafStTRf_8bPPaoi2EFjHVy10_rRJ0uvy6YcU"",""M:M"")=B14)*1, IMPORTRANGE(""17XjIPGwafStTRf_8bPPaoi2EFjHVy10_rRJ0uvy6YcU"",""X:X""), IMPORTRANGE(""17XjIPGwafStTRf_8bPPaoi2EFjHVy10_rRJ0uvy6YcU"",""AA:AA"")) + SUMPRODUCT((IMPORTR"&amp;"ANGE(""17XjIPGwafStTRf_8bPPaoi2EFjHVy10_rRJ0uvy6YcU"",""M:M"")=B14)*1, IMPORTRANGE(""17XjIPGwafStTRf_8bPPaoi2EFjHVy10_rRJ0uvy6YcU"",""X:X""), IMPORTRANGE(""17XjIPGwafStTRf_8bPPaoi2EFjHVy10_rRJ0uvy6YcU"",""AE:AE"")) + SUMPRODUCT((IMPORTRANGE(""17XjIPGwafSt"&amp;"TRf_8bPPaoi2EFjHVy10_rRJ0uvy6YcU"",""M:M"")=B14)*1, IMPORTRANGE(""17XjIPGwafStTRf_8bPPaoi2EFjHVy10_rRJ0uvy6YcU"",""X:X""), IMPORTRANGE(""17XjIPGwafStTRf_8bPPaoi2EFjHVy10_rRJ0uvy6YcU"",""AF:AF""))"),170735.48359025794)</f>
        <v>170735.4836</v>
      </c>
      <c r="E14" s="24">
        <f>IFERROR(__xludf.DUMMYFUNCTION("SUMPRODUCT((IMPORTRANGE(""17XjIPGwafStTRf_8bPPaoi2EFjHVy10_rRJ0uvy6YcU"",""M:M"")=B14)*1, IMPORTRANGE(""17XjIPGwafStTRf_8bPPaoi2EFjHVy10_rRJ0uvy6YcU"",""X:X""), IMPORTRANGE(""17XjIPGwafStTRf_8bPPaoi2EFjHVy10_rRJ0uvy6YcU"",""AO:AO""))"),42446.57338830982)</f>
        <v>42446.57339</v>
      </c>
      <c r="F14" s="25">
        <f>IFERROR(__xludf.DUMMYFUNCTION("SUMPRODUCT((IMPORTRANGE(""17XjIPGwafStTRf_8bPPaoi2EFjHVy10_rRJ0uvy6YcU"",""M:M"")=B14)*1, IMPORTRANGE(""17XjIPGwafStTRf_8bPPaoi2EFjHVy10_rRJ0uvy6YcU"",""X:X""))"),36.0)</f>
        <v>36</v>
      </c>
      <c r="G14" s="26">
        <f>IFERROR(__xludf.DUMMYFUNCTION("COUNTIF(IMPORTRANGE(""17XjIPGwafStTRf_8bPPaoi2EFjHVy10_rRJ0uvy6YcU"",""M:M""), B14)"),18.0)</f>
        <v>18</v>
      </c>
      <c r="H14" s="27">
        <f t="shared" si="1"/>
        <v>2</v>
      </c>
      <c r="I14" s="28">
        <f t="shared" si="2"/>
        <v>0.1782151576</v>
      </c>
      <c r="J14" s="29">
        <f t="shared" si="3"/>
        <v>0.2486101453</v>
      </c>
      <c r="K14" s="32"/>
      <c r="L14" s="31" t="str">
        <f t="shared" si="4"/>
        <v/>
      </c>
      <c r="M14" s="31" t="str">
        <f t="shared" si="5"/>
        <v/>
      </c>
      <c r="N14" s="4"/>
    </row>
    <row r="15">
      <c r="A15" s="1"/>
      <c r="B15" s="23">
        <f t="shared" si="6"/>
        <v>44510</v>
      </c>
      <c r="C15" s="24">
        <f>IFERROR(__xludf.DUMMYFUNCTION("SUMPRODUCT((IMPORTRANGE(""17XjIPGwafStTRf_8bPPaoi2EFjHVy10_rRJ0uvy6YcU"",""M:M"")=B15)*1, IMPORTRANGE(""17XjIPGwafStTRf_8bPPaoi2EFjHVy10_rRJ0uvy6YcU"",""X:X""), IMPORTRANGE(""17XjIPGwafStTRf_8bPPaoi2EFjHVy10_rRJ0uvy6YcU"",""AK:AK"")) - SUMPRODUCT((IMPORTR"&amp;"ANGE(""17XjIPGwafStTRf_8bPPaoi2EFjHVy10_rRJ0uvy6YcU"",""M:M"")=B15)*1, IMPORTRANGE(""17XjIPGwafStTRf_8bPPaoi2EFjHVy10_rRJ0uvy6YcU"",""X:X""), IMPORTRANGE(""17XjIPGwafStTRf_8bPPaoi2EFjHVy10_rRJ0uvy6YcU"",""AL:AL""))"),83437.0)</f>
        <v>83437</v>
      </c>
      <c r="D15" s="24">
        <f>IFERROR(__xludf.DUMMYFUNCTION("SUMPRODUCT((IMPORTRANGE(""17XjIPGwafStTRf_8bPPaoi2EFjHVy10_rRJ0uvy6YcU"",""M:M"")=B15)*1, IMPORTRANGE(""17XjIPGwafStTRf_8bPPaoi2EFjHVy10_rRJ0uvy6YcU"",""X:X""), IMPORTRANGE(""17XjIPGwafStTRf_8bPPaoi2EFjHVy10_rRJ0uvy6YcU"",""AA:AA"")) + SUMPRODUCT((IMPORTR"&amp;"ANGE(""17XjIPGwafStTRf_8bPPaoi2EFjHVy10_rRJ0uvy6YcU"",""M:M"")=B15)*1, IMPORTRANGE(""17XjIPGwafStTRf_8bPPaoi2EFjHVy10_rRJ0uvy6YcU"",""X:X""), IMPORTRANGE(""17XjIPGwafStTRf_8bPPaoi2EFjHVy10_rRJ0uvy6YcU"",""AE:AE"")) + SUMPRODUCT((IMPORTRANGE(""17XjIPGwafSt"&amp;"TRf_8bPPaoi2EFjHVy10_rRJ0uvy6YcU"",""M:M"")=B15)*1, IMPORTRANGE(""17XjIPGwafStTRf_8bPPaoi2EFjHVy10_rRJ0uvy6YcU"",""X:X""), IMPORTRANGE(""17XjIPGwafStTRf_8bPPaoi2EFjHVy10_rRJ0uvy6YcU"",""AF:AF""))"),44010.64847507452)</f>
        <v>44010.64848</v>
      </c>
      <c r="E15" s="24">
        <f>IFERROR(__xludf.DUMMYFUNCTION("SUMPRODUCT((IMPORTRANGE(""17XjIPGwafStTRf_8bPPaoi2EFjHVy10_rRJ0uvy6YcU"",""M:M"")=B15)*1, IMPORTRANGE(""17XjIPGwafStTRf_8bPPaoi2EFjHVy10_rRJ0uvy6YcU"",""X:X""), IMPORTRANGE(""17XjIPGwafStTRf_8bPPaoi2EFjHVy10_rRJ0uvy6YcU"",""AO:AO""))"),19952.35152492548)</f>
        <v>19952.35152</v>
      </c>
      <c r="F15" s="25">
        <f>IFERROR(__xludf.DUMMYFUNCTION("SUMPRODUCT((IMPORTRANGE(""17XjIPGwafStTRf_8bPPaoi2EFjHVy10_rRJ0uvy6YcU"",""M:M"")=B15)*1, IMPORTRANGE(""17XjIPGwafStTRf_8bPPaoi2EFjHVy10_rRJ0uvy6YcU"",""X:X""))"),20.0)</f>
        <v>20</v>
      </c>
      <c r="G15" s="26">
        <f>IFERROR(__xludf.DUMMYFUNCTION("COUNTIF(IMPORTRANGE(""17XjIPGwafStTRf_8bPPaoi2EFjHVy10_rRJ0uvy6YcU"",""M:M""), B15)"),9.0)</f>
        <v>9</v>
      </c>
      <c r="H15" s="27">
        <f t="shared" si="1"/>
        <v>2.222222222</v>
      </c>
      <c r="I15" s="28">
        <f t="shared" si="2"/>
        <v>0.2391307397</v>
      </c>
      <c r="J15" s="29">
        <f t="shared" si="3"/>
        <v>0.4533528184</v>
      </c>
      <c r="K15" s="30"/>
      <c r="L15" s="31" t="str">
        <f t="shared" si="4"/>
        <v/>
      </c>
      <c r="M15" s="31" t="str">
        <f t="shared" si="5"/>
        <v/>
      </c>
      <c r="N15" s="4"/>
    </row>
    <row r="16">
      <c r="A16" s="1"/>
      <c r="B16" s="23">
        <f t="shared" si="6"/>
        <v>44511</v>
      </c>
      <c r="C16" s="24">
        <f>IFERROR(__xludf.DUMMYFUNCTION("SUMPRODUCT((IMPORTRANGE(""17XjIPGwafStTRf_8bPPaoi2EFjHVy10_rRJ0uvy6YcU"",""M:M"")=B16)*1, IMPORTRANGE(""17XjIPGwafStTRf_8bPPaoi2EFjHVy10_rRJ0uvy6YcU"",""X:X""), IMPORTRANGE(""17XjIPGwafStTRf_8bPPaoi2EFjHVy10_rRJ0uvy6YcU"",""AK:AK"")) - SUMPRODUCT((IMPORTR"&amp;"ANGE(""17XjIPGwafStTRf_8bPPaoi2EFjHVy10_rRJ0uvy6YcU"",""M:M"")=B16)*1, IMPORTRANGE(""17XjIPGwafStTRf_8bPPaoi2EFjHVy10_rRJ0uvy6YcU"",""X:X""), IMPORTRANGE(""17XjIPGwafStTRf_8bPPaoi2EFjHVy10_rRJ0uvy6YcU"",""AL:AL""))"),0.0)</f>
        <v>0</v>
      </c>
      <c r="D16" s="24">
        <f>IFERROR(__xludf.DUMMYFUNCTION("SUMPRODUCT((IMPORTRANGE(""17XjIPGwafStTRf_8bPPaoi2EFjHVy10_rRJ0uvy6YcU"",""M:M"")=B16)*1, IMPORTRANGE(""17XjIPGwafStTRf_8bPPaoi2EFjHVy10_rRJ0uvy6YcU"",""X:X""), IMPORTRANGE(""17XjIPGwafStTRf_8bPPaoi2EFjHVy10_rRJ0uvy6YcU"",""AA:AA"")) + SUMPRODUCT((IMPORTR"&amp;"ANGE(""17XjIPGwafStTRf_8bPPaoi2EFjHVy10_rRJ0uvy6YcU"",""M:M"")=B16)*1, IMPORTRANGE(""17XjIPGwafStTRf_8bPPaoi2EFjHVy10_rRJ0uvy6YcU"",""X:X""), IMPORTRANGE(""17XjIPGwafStTRf_8bPPaoi2EFjHVy10_rRJ0uvy6YcU"",""AE:AE"")) + SUMPRODUCT((IMPORTRANGE(""17XjIPGwafSt"&amp;"TRf_8bPPaoi2EFjHVy10_rRJ0uvy6YcU"",""M:M"")=B16)*1, IMPORTRANGE(""17XjIPGwafStTRf_8bPPaoi2EFjHVy10_rRJ0uvy6YcU"",""X:X""), IMPORTRANGE(""17XjIPGwafStTRf_8bPPaoi2EFjHVy10_rRJ0uvy6YcU"",""AF:AF""))"),0.0)</f>
        <v>0</v>
      </c>
      <c r="E16" s="24">
        <f>IFERROR(__xludf.DUMMYFUNCTION("SUMPRODUCT((IMPORTRANGE(""17XjIPGwafStTRf_8bPPaoi2EFjHVy10_rRJ0uvy6YcU"",""M:M"")=B16)*1, IMPORTRANGE(""17XjIPGwafStTRf_8bPPaoi2EFjHVy10_rRJ0uvy6YcU"",""X:X""), IMPORTRANGE(""17XjIPGwafStTRf_8bPPaoi2EFjHVy10_rRJ0uvy6YcU"",""AO:AO""))"),0.0)</f>
        <v>0</v>
      </c>
      <c r="F16" s="25">
        <f>IFERROR(__xludf.DUMMYFUNCTION("SUMPRODUCT((IMPORTRANGE(""17XjIPGwafStTRf_8bPPaoi2EFjHVy10_rRJ0uvy6YcU"",""M:M"")=B16)*1, IMPORTRANGE(""17XjIPGwafStTRf_8bPPaoi2EFjHVy10_rRJ0uvy6YcU"",""X:X""))"),0.0)</f>
        <v>0</v>
      </c>
      <c r="G16" s="26">
        <f>IFERROR(__xludf.DUMMYFUNCTION("COUNTIF(IMPORTRANGE(""17XjIPGwafStTRf_8bPPaoi2EFjHVy10_rRJ0uvy6YcU"",""M:M""), B16)"),0.0)</f>
        <v>0</v>
      </c>
      <c r="H16" s="27" t="str">
        <f t="shared" si="1"/>
        <v/>
      </c>
      <c r="I16" s="28" t="str">
        <f t="shared" si="2"/>
        <v/>
      </c>
      <c r="J16" s="29" t="str">
        <f t="shared" si="3"/>
        <v/>
      </c>
      <c r="K16" s="32"/>
      <c r="L16" s="31" t="str">
        <f t="shared" si="4"/>
        <v/>
      </c>
      <c r="M16" s="31" t="str">
        <f t="shared" si="5"/>
        <v/>
      </c>
      <c r="N16" s="4"/>
    </row>
    <row r="17">
      <c r="A17" s="1"/>
      <c r="B17" s="23">
        <f t="shared" si="6"/>
        <v>44512</v>
      </c>
      <c r="C17" s="24">
        <f>IFERROR(__xludf.DUMMYFUNCTION("SUMPRODUCT((IMPORTRANGE(""17XjIPGwafStTRf_8bPPaoi2EFjHVy10_rRJ0uvy6YcU"",""M:M"")=B17)*1, IMPORTRANGE(""17XjIPGwafStTRf_8bPPaoi2EFjHVy10_rRJ0uvy6YcU"",""X:X""), IMPORTRANGE(""17XjIPGwafStTRf_8bPPaoi2EFjHVy10_rRJ0uvy6YcU"",""AK:AK"")) - SUMPRODUCT((IMPORTR"&amp;"ANGE(""17XjIPGwafStTRf_8bPPaoi2EFjHVy10_rRJ0uvy6YcU"",""M:M"")=B17)*1, IMPORTRANGE(""17XjIPGwafStTRf_8bPPaoi2EFjHVy10_rRJ0uvy6YcU"",""X:X""), IMPORTRANGE(""17XjIPGwafStTRf_8bPPaoi2EFjHVy10_rRJ0uvy6YcU"",""AL:AL""))"),998638.0)</f>
        <v>998638</v>
      </c>
      <c r="D17" s="24">
        <f>IFERROR(__xludf.DUMMYFUNCTION("SUMPRODUCT((IMPORTRANGE(""17XjIPGwafStTRf_8bPPaoi2EFjHVy10_rRJ0uvy6YcU"",""M:M"")=B17)*1, IMPORTRANGE(""17XjIPGwafStTRf_8bPPaoi2EFjHVy10_rRJ0uvy6YcU"",""X:X""), IMPORTRANGE(""17XjIPGwafStTRf_8bPPaoi2EFjHVy10_rRJ0uvy6YcU"",""AA:AA"")) + SUMPRODUCT((IMPORTR"&amp;"ANGE(""17XjIPGwafStTRf_8bPPaoi2EFjHVy10_rRJ0uvy6YcU"",""M:M"")=B17)*1, IMPORTRANGE(""17XjIPGwafStTRf_8bPPaoi2EFjHVy10_rRJ0uvy6YcU"",""X:X""), IMPORTRANGE(""17XjIPGwafStTRf_8bPPaoi2EFjHVy10_rRJ0uvy6YcU"",""AE:AE"")) + SUMPRODUCT((IMPORTRANGE(""17XjIPGwafSt"&amp;"TRf_8bPPaoi2EFjHVy10_rRJ0uvy6YcU"",""M:M"")=B17)*1, IMPORTRANGE(""17XjIPGwafStTRf_8bPPaoi2EFjHVy10_rRJ0uvy6YcU"",""X:X""), IMPORTRANGE(""17XjIPGwafStTRf_8bPPaoi2EFjHVy10_rRJ0uvy6YcU"",""AF:AF""))"),604387.3778804454)</f>
        <v>604387.3779</v>
      </c>
      <c r="E17" s="24">
        <f>IFERROR(__xludf.DUMMYFUNCTION("SUMPRODUCT((IMPORTRANGE(""17XjIPGwafStTRf_8bPPaoi2EFjHVy10_rRJ0uvy6YcU"",""M:M"")=B17)*1, IMPORTRANGE(""17XjIPGwafStTRf_8bPPaoi2EFjHVy10_rRJ0uvy6YcU"",""X:X""), IMPORTRANGE(""17XjIPGwafStTRf_8bPPaoi2EFjHVy10_rRJ0uvy6YcU"",""AO:AO""))"),207895.24244264595)</f>
        <v>207895.2424</v>
      </c>
      <c r="F17" s="25">
        <f>IFERROR(__xludf.DUMMYFUNCTION("SUMPRODUCT((IMPORTRANGE(""17XjIPGwafStTRf_8bPPaoi2EFjHVy10_rRJ0uvy6YcU"",""M:M"")=B17)*1, IMPORTRANGE(""17XjIPGwafStTRf_8bPPaoi2EFjHVy10_rRJ0uvy6YcU"",""X:X""))"),211.0)</f>
        <v>211</v>
      </c>
      <c r="G17" s="26">
        <f>IFERROR(__xludf.DUMMYFUNCTION("COUNTIF(IMPORTRANGE(""17XjIPGwafStTRf_8bPPaoi2EFjHVy10_rRJ0uvy6YcU"",""M:M""), B17)"),57.0)</f>
        <v>57</v>
      </c>
      <c r="H17" s="27">
        <f t="shared" si="1"/>
        <v>3.701754386</v>
      </c>
      <c r="I17" s="28">
        <f t="shared" si="2"/>
        <v>0.2081787819</v>
      </c>
      <c r="J17" s="29">
        <f t="shared" si="3"/>
        <v>0.3439768103</v>
      </c>
      <c r="K17" s="32"/>
      <c r="L17" s="31" t="str">
        <f t="shared" si="4"/>
        <v/>
      </c>
      <c r="M17" s="31" t="str">
        <f t="shared" si="5"/>
        <v/>
      </c>
      <c r="N17" s="4"/>
    </row>
    <row r="18">
      <c r="A18" s="1"/>
      <c r="B18" s="23">
        <f t="shared" si="6"/>
        <v>44513</v>
      </c>
      <c r="C18" s="24">
        <f>IFERROR(__xludf.DUMMYFUNCTION("SUMPRODUCT((IMPORTRANGE(""17XjIPGwafStTRf_8bPPaoi2EFjHVy10_rRJ0uvy6YcU"",""M:M"")=B18)*1, IMPORTRANGE(""17XjIPGwafStTRf_8bPPaoi2EFjHVy10_rRJ0uvy6YcU"",""X:X""), IMPORTRANGE(""17XjIPGwafStTRf_8bPPaoi2EFjHVy10_rRJ0uvy6YcU"",""AK:AK"")) - SUMPRODUCT((IMPORTR"&amp;"ANGE(""17XjIPGwafStTRf_8bPPaoi2EFjHVy10_rRJ0uvy6YcU"",""M:M"")=B18)*1, IMPORTRANGE(""17XjIPGwafStTRf_8bPPaoi2EFjHVy10_rRJ0uvy6YcU"",""X:X""), IMPORTRANGE(""17XjIPGwafStTRf_8bPPaoi2EFjHVy10_rRJ0uvy6YcU"",""AL:AL""))"),581626.0)</f>
        <v>581626</v>
      </c>
      <c r="D18" s="24">
        <f>IFERROR(__xludf.DUMMYFUNCTION("SUMPRODUCT((IMPORTRANGE(""17XjIPGwafStTRf_8bPPaoi2EFjHVy10_rRJ0uvy6YcU"",""M:M"")=B18)*1, IMPORTRANGE(""17XjIPGwafStTRf_8bPPaoi2EFjHVy10_rRJ0uvy6YcU"",""X:X""), IMPORTRANGE(""17XjIPGwafStTRf_8bPPaoi2EFjHVy10_rRJ0uvy6YcU"",""AA:AA"")) + SUMPRODUCT((IMPORTR"&amp;"ANGE(""17XjIPGwafStTRf_8bPPaoi2EFjHVy10_rRJ0uvy6YcU"",""M:M"")=B18)*1, IMPORTRANGE(""17XjIPGwafStTRf_8bPPaoi2EFjHVy10_rRJ0uvy6YcU"",""X:X""), IMPORTRANGE(""17XjIPGwafStTRf_8bPPaoi2EFjHVy10_rRJ0uvy6YcU"",""AE:AE"")) + SUMPRODUCT((IMPORTRANGE(""17XjIPGwafSt"&amp;"TRf_8bPPaoi2EFjHVy10_rRJ0uvy6YcU"",""M:M"")=B18)*1, IMPORTRANGE(""17XjIPGwafStTRf_8bPPaoi2EFjHVy10_rRJ0uvy6YcU"",""X:X""), IMPORTRANGE(""17XjIPGwafStTRf_8bPPaoi2EFjHVy10_rRJ0uvy6YcU"",""AF:AF""))"),398308.58012555086)</f>
        <v>398308.5801</v>
      </c>
      <c r="E18" s="24">
        <f>IFERROR(__xludf.DUMMYFUNCTION("SUMPRODUCT((IMPORTRANGE(""17XjIPGwafStTRf_8bPPaoi2EFjHVy10_rRJ0uvy6YcU"",""M:M"")=B18)*1, IMPORTRANGE(""17XjIPGwafStTRf_8bPPaoi2EFjHVy10_rRJ0uvy6YcU"",""X:X""), IMPORTRANGE(""17XjIPGwafStTRf_8bPPaoi2EFjHVy10_rRJ0uvy6YcU"",""AO:AO""))"),81178.96355361222)</f>
        <v>81178.96355</v>
      </c>
      <c r="F18" s="25">
        <f>IFERROR(__xludf.DUMMYFUNCTION("SUMPRODUCT((IMPORTRANGE(""17XjIPGwafStTRf_8bPPaoi2EFjHVy10_rRJ0uvy6YcU"",""M:M"")=B18)*1, IMPORTRANGE(""17XjIPGwafStTRf_8bPPaoi2EFjHVy10_rRJ0uvy6YcU"",""X:X""))"),92.0)</f>
        <v>92</v>
      </c>
      <c r="G18" s="26">
        <f>IFERROR(__xludf.DUMMYFUNCTION("COUNTIF(IMPORTRANGE(""17XjIPGwafStTRf_8bPPaoi2EFjHVy10_rRJ0uvy6YcU"",""M:M""), B18)"),25.0)</f>
        <v>25</v>
      </c>
      <c r="H18" s="27">
        <f t="shared" si="1"/>
        <v>3.68</v>
      </c>
      <c r="I18" s="28">
        <f t="shared" si="2"/>
        <v>0.1395724461</v>
      </c>
      <c r="J18" s="29">
        <f t="shared" si="3"/>
        <v>0.2038092263</v>
      </c>
      <c r="K18" s="32"/>
      <c r="L18" s="31" t="str">
        <f t="shared" si="4"/>
        <v/>
      </c>
      <c r="M18" s="31" t="str">
        <f t="shared" si="5"/>
        <v/>
      </c>
      <c r="N18" s="4"/>
    </row>
    <row r="19">
      <c r="A19" s="1"/>
      <c r="B19" s="23">
        <f t="shared" si="6"/>
        <v>44514</v>
      </c>
      <c r="C19" s="24">
        <f>IFERROR(__xludf.DUMMYFUNCTION("SUMPRODUCT((IMPORTRANGE(""17XjIPGwafStTRf_8bPPaoi2EFjHVy10_rRJ0uvy6YcU"",""M:M"")=B19)*1, IMPORTRANGE(""17XjIPGwafStTRf_8bPPaoi2EFjHVy10_rRJ0uvy6YcU"",""X:X""), IMPORTRANGE(""17XjIPGwafStTRf_8bPPaoi2EFjHVy10_rRJ0uvy6YcU"",""AK:AK"")) - SUMPRODUCT((IMPORTR"&amp;"ANGE(""17XjIPGwafStTRf_8bPPaoi2EFjHVy10_rRJ0uvy6YcU"",""M:M"")=B19)*1, IMPORTRANGE(""17XjIPGwafStTRf_8bPPaoi2EFjHVy10_rRJ0uvy6YcU"",""X:X""), IMPORTRANGE(""17XjIPGwafStTRf_8bPPaoi2EFjHVy10_rRJ0uvy6YcU"",""AL:AL""))"),148776.0)</f>
        <v>148776</v>
      </c>
      <c r="D19" s="24">
        <f>IFERROR(__xludf.DUMMYFUNCTION("SUMPRODUCT((IMPORTRANGE(""17XjIPGwafStTRf_8bPPaoi2EFjHVy10_rRJ0uvy6YcU"",""M:M"")=B19)*1, IMPORTRANGE(""17XjIPGwafStTRf_8bPPaoi2EFjHVy10_rRJ0uvy6YcU"",""X:X""), IMPORTRANGE(""17XjIPGwafStTRf_8bPPaoi2EFjHVy10_rRJ0uvy6YcU"",""AA:AA"")) + SUMPRODUCT((IMPORTR"&amp;"ANGE(""17XjIPGwafStTRf_8bPPaoi2EFjHVy10_rRJ0uvy6YcU"",""M:M"")=B19)*1, IMPORTRANGE(""17XjIPGwafStTRf_8bPPaoi2EFjHVy10_rRJ0uvy6YcU"",""X:X""), IMPORTRANGE(""17XjIPGwafStTRf_8bPPaoi2EFjHVy10_rRJ0uvy6YcU"",""AE:AE"")) + SUMPRODUCT((IMPORTRANGE(""17XjIPGwafSt"&amp;"TRf_8bPPaoi2EFjHVy10_rRJ0uvy6YcU"",""M:M"")=B19)*1, IMPORTRANGE(""17XjIPGwafStTRf_8bPPaoi2EFjHVy10_rRJ0uvy6YcU"",""X:X""), IMPORTRANGE(""17XjIPGwafStTRf_8bPPaoi2EFjHVy10_rRJ0uvy6YcU"",""AF:AF""))"),88324.51543191724)</f>
        <v>88324.51543</v>
      </c>
      <c r="E19" s="24">
        <f>IFERROR(__xludf.DUMMYFUNCTION("SUMPRODUCT((IMPORTRANGE(""17XjIPGwafStTRf_8bPPaoi2EFjHVy10_rRJ0uvy6YcU"",""M:M"")=B19)*1, IMPORTRANGE(""17XjIPGwafStTRf_8bPPaoi2EFjHVy10_rRJ0uvy6YcU"",""X:X""), IMPORTRANGE(""17XjIPGwafStTRf_8bPPaoi2EFjHVy10_rRJ0uvy6YcU"",""AO:AO""))"),35356.284568082745)</f>
        <v>35356.28457</v>
      </c>
      <c r="F19" s="25">
        <f>IFERROR(__xludf.DUMMYFUNCTION("SUMPRODUCT((IMPORTRANGE(""17XjIPGwafStTRf_8bPPaoi2EFjHVy10_rRJ0uvy6YcU"",""M:M"")=B19)*1, IMPORTRANGE(""17XjIPGwafStTRf_8bPPaoi2EFjHVy10_rRJ0uvy6YcU"",""X:X""))"),21.0)</f>
        <v>21</v>
      </c>
      <c r="G19" s="26">
        <f>IFERROR(__xludf.DUMMYFUNCTION("COUNTIF(IMPORTRANGE(""17XjIPGwafStTRf_8bPPaoi2EFjHVy10_rRJ0uvy6YcU"",""M:M""), B19)"),16.0)</f>
        <v>16</v>
      </c>
      <c r="H19" s="27">
        <f t="shared" si="1"/>
        <v>1.3125</v>
      </c>
      <c r="I19" s="28">
        <f t="shared" si="2"/>
        <v>0.2376477696</v>
      </c>
      <c r="J19" s="29">
        <f t="shared" si="3"/>
        <v>0.4002997853</v>
      </c>
      <c r="K19" s="32"/>
      <c r="L19" s="31" t="str">
        <f t="shared" si="4"/>
        <v/>
      </c>
      <c r="M19" s="31" t="str">
        <f t="shared" si="5"/>
        <v/>
      </c>
      <c r="N19" s="4"/>
    </row>
    <row r="20">
      <c r="A20" s="1"/>
      <c r="B20" s="23">
        <f t="shared" si="6"/>
        <v>44515</v>
      </c>
      <c r="C20" s="24">
        <f>IFERROR(__xludf.DUMMYFUNCTION("SUMPRODUCT((IMPORTRANGE(""17XjIPGwafStTRf_8bPPaoi2EFjHVy10_rRJ0uvy6YcU"",""M:M"")=B20)*1, IMPORTRANGE(""17XjIPGwafStTRf_8bPPaoi2EFjHVy10_rRJ0uvy6YcU"",""X:X""), IMPORTRANGE(""17XjIPGwafStTRf_8bPPaoi2EFjHVy10_rRJ0uvy6YcU"",""AK:AK"")) - SUMPRODUCT((IMPORTR"&amp;"ANGE(""17XjIPGwafStTRf_8bPPaoi2EFjHVy10_rRJ0uvy6YcU"",""M:M"")=B20)*1, IMPORTRANGE(""17XjIPGwafStTRf_8bPPaoi2EFjHVy10_rRJ0uvy6YcU"",""X:X""), IMPORTRANGE(""17XjIPGwafStTRf_8bPPaoi2EFjHVy10_rRJ0uvy6YcU"",""AL:AL""))"),231452.0)</f>
        <v>231452</v>
      </c>
      <c r="D20" s="24">
        <f>IFERROR(__xludf.DUMMYFUNCTION("SUMPRODUCT((IMPORTRANGE(""17XjIPGwafStTRf_8bPPaoi2EFjHVy10_rRJ0uvy6YcU"",""M:M"")=B20)*1, IMPORTRANGE(""17XjIPGwafStTRf_8bPPaoi2EFjHVy10_rRJ0uvy6YcU"",""X:X""), IMPORTRANGE(""17XjIPGwafStTRf_8bPPaoi2EFjHVy10_rRJ0uvy6YcU"",""AA:AA"")) + SUMPRODUCT((IMPORTR"&amp;"ANGE(""17XjIPGwafStTRf_8bPPaoi2EFjHVy10_rRJ0uvy6YcU"",""M:M"")=B20)*1, IMPORTRANGE(""17XjIPGwafStTRf_8bPPaoi2EFjHVy10_rRJ0uvy6YcU"",""X:X""), IMPORTRANGE(""17XjIPGwafStTRf_8bPPaoi2EFjHVy10_rRJ0uvy6YcU"",""AE:AE"")) + SUMPRODUCT((IMPORTRANGE(""17XjIPGwafSt"&amp;"TRf_8bPPaoi2EFjHVy10_rRJ0uvy6YcU"",""M:M"")=B20)*1, IMPORTRANGE(""17XjIPGwafStTRf_8bPPaoi2EFjHVy10_rRJ0uvy6YcU"",""X:X""), IMPORTRANGE(""17XjIPGwafStTRf_8bPPaoi2EFjHVy10_rRJ0uvy6YcU"",""AF:AF""))"),148780.48741693358)</f>
        <v>148780.4874</v>
      </c>
      <c r="E20" s="24">
        <f>IFERROR(__xludf.DUMMYFUNCTION("SUMPRODUCT((IMPORTRANGE(""17XjIPGwafStTRf_8bPPaoi2EFjHVy10_rRJ0uvy6YcU"",""M:M"")=B20)*1, IMPORTRANGE(""17XjIPGwafStTRf_8bPPaoi2EFjHVy10_rRJ0uvy6YcU"",""X:X""), IMPORTRANGE(""17XjIPGwafStTRf_8bPPaoi2EFjHVy10_rRJ0uvy6YcU"",""AO:AO""))"),41646.98227924999)</f>
        <v>41646.98228</v>
      </c>
      <c r="F20" s="25">
        <f>IFERROR(__xludf.DUMMYFUNCTION("SUMPRODUCT((IMPORTRANGE(""17XjIPGwafStTRf_8bPPaoi2EFjHVy10_rRJ0uvy6YcU"",""M:M"")=B20)*1, IMPORTRANGE(""17XjIPGwafStTRf_8bPPaoi2EFjHVy10_rRJ0uvy6YcU"",""X:X""))"),31.0)</f>
        <v>31</v>
      </c>
      <c r="G20" s="26">
        <f>IFERROR(__xludf.DUMMYFUNCTION("COUNTIF(IMPORTRANGE(""17XjIPGwafStTRf_8bPPaoi2EFjHVy10_rRJ0uvy6YcU"",""M:M""), B20)"),21.0)</f>
        <v>21</v>
      </c>
      <c r="H20" s="27">
        <f t="shared" si="1"/>
        <v>1.476190476</v>
      </c>
      <c r="I20" s="28">
        <f t="shared" si="2"/>
        <v>0.1799378803</v>
      </c>
      <c r="J20" s="29">
        <f t="shared" si="3"/>
        <v>0.2799223406</v>
      </c>
      <c r="K20" s="32"/>
      <c r="L20" s="31" t="str">
        <f t="shared" si="4"/>
        <v/>
      </c>
      <c r="M20" s="31" t="str">
        <f t="shared" si="5"/>
        <v/>
      </c>
      <c r="N20" s="4"/>
    </row>
    <row r="21">
      <c r="A21" s="1"/>
      <c r="B21" s="23">
        <f t="shared" si="6"/>
        <v>44516</v>
      </c>
      <c r="C21" s="24">
        <f>IFERROR(__xludf.DUMMYFUNCTION("SUMPRODUCT((IMPORTRANGE(""17XjIPGwafStTRf_8bPPaoi2EFjHVy10_rRJ0uvy6YcU"",""M:M"")=B21)*1, IMPORTRANGE(""17XjIPGwafStTRf_8bPPaoi2EFjHVy10_rRJ0uvy6YcU"",""X:X""), IMPORTRANGE(""17XjIPGwafStTRf_8bPPaoi2EFjHVy10_rRJ0uvy6YcU"",""AK:AK"")) - SUMPRODUCT((IMPORTR"&amp;"ANGE(""17XjIPGwafStTRf_8bPPaoi2EFjHVy10_rRJ0uvy6YcU"",""M:M"")=B21)*1, IMPORTRANGE(""17XjIPGwafStTRf_8bPPaoi2EFjHVy10_rRJ0uvy6YcU"",""X:X""), IMPORTRANGE(""17XjIPGwafStTRf_8bPPaoi2EFjHVy10_rRJ0uvy6YcU"",""AL:AL""))"),0.0)</f>
        <v>0</v>
      </c>
      <c r="D21" s="24">
        <f>IFERROR(__xludf.DUMMYFUNCTION("SUMPRODUCT((IMPORTRANGE(""17XjIPGwafStTRf_8bPPaoi2EFjHVy10_rRJ0uvy6YcU"",""M:M"")=B21)*1, IMPORTRANGE(""17XjIPGwafStTRf_8bPPaoi2EFjHVy10_rRJ0uvy6YcU"",""X:X""), IMPORTRANGE(""17XjIPGwafStTRf_8bPPaoi2EFjHVy10_rRJ0uvy6YcU"",""AA:AA"")) + SUMPRODUCT((IMPORTR"&amp;"ANGE(""17XjIPGwafStTRf_8bPPaoi2EFjHVy10_rRJ0uvy6YcU"",""M:M"")=B21)*1, IMPORTRANGE(""17XjIPGwafStTRf_8bPPaoi2EFjHVy10_rRJ0uvy6YcU"",""X:X""), IMPORTRANGE(""17XjIPGwafStTRf_8bPPaoi2EFjHVy10_rRJ0uvy6YcU"",""AE:AE"")) + SUMPRODUCT((IMPORTRANGE(""17XjIPGwafSt"&amp;"TRf_8bPPaoi2EFjHVy10_rRJ0uvy6YcU"",""M:M"")=B21)*1, IMPORTRANGE(""17XjIPGwafStTRf_8bPPaoi2EFjHVy10_rRJ0uvy6YcU"",""X:X""), IMPORTRANGE(""17XjIPGwafStTRf_8bPPaoi2EFjHVy10_rRJ0uvy6YcU"",""AF:AF""))"),0.0)</f>
        <v>0</v>
      </c>
      <c r="E21" s="24">
        <f>IFERROR(__xludf.DUMMYFUNCTION("SUMPRODUCT((IMPORTRANGE(""17XjIPGwafStTRf_8bPPaoi2EFjHVy10_rRJ0uvy6YcU"",""M:M"")=B21)*1, IMPORTRANGE(""17XjIPGwafStTRf_8bPPaoi2EFjHVy10_rRJ0uvy6YcU"",""X:X""), IMPORTRANGE(""17XjIPGwafStTRf_8bPPaoi2EFjHVy10_rRJ0uvy6YcU"",""AO:AO""))"),0.0)</f>
        <v>0</v>
      </c>
      <c r="F21" s="25">
        <f>IFERROR(__xludf.DUMMYFUNCTION("SUMPRODUCT((IMPORTRANGE(""17XjIPGwafStTRf_8bPPaoi2EFjHVy10_rRJ0uvy6YcU"",""M:M"")=B21)*1, IMPORTRANGE(""17XjIPGwafStTRf_8bPPaoi2EFjHVy10_rRJ0uvy6YcU"",""X:X""))"),0.0)</f>
        <v>0</v>
      </c>
      <c r="G21" s="26">
        <f>IFERROR(__xludf.DUMMYFUNCTION("COUNTIF(IMPORTRANGE(""17XjIPGwafStTRf_8bPPaoi2EFjHVy10_rRJ0uvy6YcU"",""M:M""), B21)"),0.0)</f>
        <v>0</v>
      </c>
      <c r="H21" s="27" t="str">
        <f t="shared" si="1"/>
        <v/>
      </c>
      <c r="I21" s="28" t="str">
        <f t="shared" si="2"/>
        <v/>
      </c>
      <c r="J21" s="29" t="str">
        <f t="shared" si="3"/>
        <v/>
      </c>
      <c r="K21" s="32"/>
      <c r="L21" s="31" t="str">
        <f t="shared" si="4"/>
        <v/>
      </c>
      <c r="M21" s="31" t="str">
        <f t="shared" si="5"/>
        <v/>
      </c>
      <c r="N21" s="4"/>
    </row>
    <row r="22">
      <c r="A22" s="1"/>
      <c r="B22" s="23">
        <f t="shared" si="6"/>
        <v>44517</v>
      </c>
      <c r="C22" s="24">
        <f>IFERROR(__xludf.DUMMYFUNCTION("SUMPRODUCT((IMPORTRANGE(""17XjIPGwafStTRf_8bPPaoi2EFjHVy10_rRJ0uvy6YcU"",""M:M"")=B22)*1, IMPORTRANGE(""17XjIPGwafStTRf_8bPPaoi2EFjHVy10_rRJ0uvy6YcU"",""X:X""), IMPORTRANGE(""17XjIPGwafStTRf_8bPPaoi2EFjHVy10_rRJ0uvy6YcU"",""AK:AK"")) - SUMPRODUCT((IMPORTR"&amp;"ANGE(""17XjIPGwafStTRf_8bPPaoi2EFjHVy10_rRJ0uvy6YcU"",""M:M"")=B22)*1, IMPORTRANGE(""17XjIPGwafStTRf_8bPPaoi2EFjHVy10_rRJ0uvy6YcU"",""X:X""), IMPORTRANGE(""17XjIPGwafStTRf_8bPPaoi2EFjHVy10_rRJ0uvy6YcU"",""AL:AL""))"),820214.0)</f>
        <v>820214</v>
      </c>
      <c r="D22" s="24">
        <f>IFERROR(__xludf.DUMMYFUNCTION("SUMPRODUCT((IMPORTRANGE(""17XjIPGwafStTRf_8bPPaoi2EFjHVy10_rRJ0uvy6YcU"",""M:M"")=B22)*1, IMPORTRANGE(""17XjIPGwafStTRf_8bPPaoi2EFjHVy10_rRJ0uvy6YcU"",""X:X""), IMPORTRANGE(""17XjIPGwafStTRf_8bPPaoi2EFjHVy10_rRJ0uvy6YcU"",""AA:AA"")) + SUMPRODUCT((IMPORTR"&amp;"ANGE(""17XjIPGwafStTRf_8bPPaoi2EFjHVy10_rRJ0uvy6YcU"",""M:M"")=B22)*1, IMPORTRANGE(""17XjIPGwafStTRf_8bPPaoi2EFjHVy10_rRJ0uvy6YcU"",""X:X""), IMPORTRANGE(""17XjIPGwafStTRf_8bPPaoi2EFjHVy10_rRJ0uvy6YcU"",""AE:AE"")) + SUMPRODUCT((IMPORTRANGE(""17XjIPGwafSt"&amp;"TRf_8bPPaoi2EFjHVy10_rRJ0uvy6YcU"",""M:M"")=B22)*1, IMPORTRANGE(""17XjIPGwafStTRf_8bPPaoi2EFjHVy10_rRJ0uvy6YcU"",""X:X""), IMPORTRANGE(""17XjIPGwafStTRf_8bPPaoi2EFjHVy10_rRJ0uvy6YcU"",""AF:AF""))"),597533.747368005)</f>
        <v>597533.7474</v>
      </c>
      <c r="E22" s="24">
        <f>IFERROR(__xludf.DUMMYFUNCTION("SUMPRODUCT((IMPORTRANGE(""17XjIPGwafStTRf_8bPPaoi2EFjHVy10_rRJ0uvy6YcU"",""M:M"")=B22)*1, IMPORTRANGE(""17XjIPGwafStTRf_8bPPaoi2EFjHVy10_rRJ0uvy6YcU"",""X:X""), IMPORTRANGE(""17XjIPGwafStTRf_8bPPaoi2EFjHVy10_rRJ0uvy6YcU"",""AO:AO""))"),111622.63431055413)</f>
        <v>111622.6343</v>
      </c>
      <c r="F22" s="25">
        <f>IFERROR(__xludf.DUMMYFUNCTION("SUMPRODUCT((IMPORTRANGE(""17XjIPGwafStTRf_8bPPaoi2EFjHVy10_rRJ0uvy6YcU"",""M:M"")=B22)*1, IMPORTRANGE(""17XjIPGwafStTRf_8bPPaoi2EFjHVy10_rRJ0uvy6YcU"",""X:X""))"),107.0)</f>
        <v>107</v>
      </c>
      <c r="G22" s="26">
        <f>IFERROR(__xludf.DUMMYFUNCTION("COUNTIF(IMPORTRANGE(""17XjIPGwafStTRf_8bPPaoi2EFjHVy10_rRJ0uvy6YcU"",""M:M""), B22)"),39.0)</f>
        <v>39</v>
      </c>
      <c r="H22" s="27">
        <f t="shared" si="1"/>
        <v>2.743589744</v>
      </c>
      <c r="I22" s="28">
        <f t="shared" si="2"/>
        <v>0.1360896477</v>
      </c>
      <c r="J22" s="29">
        <f t="shared" si="3"/>
        <v>0.1868055734</v>
      </c>
      <c r="K22" s="32"/>
      <c r="L22" s="31" t="str">
        <f t="shared" si="4"/>
        <v/>
      </c>
      <c r="M22" s="31" t="str">
        <f t="shared" si="5"/>
        <v/>
      </c>
      <c r="N22" s="4"/>
    </row>
    <row r="23">
      <c r="A23" s="1"/>
      <c r="B23" s="23">
        <f t="shared" si="6"/>
        <v>44518</v>
      </c>
      <c r="C23" s="24">
        <f>IFERROR(__xludf.DUMMYFUNCTION("SUMPRODUCT((IMPORTRANGE(""17XjIPGwafStTRf_8bPPaoi2EFjHVy10_rRJ0uvy6YcU"",""M:M"")=B23)*1, IMPORTRANGE(""17XjIPGwafStTRf_8bPPaoi2EFjHVy10_rRJ0uvy6YcU"",""X:X""), IMPORTRANGE(""17XjIPGwafStTRf_8bPPaoi2EFjHVy10_rRJ0uvy6YcU"",""AK:AK"")) - SUMPRODUCT((IMPORTR"&amp;"ANGE(""17XjIPGwafStTRf_8bPPaoi2EFjHVy10_rRJ0uvy6YcU"",""M:M"")=B23)*1, IMPORTRANGE(""17XjIPGwafStTRf_8bPPaoi2EFjHVy10_rRJ0uvy6YcU"",""X:X""), IMPORTRANGE(""17XjIPGwafStTRf_8bPPaoi2EFjHVy10_rRJ0uvy6YcU"",""AL:AL""))"),313774.0)</f>
        <v>313774</v>
      </c>
      <c r="D23" s="24">
        <f>IFERROR(__xludf.DUMMYFUNCTION("SUMPRODUCT((IMPORTRANGE(""17XjIPGwafStTRf_8bPPaoi2EFjHVy10_rRJ0uvy6YcU"",""M:M"")=B23)*1, IMPORTRANGE(""17XjIPGwafStTRf_8bPPaoi2EFjHVy10_rRJ0uvy6YcU"",""X:X""), IMPORTRANGE(""17XjIPGwafStTRf_8bPPaoi2EFjHVy10_rRJ0uvy6YcU"",""AA:AA"")) + SUMPRODUCT((IMPORTR"&amp;"ANGE(""17XjIPGwafStTRf_8bPPaoi2EFjHVy10_rRJ0uvy6YcU"",""M:M"")=B23)*1, IMPORTRANGE(""17XjIPGwafStTRf_8bPPaoi2EFjHVy10_rRJ0uvy6YcU"",""X:X""), IMPORTRANGE(""17XjIPGwafStTRf_8bPPaoi2EFjHVy10_rRJ0uvy6YcU"",""AE:AE"")) + SUMPRODUCT((IMPORTRANGE(""17XjIPGwafSt"&amp;"TRf_8bPPaoi2EFjHVy10_rRJ0uvy6YcU"",""M:M"")=B23)*1, IMPORTRANGE(""17XjIPGwafStTRf_8bPPaoi2EFjHVy10_rRJ0uvy6YcU"",""X:X""), IMPORTRANGE(""17XjIPGwafStTRf_8bPPaoi2EFjHVy10_rRJ0uvy6YcU"",""AF:AF""))"),231010.34612753455)</f>
        <v>231010.3461</v>
      </c>
      <c r="E23" s="24">
        <f>IFERROR(__xludf.DUMMYFUNCTION("SUMPRODUCT((IMPORTRANGE(""17XjIPGwafStTRf_8bPPaoi2EFjHVy10_rRJ0uvy6YcU"",""M:M"")=B23)*1, IMPORTRANGE(""17XjIPGwafStTRf_8bPPaoi2EFjHVy10_rRJ0uvy6YcU"",""X:X""), IMPORTRANGE(""17XjIPGwafStTRf_8bPPaoi2EFjHVy10_rRJ0uvy6YcU"",""AO:AO""))"),37013.39758663437)</f>
        <v>37013.39759</v>
      </c>
      <c r="F23" s="25">
        <f>IFERROR(__xludf.DUMMYFUNCTION("SUMPRODUCT((IMPORTRANGE(""17XjIPGwafStTRf_8bPPaoi2EFjHVy10_rRJ0uvy6YcU"",""M:M"")=B23)*1, IMPORTRANGE(""17XjIPGwafStTRf_8bPPaoi2EFjHVy10_rRJ0uvy6YcU"",""X:X""))"),41.0)</f>
        <v>41</v>
      </c>
      <c r="G23" s="26">
        <f>IFERROR(__xludf.DUMMYFUNCTION("COUNTIF(IMPORTRANGE(""17XjIPGwafStTRf_8bPPaoi2EFjHVy10_rRJ0uvy6YcU"",""M:M""), B23)"),15.0)</f>
        <v>15</v>
      </c>
      <c r="H23" s="27">
        <f t="shared" si="1"/>
        <v>2.733333333</v>
      </c>
      <c r="I23" s="28">
        <f t="shared" si="2"/>
        <v>0.1179619649</v>
      </c>
      <c r="J23" s="29">
        <f t="shared" si="3"/>
        <v>0.1602239822</v>
      </c>
      <c r="K23" s="32"/>
      <c r="L23" s="31" t="str">
        <f t="shared" si="4"/>
        <v/>
      </c>
      <c r="M23" s="31" t="str">
        <f t="shared" si="5"/>
        <v/>
      </c>
      <c r="N23" s="4"/>
    </row>
    <row r="24">
      <c r="A24" s="1"/>
      <c r="B24" s="23">
        <f t="shared" si="6"/>
        <v>44519</v>
      </c>
      <c r="C24" s="24">
        <f>IFERROR(__xludf.DUMMYFUNCTION("SUMPRODUCT((IMPORTRANGE(""17XjIPGwafStTRf_8bPPaoi2EFjHVy10_rRJ0uvy6YcU"",""M:M"")=B24)*1, IMPORTRANGE(""17XjIPGwafStTRf_8bPPaoi2EFjHVy10_rRJ0uvy6YcU"",""X:X""), IMPORTRANGE(""17XjIPGwafStTRf_8bPPaoi2EFjHVy10_rRJ0uvy6YcU"",""AK:AK"")) - SUMPRODUCT((IMPORTR"&amp;"ANGE(""17XjIPGwafStTRf_8bPPaoi2EFjHVy10_rRJ0uvy6YcU"",""M:M"")=B24)*1, IMPORTRANGE(""17XjIPGwafStTRf_8bPPaoi2EFjHVy10_rRJ0uvy6YcU"",""X:X""), IMPORTRANGE(""17XjIPGwafStTRf_8bPPaoi2EFjHVy10_rRJ0uvy6YcU"",""AL:AL""))"),433766.0)</f>
        <v>433766</v>
      </c>
      <c r="D24" s="24">
        <f>IFERROR(__xludf.DUMMYFUNCTION("SUMPRODUCT((IMPORTRANGE(""17XjIPGwafStTRf_8bPPaoi2EFjHVy10_rRJ0uvy6YcU"",""M:M"")=B24)*1, IMPORTRANGE(""17XjIPGwafStTRf_8bPPaoi2EFjHVy10_rRJ0uvy6YcU"",""X:X""), IMPORTRANGE(""17XjIPGwafStTRf_8bPPaoi2EFjHVy10_rRJ0uvy6YcU"",""AA:AA"")) + SUMPRODUCT((IMPORTR"&amp;"ANGE(""17XjIPGwafStTRf_8bPPaoi2EFjHVy10_rRJ0uvy6YcU"",""M:M"")=B24)*1, IMPORTRANGE(""17XjIPGwafStTRf_8bPPaoi2EFjHVy10_rRJ0uvy6YcU"",""X:X""), IMPORTRANGE(""17XjIPGwafStTRf_8bPPaoi2EFjHVy10_rRJ0uvy6YcU"",""AE:AE"")) + SUMPRODUCT((IMPORTRANGE(""17XjIPGwafSt"&amp;"TRf_8bPPaoi2EFjHVy10_rRJ0uvy6YcU"",""M:M"")=B24)*1, IMPORTRANGE(""17XjIPGwafStTRf_8bPPaoi2EFjHVy10_rRJ0uvy6YcU"",""X:X""), IMPORTRANGE(""17XjIPGwafStTRf_8bPPaoi2EFjHVy10_rRJ0uvy6YcU"",""AF:AF""))"),310498.6142984321)</f>
        <v>310498.6143</v>
      </c>
      <c r="E24" s="24">
        <f>IFERROR(__xludf.DUMMYFUNCTION("SUMPRODUCT((IMPORTRANGE(""17XjIPGwafStTRf_8bPPaoi2EFjHVy10_rRJ0uvy6YcU"",""M:M"")=B24)*1, IMPORTRANGE(""17XjIPGwafStTRf_8bPPaoi2EFjHVy10_rRJ0uvy6YcU"",""X:X""), IMPORTRANGE(""17XjIPGwafStTRf_8bPPaoi2EFjHVy10_rRJ0uvy6YcU"",""AO:AO""))"),54178.6610566327)</f>
        <v>54178.66106</v>
      </c>
      <c r="F24" s="25">
        <f>IFERROR(__xludf.DUMMYFUNCTION("SUMPRODUCT((IMPORTRANGE(""17XjIPGwafStTRf_8bPPaoi2EFjHVy10_rRJ0uvy6YcU"",""M:M"")=B24)*1, IMPORTRANGE(""17XjIPGwafStTRf_8bPPaoi2EFjHVy10_rRJ0uvy6YcU"",""X:X""))"),52.0)</f>
        <v>52</v>
      </c>
      <c r="G24" s="26">
        <f>IFERROR(__xludf.DUMMYFUNCTION("COUNTIF(IMPORTRANGE(""17XjIPGwafStTRf_8bPPaoi2EFjHVy10_rRJ0uvy6YcU"",""M:M""), B24)"),17.0)</f>
        <v>17</v>
      </c>
      <c r="H24" s="27">
        <f t="shared" si="1"/>
        <v>3.058823529</v>
      </c>
      <c r="I24" s="28">
        <f t="shared" si="2"/>
        <v>0.1249029686</v>
      </c>
      <c r="J24" s="29">
        <f t="shared" si="3"/>
        <v>0.1744892201</v>
      </c>
      <c r="K24" s="30"/>
      <c r="L24" s="31" t="str">
        <f t="shared" si="4"/>
        <v/>
      </c>
      <c r="M24" s="31" t="str">
        <f t="shared" si="5"/>
        <v/>
      </c>
      <c r="N24" s="4"/>
    </row>
    <row r="25">
      <c r="A25" s="1"/>
      <c r="B25" s="23">
        <f t="shared" si="6"/>
        <v>44520</v>
      </c>
      <c r="C25" s="24">
        <f>IFERROR(__xludf.DUMMYFUNCTION("SUMPRODUCT((IMPORTRANGE(""17XjIPGwafStTRf_8bPPaoi2EFjHVy10_rRJ0uvy6YcU"",""M:M"")=B25)*1, IMPORTRANGE(""17XjIPGwafStTRf_8bPPaoi2EFjHVy10_rRJ0uvy6YcU"",""X:X""), IMPORTRANGE(""17XjIPGwafStTRf_8bPPaoi2EFjHVy10_rRJ0uvy6YcU"",""AK:AK"")) - SUMPRODUCT((IMPORTR"&amp;"ANGE(""17XjIPGwafStTRf_8bPPaoi2EFjHVy10_rRJ0uvy6YcU"",""M:M"")=B25)*1, IMPORTRANGE(""17XjIPGwafStTRf_8bPPaoi2EFjHVy10_rRJ0uvy6YcU"",""X:X""), IMPORTRANGE(""17XjIPGwafStTRf_8bPPaoi2EFjHVy10_rRJ0uvy6YcU"",""AL:AL""))"),0.0)</f>
        <v>0</v>
      </c>
      <c r="D25" s="24">
        <f>IFERROR(__xludf.DUMMYFUNCTION("SUMPRODUCT((IMPORTRANGE(""17XjIPGwafStTRf_8bPPaoi2EFjHVy10_rRJ0uvy6YcU"",""M:M"")=B25)*1, IMPORTRANGE(""17XjIPGwafStTRf_8bPPaoi2EFjHVy10_rRJ0uvy6YcU"",""X:X""), IMPORTRANGE(""17XjIPGwafStTRf_8bPPaoi2EFjHVy10_rRJ0uvy6YcU"",""AA:AA"")) + SUMPRODUCT((IMPORTR"&amp;"ANGE(""17XjIPGwafStTRf_8bPPaoi2EFjHVy10_rRJ0uvy6YcU"",""M:M"")=B25)*1, IMPORTRANGE(""17XjIPGwafStTRf_8bPPaoi2EFjHVy10_rRJ0uvy6YcU"",""X:X""), IMPORTRANGE(""17XjIPGwafStTRf_8bPPaoi2EFjHVy10_rRJ0uvy6YcU"",""AE:AE"")) + SUMPRODUCT((IMPORTRANGE(""17XjIPGwafSt"&amp;"TRf_8bPPaoi2EFjHVy10_rRJ0uvy6YcU"",""M:M"")=B25)*1, IMPORTRANGE(""17XjIPGwafStTRf_8bPPaoi2EFjHVy10_rRJ0uvy6YcU"",""X:X""), IMPORTRANGE(""17XjIPGwafStTRf_8bPPaoi2EFjHVy10_rRJ0uvy6YcU"",""AF:AF""))"),0.0)</f>
        <v>0</v>
      </c>
      <c r="E25" s="24">
        <f>IFERROR(__xludf.DUMMYFUNCTION("SUMPRODUCT((IMPORTRANGE(""17XjIPGwafStTRf_8bPPaoi2EFjHVy10_rRJ0uvy6YcU"",""M:M"")=B25)*1, IMPORTRANGE(""17XjIPGwafStTRf_8bPPaoi2EFjHVy10_rRJ0uvy6YcU"",""X:X""), IMPORTRANGE(""17XjIPGwafStTRf_8bPPaoi2EFjHVy10_rRJ0uvy6YcU"",""AO:AO""))"),0.0)</f>
        <v>0</v>
      </c>
      <c r="F25" s="25">
        <f>IFERROR(__xludf.DUMMYFUNCTION("SUMPRODUCT((IMPORTRANGE(""17XjIPGwafStTRf_8bPPaoi2EFjHVy10_rRJ0uvy6YcU"",""M:M"")=B25)*1, IMPORTRANGE(""17XjIPGwafStTRf_8bPPaoi2EFjHVy10_rRJ0uvy6YcU"",""X:X""))"),0.0)</f>
        <v>0</v>
      </c>
      <c r="G25" s="26">
        <f>IFERROR(__xludf.DUMMYFUNCTION("COUNTIF(IMPORTRANGE(""17XjIPGwafStTRf_8bPPaoi2EFjHVy10_rRJ0uvy6YcU"",""M:M""), B25)"),0.0)</f>
        <v>0</v>
      </c>
      <c r="H25" s="27" t="str">
        <f t="shared" si="1"/>
        <v/>
      </c>
      <c r="I25" s="28" t="str">
        <f t="shared" si="2"/>
        <v/>
      </c>
      <c r="J25" s="29" t="str">
        <f t="shared" si="3"/>
        <v/>
      </c>
      <c r="K25" s="32"/>
      <c r="L25" s="31" t="str">
        <f t="shared" si="4"/>
        <v/>
      </c>
      <c r="M25" s="31" t="str">
        <f t="shared" si="5"/>
        <v/>
      </c>
      <c r="N25" s="4"/>
    </row>
    <row r="26">
      <c r="A26" s="1"/>
      <c r="B26" s="23">
        <f t="shared" si="6"/>
        <v>44521</v>
      </c>
      <c r="C26" s="24">
        <f>IFERROR(__xludf.DUMMYFUNCTION("SUMPRODUCT((IMPORTRANGE(""17XjIPGwafStTRf_8bPPaoi2EFjHVy10_rRJ0uvy6YcU"",""M:M"")=B26)*1, IMPORTRANGE(""17XjIPGwafStTRf_8bPPaoi2EFjHVy10_rRJ0uvy6YcU"",""X:X""), IMPORTRANGE(""17XjIPGwafStTRf_8bPPaoi2EFjHVy10_rRJ0uvy6YcU"",""AK:AK"")) - SUMPRODUCT((IMPORTR"&amp;"ANGE(""17XjIPGwafStTRf_8bPPaoi2EFjHVy10_rRJ0uvy6YcU"",""M:M"")=B26)*1, IMPORTRANGE(""17XjIPGwafStTRf_8bPPaoi2EFjHVy10_rRJ0uvy6YcU"",""X:X""), IMPORTRANGE(""17XjIPGwafStTRf_8bPPaoi2EFjHVy10_rRJ0uvy6YcU"",""AL:AL""))"),397805.0)</f>
        <v>397805</v>
      </c>
      <c r="D26" s="24">
        <f>IFERROR(__xludf.DUMMYFUNCTION("SUMPRODUCT((IMPORTRANGE(""17XjIPGwafStTRf_8bPPaoi2EFjHVy10_rRJ0uvy6YcU"",""M:M"")=B26)*1, IMPORTRANGE(""17XjIPGwafStTRf_8bPPaoi2EFjHVy10_rRJ0uvy6YcU"",""X:X""), IMPORTRANGE(""17XjIPGwafStTRf_8bPPaoi2EFjHVy10_rRJ0uvy6YcU"",""AA:AA"")) + SUMPRODUCT((IMPORTR"&amp;"ANGE(""17XjIPGwafStTRf_8bPPaoi2EFjHVy10_rRJ0uvy6YcU"",""M:M"")=B26)*1, IMPORTRANGE(""17XjIPGwafStTRf_8bPPaoi2EFjHVy10_rRJ0uvy6YcU"",""X:X""), IMPORTRANGE(""17XjIPGwafStTRf_8bPPaoi2EFjHVy10_rRJ0uvy6YcU"",""AE:AE"")) + SUMPRODUCT((IMPORTRANGE(""17XjIPGwafSt"&amp;"TRf_8bPPaoi2EFjHVy10_rRJ0uvy6YcU"",""M:M"")=B26)*1, IMPORTRANGE(""17XjIPGwafStTRf_8bPPaoi2EFjHVy10_rRJ0uvy6YcU"",""X:X""), IMPORTRANGE(""17XjIPGwafStTRf_8bPPaoi2EFjHVy10_rRJ0uvy6YcU"",""AF:AF""))"),256541.75245795105)</f>
        <v>256541.7525</v>
      </c>
      <c r="E26" s="24">
        <f>IFERROR(__xludf.DUMMYFUNCTION("SUMPRODUCT((IMPORTRANGE(""17XjIPGwafStTRf_8bPPaoi2EFjHVy10_rRJ0uvy6YcU"",""M:M"")=B26)*1, IMPORTRANGE(""17XjIPGwafStTRf_8bPPaoi2EFjHVy10_rRJ0uvy6YcU"",""X:X""), IMPORTRANGE(""17XjIPGwafStTRf_8bPPaoi2EFjHVy10_rRJ0uvy6YcU"",""AO:AO""))"),79577.38713583793)</f>
        <v>79577.38714</v>
      </c>
      <c r="F26" s="25">
        <f>IFERROR(__xludf.DUMMYFUNCTION("SUMPRODUCT((IMPORTRANGE(""17XjIPGwafStTRf_8bPPaoi2EFjHVy10_rRJ0uvy6YcU"",""M:M"")=B26)*1, IMPORTRANGE(""17XjIPGwafStTRf_8bPPaoi2EFjHVy10_rRJ0uvy6YcU"",""X:X""))"),45.0)</f>
        <v>45</v>
      </c>
      <c r="G26" s="26">
        <f>IFERROR(__xludf.DUMMYFUNCTION("COUNTIF(IMPORTRANGE(""17XjIPGwafStTRf_8bPPaoi2EFjHVy10_rRJ0uvy6YcU"",""M:M""), B26)"),20.0)</f>
        <v>20</v>
      </c>
      <c r="H26" s="27">
        <f t="shared" si="1"/>
        <v>2.25</v>
      </c>
      <c r="I26" s="28">
        <f t="shared" si="2"/>
        <v>0.2000411939</v>
      </c>
      <c r="J26" s="29">
        <f t="shared" si="3"/>
        <v>0.3101927323</v>
      </c>
      <c r="K26" s="30"/>
      <c r="L26" s="31" t="str">
        <f t="shared" si="4"/>
        <v/>
      </c>
      <c r="M26" s="31" t="str">
        <f t="shared" si="5"/>
        <v/>
      </c>
      <c r="N26" s="4"/>
    </row>
    <row r="27">
      <c r="A27" s="1"/>
      <c r="B27" s="23">
        <f t="shared" si="6"/>
        <v>44522</v>
      </c>
      <c r="C27" s="24">
        <f>IFERROR(__xludf.DUMMYFUNCTION("SUMPRODUCT((IMPORTRANGE(""17XjIPGwafStTRf_8bPPaoi2EFjHVy10_rRJ0uvy6YcU"",""M:M"")=B27)*1, IMPORTRANGE(""17XjIPGwafStTRf_8bPPaoi2EFjHVy10_rRJ0uvy6YcU"",""X:X""), IMPORTRANGE(""17XjIPGwafStTRf_8bPPaoi2EFjHVy10_rRJ0uvy6YcU"",""AK:AK"")) - SUMPRODUCT((IMPORTR"&amp;"ANGE(""17XjIPGwafStTRf_8bPPaoi2EFjHVy10_rRJ0uvy6YcU"",""M:M"")=B27)*1, IMPORTRANGE(""17XjIPGwafStTRf_8bPPaoi2EFjHVy10_rRJ0uvy6YcU"",""X:X""), IMPORTRANGE(""17XjIPGwafStTRf_8bPPaoi2EFjHVy10_rRJ0uvy6YcU"",""AL:AL""))"),587823.0)</f>
        <v>587823</v>
      </c>
      <c r="D27" s="24">
        <f>IFERROR(__xludf.DUMMYFUNCTION("SUMPRODUCT((IMPORTRANGE(""17XjIPGwafStTRf_8bPPaoi2EFjHVy10_rRJ0uvy6YcU"",""M:M"")=B27)*1, IMPORTRANGE(""17XjIPGwafStTRf_8bPPaoi2EFjHVy10_rRJ0uvy6YcU"",""X:X""), IMPORTRANGE(""17XjIPGwafStTRf_8bPPaoi2EFjHVy10_rRJ0uvy6YcU"",""AA:AA"")) + SUMPRODUCT((IMPORTR"&amp;"ANGE(""17XjIPGwafStTRf_8bPPaoi2EFjHVy10_rRJ0uvy6YcU"",""M:M"")=B27)*1, IMPORTRANGE(""17XjIPGwafStTRf_8bPPaoi2EFjHVy10_rRJ0uvy6YcU"",""X:X""), IMPORTRANGE(""17XjIPGwafStTRf_8bPPaoi2EFjHVy10_rRJ0uvy6YcU"",""AE:AE"")) + SUMPRODUCT((IMPORTRANGE(""17XjIPGwafSt"&amp;"TRf_8bPPaoi2EFjHVy10_rRJ0uvy6YcU"",""M:M"")=B27)*1, IMPORTRANGE(""17XjIPGwafStTRf_8bPPaoi2EFjHVy10_rRJ0uvy6YcU"",""X:X""), IMPORTRANGE(""17XjIPGwafStTRf_8bPPaoi2EFjHVy10_rRJ0uvy6YcU"",""AF:AF""))"),321159.16379259323)</f>
        <v>321159.1638</v>
      </c>
      <c r="E27" s="24">
        <f>IFERROR(__xludf.DUMMYFUNCTION("SUMPRODUCT((IMPORTRANGE(""17XjIPGwafStTRf_8bPPaoi2EFjHVy10_rRJ0uvy6YcU"",""M:M"")=B27)*1, IMPORTRANGE(""17XjIPGwafStTRf_8bPPaoi2EFjHVy10_rRJ0uvy6YcU"",""X:X""), IMPORTRANGE(""17XjIPGwafStTRf_8bPPaoi2EFjHVy10_rRJ0uvy6YcU"",""AO:AO""))"),168792.65197031453)</f>
        <v>168792.652</v>
      </c>
      <c r="F27" s="25">
        <f>IFERROR(__xludf.DUMMYFUNCTION("SUMPRODUCT((IMPORTRANGE(""17XjIPGwafStTRf_8bPPaoi2EFjHVy10_rRJ0uvy6YcU"",""M:M"")=B27)*1, IMPORTRANGE(""17XjIPGwafStTRf_8bPPaoi2EFjHVy10_rRJ0uvy6YcU"",""X:X""))"),68.0)</f>
        <v>68</v>
      </c>
      <c r="G27" s="26">
        <f>IFERROR(__xludf.DUMMYFUNCTION("COUNTIF(IMPORTRANGE(""17XjIPGwafStTRf_8bPPaoi2EFjHVy10_rRJ0uvy6YcU"",""M:M""), B27)"),36.0)</f>
        <v>36</v>
      </c>
      <c r="H27" s="27">
        <f t="shared" si="1"/>
        <v>1.888888889</v>
      </c>
      <c r="I27" s="28">
        <f t="shared" si="2"/>
        <v>0.2871487709</v>
      </c>
      <c r="J27" s="29">
        <f t="shared" si="3"/>
        <v>0.5255732079</v>
      </c>
      <c r="K27" s="32"/>
      <c r="L27" s="31" t="str">
        <f t="shared" si="4"/>
        <v/>
      </c>
      <c r="M27" s="31" t="str">
        <f t="shared" si="5"/>
        <v/>
      </c>
      <c r="N27" s="4"/>
    </row>
    <row r="28">
      <c r="A28" s="1"/>
      <c r="B28" s="23">
        <f t="shared" si="6"/>
        <v>44523</v>
      </c>
      <c r="C28" s="24">
        <f>IFERROR(__xludf.DUMMYFUNCTION("SUMPRODUCT((IMPORTRANGE(""17XjIPGwafStTRf_8bPPaoi2EFjHVy10_rRJ0uvy6YcU"",""M:M"")=B28)*1, IMPORTRANGE(""17XjIPGwafStTRf_8bPPaoi2EFjHVy10_rRJ0uvy6YcU"",""X:X""), IMPORTRANGE(""17XjIPGwafStTRf_8bPPaoi2EFjHVy10_rRJ0uvy6YcU"",""AK:AK"")) - SUMPRODUCT((IMPORTR"&amp;"ANGE(""17XjIPGwafStTRf_8bPPaoi2EFjHVy10_rRJ0uvy6YcU"",""M:M"")=B28)*1, IMPORTRANGE(""17XjIPGwafStTRf_8bPPaoi2EFjHVy10_rRJ0uvy6YcU"",""X:X""), IMPORTRANGE(""17XjIPGwafStTRf_8bPPaoi2EFjHVy10_rRJ0uvy6YcU"",""AL:AL""))"),424353.0)</f>
        <v>424353</v>
      </c>
      <c r="D28" s="24">
        <f>IFERROR(__xludf.DUMMYFUNCTION("SUMPRODUCT((IMPORTRANGE(""17XjIPGwafStTRf_8bPPaoi2EFjHVy10_rRJ0uvy6YcU"",""M:M"")=B28)*1, IMPORTRANGE(""17XjIPGwafStTRf_8bPPaoi2EFjHVy10_rRJ0uvy6YcU"",""X:X""), IMPORTRANGE(""17XjIPGwafStTRf_8bPPaoi2EFjHVy10_rRJ0uvy6YcU"",""AA:AA"")) + SUMPRODUCT((IMPORTR"&amp;"ANGE(""17XjIPGwafStTRf_8bPPaoi2EFjHVy10_rRJ0uvy6YcU"",""M:M"")=B28)*1, IMPORTRANGE(""17XjIPGwafStTRf_8bPPaoi2EFjHVy10_rRJ0uvy6YcU"",""X:X""), IMPORTRANGE(""17XjIPGwafStTRf_8bPPaoi2EFjHVy10_rRJ0uvy6YcU"",""AE:AE"")) + SUMPRODUCT((IMPORTRANGE(""17XjIPGwafSt"&amp;"TRf_8bPPaoi2EFjHVy10_rRJ0uvy6YcU"",""M:M"")=B28)*1, IMPORTRANGE(""17XjIPGwafStTRf_8bPPaoi2EFjHVy10_rRJ0uvy6YcU"",""X:X""), IMPORTRANGE(""17XjIPGwafStTRf_8bPPaoi2EFjHVy10_rRJ0uvy6YcU"",""AF:AF""))"),249978.6319147907)</f>
        <v>249978.6319</v>
      </c>
      <c r="E28" s="24">
        <f>IFERROR(__xludf.DUMMYFUNCTION("SUMPRODUCT((IMPORTRANGE(""17XjIPGwafStTRf_8bPPaoi2EFjHVy10_rRJ0uvy6YcU"",""M:M"")=B28)*1, IMPORTRANGE(""17XjIPGwafStTRf_8bPPaoi2EFjHVy10_rRJ0uvy6YcU"",""X:X""), IMPORTRANGE(""17XjIPGwafStTRf_8bPPaoi2EFjHVy10_rRJ0uvy6YcU"",""AO:AO""))"),112855.19771983655)</f>
        <v>112855.1977</v>
      </c>
      <c r="F28" s="25">
        <f>IFERROR(__xludf.DUMMYFUNCTION("SUMPRODUCT((IMPORTRANGE(""17XjIPGwafStTRf_8bPPaoi2EFjHVy10_rRJ0uvy6YcU"",""M:M"")=B28)*1, IMPORTRANGE(""17XjIPGwafStTRf_8bPPaoi2EFjHVy10_rRJ0uvy6YcU"",""X:X""))"),50.0)</f>
        <v>50</v>
      </c>
      <c r="G28" s="26">
        <f>IFERROR(__xludf.DUMMYFUNCTION("COUNTIF(IMPORTRANGE(""17XjIPGwafStTRf_8bPPaoi2EFjHVy10_rRJ0uvy6YcU"",""M:M""), B28)"),16.0)</f>
        <v>16</v>
      </c>
      <c r="H28" s="27">
        <f t="shared" si="1"/>
        <v>3.125</v>
      </c>
      <c r="I28" s="28">
        <f t="shared" si="2"/>
        <v>0.2659465061</v>
      </c>
      <c r="J28" s="29">
        <f t="shared" si="3"/>
        <v>0.4514593782</v>
      </c>
      <c r="K28" s="32"/>
      <c r="L28" s="31" t="str">
        <f t="shared" si="4"/>
        <v/>
      </c>
      <c r="M28" s="31" t="str">
        <f t="shared" si="5"/>
        <v/>
      </c>
      <c r="N28" s="4"/>
    </row>
    <row r="29">
      <c r="A29" s="1"/>
      <c r="B29" s="23">
        <f t="shared" si="6"/>
        <v>44524</v>
      </c>
      <c r="C29" s="24">
        <f>IFERROR(__xludf.DUMMYFUNCTION("SUMPRODUCT((IMPORTRANGE(""17XjIPGwafStTRf_8bPPaoi2EFjHVy10_rRJ0uvy6YcU"",""M:M"")=B29)*1, IMPORTRANGE(""17XjIPGwafStTRf_8bPPaoi2EFjHVy10_rRJ0uvy6YcU"",""X:X""), IMPORTRANGE(""17XjIPGwafStTRf_8bPPaoi2EFjHVy10_rRJ0uvy6YcU"",""AK:AK"")) - SUMPRODUCT((IMPORTR"&amp;"ANGE(""17XjIPGwafStTRf_8bPPaoi2EFjHVy10_rRJ0uvy6YcU"",""M:M"")=B29)*1, IMPORTRANGE(""17XjIPGwafStTRf_8bPPaoi2EFjHVy10_rRJ0uvy6YcU"",""X:X""), IMPORTRANGE(""17XjIPGwafStTRf_8bPPaoi2EFjHVy10_rRJ0uvy6YcU"",""AL:AL""))"),1336379.0)</f>
        <v>1336379</v>
      </c>
      <c r="D29" s="24">
        <f>IFERROR(__xludf.DUMMYFUNCTION("SUMPRODUCT((IMPORTRANGE(""17XjIPGwafStTRf_8bPPaoi2EFjHVy10_rRJ0uvy6YcU"",""M:M"")=B29)*1, IMPORTRANGE(""17XjIPGwafStTRf_8bPPaoi2EFjHVy10_rRJ0uvy6YcU"",""X:X""), IMPORTRANGE(""17XjIPGwafStTRf_8bPPaoi2EFjHVy10_rRJ0uvy6YcU"",""AA:AA"")) + SUMPRODUCT((IMPORTR"&amp;"ANGE(""17XjIPGwafStTRf_8bPPaoi2EFjHVy10_rRJ0uvy6YcU"",""M:M"")=B29)*1, IMPORTRANGE(""17XjIPGwafStTRf_8bPPaoi2EFjHVy10_rRJ0uvy6YcU"",""X:X""), IMPORTRANGE(""17XjIPGwafStTRf_8bPPaoi2EFjHVy10_rRJ0uvy6YcU"",""AE:AE"")) + SUMPRODUCT((IMPORTRANGE(""17XjIPGwafSt"&amp;"TRf_8bPPaoi2EFjHVy10_rRJ0uvy6YcU"",""M:M"")=B29)*1, IMPORTRANGE(""17XjIPGwafStTRf_8bPPaoi2EFjHVy10_rRJ0uvy6YcU"",""X:X""), IMPORTRANGE(""17XjIPGwafStTRf_8bPPaoi2EFjHVy10_rRJ0uvy6YcU"",""AF:AF""))"),645688.6761602586)</f>
        <v>645688.6762</v>
      </c>
      <c r="E29" s="24">
        <f>IFERROR(__xludf.DUMMYFUNCTION("SUMPRODUCT((IMPORTRANGE(""17XjIPGwafStTRf_8bPPaoi2EFjHVy10_rRJ0uvy6YcU"",""M:M"")=B29)*1, IMPORTRANGE(""17XjIPGwafStTRf_8bPPaoi2EFjHVy10_rRJ0uvy6YcU"",""X:X""), IMPORTRANGE(""17XjIPGwafStTRf_8bPPaoi2EFjHVy10_rRJ0uvy6YcU"",""AO:AO""))"),505180.3492357265)</f>
        <v>505180.3492</v>
      </c>
      <c r="F29" s="25">
        <f>IFERROR(__xludf.DUMMYFUNCTION("SUMPRODUCT((IMPORTRANGE(""17XjIPGwafStTRf_8bPPaoi2EFjHVy10_rRJ0uvy6YcU"",""M:M"")=B29)*1, IMPORTRANGE(""17XjIPGwafStTRf_8bPPaoi2EFjHVy10_rRJ0uvy6YcU"",""X:X""))"),229.0)</f>
        <v>229</v>
      </c>
      <c r="G29" s="26">
        <f>IFERROR(__xludf.DUMMYFUNCTION("COUNTIF(IMPORTRANGE(""17XjIPGwafStTRf_8bPPaoi2EFjHVy10_rRJ0uvy6YcU"",""M:M""), B29)"),31.0)</f>
        <v>31</v>
      </c>
      <c r="H29" s="27">
        <f t="shared" si="1"/>
        <v>7.387096774</v>
      </c>
      <c r="I29" s="28">
        <f t="shared" si="2"/>
        <v>0.3780217657</v>
      </c>
      <c r="J29" s="29">
        <f t="shared" si="3"/>
        <v>0.7823899782</v>
      </c>
      <c r="K29" s="32"/>
      <c r="L29" s="31" t="str">
        <f t="shared" si="4"/>
        <v/>
      </c>
      <c r="M29" s="31" t="str">
        <f t="shared" si="5"/>
        <v/>
      </c>
      <c r="N29" s="4"/>
    </row>
    <row r="30">
      <c r="A30" s="1"/>
      <c r="B30" s="23">
        <f t="shared" si="6"/>
        <v>44525</v>
      </c>
      <c r="C30" s="24">
        <f>IFERROR(__xludf.DUMMYFUNCTION("SUMPRODUCT((IMPORTRANGE(""17XjIPGwafStTRf_8bPPaoi2EFjHVy10_rRJ0uvy6YcU"",""M:M"")=B30)*1, IMPORTRANGE(""17XjIPGwafStTRf_8bPPaoi2EFjHVy10_rRJ0uvy6YcU"",""X:X""), IMPORTRANGE(""17XjIPGwafStTRf_8bPPaoi2EFjHVy10_rRJ0uvy6YcU"",""AK:AK"")) - SUMPRODUCT((IMPORTR"&amp;"ANGE(""17XjIPGwafStTRf_8bPPaoi2EFjHVy10_rRJ0uvy6YcU"",""M:M"")=B30)*1, IMPORTRANGE(""17XjIPGwafStTRf_8bPPaoi2EFjHVy10_rRJ0uvy6YcU"",""X:X""), IMPORTRANGE(""17XjIPGwafStTRf_8bPPaoi2EFjHVy10_rRJ0uvy6YcU"",""AL:AL""))"),735318.0)</f>
        <v>735318</v>
      </c>
      <c r="D30" s="24">
        <f>IFERROR(__xludf.DUMMYFUNCTION("SUMPRODUCT((IMPORTRANGE(""17XjIPGwafStTRf_8bPPaoi2EFjHVy10_rRJ0uvy6YcU"",""M:M"")=B30)*1, IMPORTRANGE(""17XjIPGwafStTRf_8bPPaoi2EFjHVy10_rRJ0uvy6YcU"",""X:X""), IMPORTRANGE(""17XjIPGwafStTRf_8bPPaoi2EFjHVy10_rRJ0uvy6YcU"",""AA:AA"")) + SUMPRODUCT((IMPORTR"&amp;"ANGE(""17XjIPGwafStTRf_8bPPaoi2EFjHVy10_rRJ0uvy6YcU"",""M:M"")=B30)*1, IMPORTRANGE(""17XjIPGwafStTRf_8bPPaoi2EFjHVy10_rRJ0uvy6YcU"",""X:X""), IMPORTRANGE(""17XjIPGwafStTRf_8bPPaoi2EFjHVy10_rRJ0uvy6YcU"",""AE:AE"")) + SUMPRODUCT((IMPORTRANGE(""17XjIPGwafSt"&amp;"TRf_8bPPaoi2EFjHVy10_rRJ0uvy6YcU"",""M:M"")=B30)*1, IMPORTRANGE(""17XjIPGwafStTRf_8bPPaoi2EFjHVy10_rRJ0uvy6YcU"",""X:X""), IMPORTRANGE(""17XjIPGwafStTRf_8bPPaoi2EFjHVy10_rRJ0uvy6YcU"",""AF:AF""))"),451724.8085786636)</f>
        <v>451724.8086</v>
      </c>
      <c r="E30" s="24">
        <f>IFERROR(__xludf.DUMMYFUNCTION("SUMPRODUCT((IMPORTRANGE(""17XjIPGwafStTRf_8bPPaoi2EFjHVy10_rRJ0uvy6YcU"",""M:M"")=B30)*1, IMPORTRANGE(""17XjIPGwafStTRf_8bPPaoi2EFjHVy10_rRJ0uvy6YcU"",""X:X""), IMPORTRANGE(""17XjIPGwafStTRf_8bPPaoi2EFjHVy10_rRJ0uvy6YcU"",""AO:AO""))"),269475.3435936068)</f>
        <v>269475.3436</v>
      </c>
      <c r="F30" s="25">
        <f>IFERROR(__xludf.DUMMYFUNCTION("SUMPRODUCT((IMPORTRANGE(""17XjIPGwafStTRf_8bPPaoi2EFjHVy10_rRJ0uvy6YcU"",""M:M"")=B30)*1, IMPORTRANGE(""17XjIPGwafStTRf_8bPPaoi2EFjHVy10_rRJ0uvy6YcU"",""X:X""))"),56.0)</f>
        <v>56</v>
      </c>
      <c r="G30" s="26">
        <f>IFERROR(__xludf.DUMMYFUNCTION("COUNTIF(IMPORTRANGE(""17XjIPGwafStTRf_8bPPaoi2EFjHVy10_rRJ0uvy6YcU"",""M:M""), B30)"),17.0)</f>
        <v>17</v>
      </c>
      <c r="H30" s="27">
        <f t="shared" si="1"/>
        <v>3.294117647</v>
      </c>
      <c r="I30" s="28">
        <f t="shared" si="2"/>
        <v>0.3664745642</v>
      </c>
      <c r="J30" s="29">
        <f t="shared" si="3"/>
        <v>0.5965475849</v>
      </c>
      <c r="K30" s="30"/>
      <c r="L30" s="31" t="str">
        <f t="shared" si="4"/>
        <v/>
      </c>
      <c r="M30" s="31" t="str">
        <f t="shared" si="5"/>
        <v/>
      </c>
      <c r="N30" s="4"/>
    </row>
    <row r="31">
      <c r="A31" s="1"/>
      <c r="B31" s="23">
        <f t="shared" si="6"/>
        <v>44526</v>
      </c>
      <c r="C31" s="24">
        <f>IFERROR(__xludf.DUMMYFUNCTION("SUMPRODUCT((IMPORTRANGE(""17XjIPGwafStTRf_8bPPaoi2EFjHVy10_rRJ0uvy6YcU"",""M:M"")=B31)*1, IMPORTRANGE(""17XjIPGwafStTRf_8bPPaoi2EFjHVy10_rRJ0uvy6YcU"",""X:X""), IMPORTRANGE(""17XjIPGwafStTRf_8bPPaoi2EFjHVy10_rRJ0uvy6YcU"",""AK:AK"")) - SUMPRODUCT((IMPORTR"&amp;"ANGE(""17XjIPGwafStTRf_8bPPaoi2EFjHVy10_rRJ0uvy6YcU"",""M:M"")=B31)*1, IMPORTRANGE(""17XjIPGwafStTRf_8bPPaoi2EFjHVy10_rRJ0uvy6YcU"",""X:X""), IMPORTRANGE(""17XjIPGwafStTRf_8bPPaoi2EFjHVy10_rRJ0uvy6YcU"",""AL:AL""))"),765609.0)</f>
        <v>765609</v>
      </c>
      <c r="D31" s="24">
        <f>IFERROR(__xludf.DUMMYFUNCTION("SUMPRODUCT((IMPORTRANGE(""17XjIPGwafStTRf_8bPPaoi2EFjHVy10_rRJ0uvy6YcU"",""M:M"")=B31)*1, IMPORTRANGE(""17XjIPGwafStTRf_8bPPaoi2EFjHVy10_rRJ0uvy6YcU"",""X:X""), IMPORTRANGE(""17XjIPGwafStTRf_8bPPaoi2EFjHVy10_rRJ0uvy6YcU"",""AA:AA"")) + SUMPRODUCT((IMPORTR"&amp;"ANGE(""17XjIPGwafStTRf_8bPPaoi2EFjHVy10_rRJ0uvy6YcU"",""M:M"")=B31)*1, IMPORTRANGE(""17XjIPGwafStTRf_8bPPaoi2EFjHVy10_rRJ0uvy6YcU"",""X:X""), IMPORTRANGE(""17XjIPGwafStTRf_8bPPaoi2EFjHVy10_rRJ0uvy6YcU"",""AE:AE"")) + SUMPRODUCT((IMPORTRANGE(""17XjIPGwafSt"&amp;"TRf_8bPPaoi2EFjHVy10_rRJ0uvy6YcU"",""M:M"")=B31)*1, IMPORTRANGE(""17XjIPGwafStTRf_8bPPaoi2EFjHVy10_rRJ0uvy6YcU"",""X:X""), IMPORTRANGE(""17XjIPGwafStTRf_8bPPaoi2EFjHVy10_rRJ0uvy6YcU"",""AF:AF""))"),516216.15148507274)</f>
        <v>516216.1515</v>
      </c>
      <c r="E31" s="24">
        <f>IFERROR(__xludf.DUMMYFUNCTION("SUMPRODUCT((IMPORTRANGE(""17XjIPGwafStTRf_8bPPaoi2EFjHVy10_rRJ0uvy6YcU"",""M:M"")=B31)*1, IMPORTRANGE(""17XjIPGwafStTRf_8bPPaoi2EFjHVy10_rRJ0uvy6YcU"",""X:X""), IMPORTRANGE(""17XjIPGwafStTRf_8bPPaoi2EFjHVy10_rRJ0uvy6YcU"",""AO:AO""))"),134983.9488182638)</f>
        <v>134983.9488</v>
      </c>
      <c r="F31" s="25">
        <f>IFERROR(__xludf.DUMMYFUNCTION("SUMPRODUCT((IMPORTRANGE(""17XjIPGwafStTRf_8bPPaoi2EFjHVy10_rRJ0uvy6YcU"",""M:M"")=B31)*1, IMPORTRANGE(""17XjIPGwafStTRf_8bPPaoi2EFjHVy10_rRJ0uvy6YcU"",""X:X""))"),170.0)</f>
        <v>170</v>
      </c>
      <c r="G31" s="26">
        <f>IFERROR(__xludf.DUMMYFUNCTION("COUNTIF(IMPORTRANGE(""17XjIPGwafStTRf_8bPPaoi2EFjHVy10_rRJ0uvy6YcU"",""M:M""), B31)"),34.0)</f>
        <v>34</v>
      </c>
      <c r="H31" s="27">
        <f t="shared" si="1"/>
        <v>5</v>
      </c>
      <c r="I31" s="28">
        <f t="shared" si="2"/>
        <v>0.1763092503</v>
      </c>
      <c r="J31" s="29">
        <f t="shared" si="3"/>
        <v>0.2614872635</v>
      </c>
      <c r="K31" s="30"/>
      <c r="L31" s="31" t="str">
        <f t="shared" si="4"/>
        <v/>
      </c>
      <c r="M31" s="31" t="str">
        <f t="shared" si="5"/>
        <v/>
      </c>
      <c r="N31" s="4"/>
    </row>
    <row r="32">
      <c r="A32" s="1"/>
      <c r="B32" s="23">
        <f t="shared" si="6"/>
        <v>44527</v>
      </c>
      <c r="C32" s="24">
        <f>IFERROR(__xludf.DUMMYFUNCTION("SUMPRODUCT((IMPORTRANGE(""17XjIPGwafStTRf_8bPPaoi2EFjHVy10_rRJ0uvy6YcU"",""M:M"")=B32)*1, IMPORTRANGE(""17XjIPGwafStTRf_8bPPaoi2EFjHVy10_rRJ0uvy6YcU"",""X:X""), IMPORTRANGE(""17XjIPGwafStTRf_8bPPaoi2EFjHVy10_rRJ0uvy6YcU"",""AK:AK"")) - SUMPRODUCT((IMPORTR"&amp;"ANGE(""17XjIPGwafStTRf_8bPPaoi2EFjHVy10_rRJ0uvy6YcU"",""M:M"")=B32)*1, IMPORTRANGE(""17XjIPGwafStTRf_8bPPaoi2EFjHVy10_rRJ0uvy6YcU"",""X:X""), IMPORTRANGE(""17XjIPGwafStTRf_8bPPaoi2EFjHVy10_rRJ0uvy6YcU"",""AL:AL""))"),1211797.0)</f>
        <v>1211797</v>
      </c>
      <c r="D32" s="24">
        <f>IFERROR(__xludf.DUMMYFUNCTION("SUMPRODUCT((IMPORTRANGE(""17XjIPGwafStTRf_8bPPaoi2EFjHVy10_rRJ0uvy6YcU"",""M:M"")=B32)*1, IMPORTRANGE(""17XjIPGwafStTRf_8bPPaoi2EFjHVy10_rRJ0uvy6YcU"",""X:X""), IMPORTRANGE(""17XjIPGwafStTRf_8bPPaoi2EFjHVy10_rRJ0uvy6YcU"",""AA:AA"")) + SUMPRODUCT((IMPORTR"&amp;"ANGE(""17XjIPGwafStTRf_8bPPaoi2EFjHVy10_rRJ0uvy6YcU"",""M:M"")=B32)*1, IMPORTRANGE(""17XjIPGwafStTRf_8bPPaoi2EFjHVy10_rRJ0uvy6YcU"",""X:X""), IMPORTRANGE(""17XjIPGwafStTRf_8bPPaoi2EFjHVy10_rRJ0uvy6YcU"",""AE:AE"")) + SUMPRODUCT((IMPORTRANGE(""17XjIPGwafSt"&amp;"TRf_8bPPaoi2EFjHVy10_rRJ0uvy6YcU"",""M:M"")=B32)*1, IMPORTRANGE(""17XjIPGwafStTRf_8bPPaoi2EFjHVy10_rRJ0uvy6YcU"",""X:X""), IMPORTRANGE(""17XjIPGwafStTRf_8bPPaoi2EFjHVy10_rRJ0uvy6YcU"",""AF:AF""))"),733543.2727206587)</f>
        <v>733543.2727</v>
      </c>
      <c r="E32" s="24">
        <f>IFERROR(__xludf.DUMMYFUNCTION("SUMPRODUCT((IMPORTRANGE(""17XjIPGwafStTRf_8bPPaoi2EFjHVy10_rRJ0uvy6YcU"",""M:M"")=B32)*1, IMPORTRANGE(""17XjIPGwafStTRf_8bPPaoi2EFjHVy10_rRJ0uvy6YcU"",""X:X""), IMPORTRANGE(""17XjIPGwafStTRf_8bPPaoi2EFjHVy10_rRJ0uvy6YcU"",""AO:AO""))"),357638.43548841367)</f>
        <v>357638.4355</v>
      </c>
      <c r="F32" s="25">
        <f>IFERROR(__xludf.DUMMYFUNCTION("SUMPRODUCT((IMPORTRANGE(""17XjIPGwafStTRf_8bPPaoi2EFjHVy10_rRJ0uvy6YcU"",""M:M"")=B32)*1, IMPORTRANGE(""17XjIPGwafStTRf_8bPPaoi2EFjHVy10_rRJ0uvy6YcU"",""X:X""))"),170.0)</f>
        <v>170</v>
      </c>
      <c r="G32" s="26">
        <f>IFERROR(__xludf.DUMMYFUNCTION("COUNTIF(IMPORTRANGE(""17XjIPGwafStTRf_8bPPaoi2EFjHVy10_rRJ0uvy6YcU"",""M:M""), B32)"),38.0)</f>
        <v>38</v>
      </c>
      <c r="H32" s="27">
        <f t="shared" si="1"/>
        <v>4.473684211</v>
      </c>
      <c r="I32" s="28">
        <f t="shared" si="2"/>
        <v>0.2951306493</v>
      </c>
      <c r="J32" s="29">
        <f t="shared" si="3"/>
        <v>0.4875491996</v>
      </c>
      <c r="K32" s="32"/>
      <c r="L32" s="31" t="str">
        <f t="shared" si="4"/>
        <v/>
      </c>
      <c r="M32" s="31" t="str">
        <f t="shared" si="5"/>
        <v/>
      </c>
      <c r="N32" s="4"/>
    </row>
    <row r="33">
      <c r="A33" s="1"/>
      <c r="B33" s="23">
        <f t="shared" si="6"/>
        <v>44528</v>
      </c>
      <c r="C33" s="24">
        <f>IFERROR(__xludf.DUMMYFUNCTION("SUMPRODUCT((IMPORTRANGE(""17XjIPGwafStTRf_8bPPaoi2EFjHVy10_rRJ0uvy6YcU"",""M:M"")=B33)*1, IMPORTRANGE(""17XjIPGwafStTRf_8bPPaoi2EFjHVy10_rRJ0uvy6YcU"",""X:X""), IMPORTRANGE(""17XjIPGwafStTRf_8bPPaoi2EFjHVy10_rRJ0uvy6YcU"",""AK:AK"")) - SUMPRODUCT((IMPORTR"&amp;"ANGE(""17XjIPGwafStTRf_8bPPaoi2EFjHVy10_rRJ0uvy6YcU"",""M:M"")=B33)*1, IMPORTRANGE(""17XjIPGwafStTRf_8bPPaoi2EFjHVy10_rRJ0uvy6YcU"",""X:X""), IMPORTRANGE(""17XjIPGwafStTRf_8bPPaoi2EFjHVy10_rRJ0uvy6YcU"",""AL:AL""))"),226687.0)</f>
        <v>226687</v>
      </c>
      <c r="D33" s="24">
        <f>IFERROR(__xludf.DUMMYFUNCTION("SUMPRODUCT((IMPORTRANGE(""17XjIPGwafStTRf_8bPPaoi2EFjHVy10_rRJ0uvy6YcU"",""M:M"")=B33)*1, IMPORTRANGE(""17XjIPGwafStTRf_8bPPaoi2EFjHVy10_rRJ0uvy6YcU"",""X:X""), IMPORTRANGE(""17XjIPGwafStTRf_8bPPaoi2EFjHVy10_rRJ0uvy6YcU"",""AA:AA"")) + SUMPRODUCT((IMPORTR"&amp;"ANGE(""17XjIPGwafStTRf_8bPPaoi2EFjHVy10_rRJ0uvy6YcU"",""M:M"")=B33)*1, IMPORTRANGE(""17XjIPGwafStTRf_8bPPaoi2EFjHVy10_rRJ0uvy6YcU"",""X:X""), IMPORTRANGE(""17XjIPGwafStTRf_8bPPaoi2EFjHVy10_rRJ0uvy6YcU"",""AE:AE"")) + SUMPRODUCT((IMPORTRANGE(""17XjIPGwafSt"&amp;"TRf_8bPPaoi2EFjHVy10_rRJ0uvy6YcU"",""M:M"")=B33)*1, IMPORTRANGE(""17XjIPGwafStTRf_8bPPaoi2EFjHVy10_rRJ0uvy6YcU"",""X:X""), IMPORTRANGE(""17XjIPGwafStTRf_8bPPaoi2EFjHVy10_rRJ0uvy6YcU"",""AF:AF""))"),140471.45807197248)</f>
        <v>140471.4581</v>
      </c>
      <c r="E33" s="24">
        <f>IFERROR(__xludf.DUMMYFUNCTION("SUMPRODUCT((IMPORTRANGE(""17XjIPGwafStTRf_8bPPaoi2EFjHVy10_rRJ0uvy6YcU"",""M:M"")=B33)*1, IMPORTRANGE(""17XjIPGwafStTRf_8bPPaoi2EFjHVy10_rRJ0uvy6YcU"",""X:X""), IMPORTRANGE(""17XjIPGwafStTRf_8bPPaoi2EFjHVy10_rRJ0uvy6YcU"",""AO:AO""))"),45207.88733851907)</f>
        <v>45207.88734</v>
      </c>
      <c r="F33" s="25">
        <f>IFERROR(__xludf.DUMMYFUNCTION("SUMPRODUCT((IMPORTRANGE(""17XjIPGwafStTRf_8bPPaoi2EFjHVy10_rRJ0uvy6YcU"",""M:M"")=B33)*1, IMPORTRANGE(""17XjIPGwafStTRf_8bPPaoi2EFjHVy10_rRJ0uvy6YcU"",""X:X""))"),35.0)</f>
        <v>35</v>
      </c>
      <c r="G33" s="26">
        <f>IFERROR(__xludf.DUMMYFUNCTION("COUNTIF(IMPORTRANGE(""17XjIPGwafStTRf_8bPPaoi2EFjHVy10_rRJ0uvy6YcU"",""M:M""), B33)"),18.0)</f>
        <v>18</v>
      </c>
      <c r="H33" s="27">
        <f t="shared" si="1"/>
        <v>1.944444444</v>
      </c>
      <c r="I33" s="28">
        <f t="shared" si="2"/>
        <v>0.1994286719</v>
      </c>
      <c r="J33" s="29">
        <f t="shared" si="3"/>
        <v>0.3218297009</v>
      </c>
      <c r="K33" s="30"/>
      <c r="L33" s="31" t="str">
        <f t="shared" si="4"/>
        <v/>
      </c>
      <c r="M33" s="31" t="str">
        <f t="shared" si="5"/>
        <v/>
      </c>
      <c r="N33" s="4"/>
    </row>
    <row r="34">
      <c r="A34" s="1"/>
      <c r="B34" s="23">
        <f t="shared" ref="B34:B36" si="7">IFERROR(IF(MONTH(B33)=MONTH(B33+1),B33+1,"--"),"--")</f>
        <v>44529</v>
      </c>
      <c r="C34" s="24">
        <f>IFERROR(__xludf.DUMMYFUNCTION("SUMPRODUCT((IMPORTRANGE(""17XjIPGwafStTRf_8bPPaoi2EFjHVy10_rRJ0uvy6YcU"",""M:M"")=B34)*1, IMPORTRANGE(""17XjIPGwafStTRf_8bPPaoi2EFjHVy10_rRJ0uvy6YcU"",""X:X""), IMPORTRANGE(""17XjIPGwafStTRf_8bPPaoi2EFjHVy10_rRJ0uvy6YcU"",""AK:AK"")) - SUMPRODUCT((IMPORTR"&amp;"ANGE(""17XjIPGwafStTRf_8bPPaoi2EFjHVy10_rRJ0uvy6YcU"",""M:M"")=B34)*1, IMPORTRANGE(""17XjIPGwafStTRf_8bPPaoi2EFjHVy10_rRJ0uvy6YcU"",""X:X""), IMPORTRANGE(""17XjIPGwafStTRf_8bPPaoi2EFjHVy10_rRJ0uvy6YcU"",""AL:AL""))"),0.0)</f>
        <v>0</v>
      </c>
      <c r="D34" s="24">
        <f>IFERROR(__xludf.DUMMYFUNCTION("SUMPRODUCT((IMPORTRANGE(""17XjIPGwafStTRf_8bPPaoi2EFjHVy10_rRJ0uvy6YcU"",""M:M"")=B34)*1, IMPORTRANGE(""17XjIPGwafStTRf_8bPPaoi2EFjHVy10_rRJ0uvy6YcU"",""X:X""), IMPORTRANGE(""17XjIPGwafStTRf_8bPPaoi2EFjHVy10_rRJ0uvy6YcU"",""AA:AA"")) + SUMPRODUCT((IMPORTR"&amp;"ANGE(""17XjIPGwafStTRf_8bPPaoi2EFjHVy10_rRJ0uvy6YcU"",""M:M"")=B34)*1, IMPORTRANGE(""17XjIPGwafStTRf_8bPPaoi2EFjHVy10_rRJ0uvy6YcU"",""X:X""), IMPORTRANGE(""17XjIPGwafStTRf_8bPPaoi2EFjHVy10_rRJ0uvy6YcU"",""AE:AE"")) + SUMPRODUCT((IMPORTRANGE(""17XjIPGwafSt"&amp;"TRf_8bPPaoi2EFjHVy10_rRJ0uvy6YcU"",""M:M"")=B34)*1, IMPORTRANGE(""17XjIPGwafStTRf_8bPPaoi2EFjHVy10_rRJ0uvy6YcU"",""X:X""), IMPORTRANGE(""17XjIPGwafStTRf_8bPPaoi2EFjHVy10_rRJ0uvy6YcU"",""AF:AF""))"),0.0)</f>
        <v>0</v>
      </c>
      <c r="E34" s="24">
        <f>IFERROR(__xludf.DUMMYFUNCTION("SUMPRODUCT((IMPORTRANGE(""17XjIPGwafStTRf_8bPPaoi2EFjHVy10_rRJ0uvy6YcU"",""M:M"")=B34)*1, IMPORTRANGE(""17XjIPGwafStTRf_8bPPaoi2EFjHVy10_rRJ0uvy6YcU"",""X:X""), IMPORTRANGE(""17XjIPGwafStTRf_8bPPaoi2EFjHVy10_rRJ0uvy6YcU"",""AO:AO""))"),0.0)</f>
        <v>0</v>
      </c>
      <c r="F34" s="25">
        <f>IFERROR(__xludf.DUMMYFUNCTION("SUMPRODUCT((IMPORTRANGE(""17XjIPGwafStTRf_8bPPaoi2EFjHVy10_rRJ0uvy6YcU"",""M:M"")=B34)*1, IMPORTRANGE(""17XjIPGwafStTRf_8bPPaoi2EFjHVy10_rRJ0uvy6YcU"",""X:X""))"),0.0)</f>
        <v>0</v>
      </c>
      <c r="G34" s="26">
        <f>IFERROR(__xludf.DUMMYFUNCTION("COUNTIF(IMPORTRANGE(""17XjIPGwafStTRf_8bPPaoi2EFjHVy10_rRJ0uvy6YcU"",""M:M""), B34)"),0.0)</f>
        <v>0</v>
      </c>
      <c r="H34" s="27" t="str">
        <f t="shared" si="1"/>
        <v/>
      </c>
      <c r="I34" s="28" t="str">
        <f t="shared" si="2"/>
        <v/>
      </c>
      <c r="J34" s="29" t="str">
        <f t="shared" si="3"/>
        <v/>
      </c>
      <c r="K34" s="30"/>
      <c r="L34" s="31" t="str">
        <f t="shared" si="4"/>
        <v/>
      </c>
      <c r="M34" s="31" t="str">
        <f t="shared" si="5"/>
        <v/>
      </c>
      <c r="N34" s="4"/>
    </row>
    <row r="35">
      <c r="A35" s="1"/>
      <c r="B35" s="23">
        <f t="shared" si="7"/>
        <v>44530</v>
      </c>
      <c r="C35" s="24">
        <f>IFERROR(__xludf.DUMMYFUNCTION("SUMPRODUCT((IMPORTRANGE(""17XjIPGwafStTRf_8bPPaoi2EFjHVy10_rRJ0uvy6YcU"",""M:M"")=B35)*1, IMPORTRANGE(""17XjIPGwafStTRf_8bPPaoi2EFjHVy10_rRJ0uvy6YcU"",""X:X""), IMPORTRANGE(""17XjIPGwafStTRf_8bPPaoi2EFjHVy10_rRJ0uvy6YcU"",""AK:AK"")) - SUMPRODUCT((IMPORTR"&amp;"ANGE(""17XjIPGwafStTRf_8bPPaoi2EFjHVy10_rRJ0uvy6YcU"",""M:M"")=B35)*1, IMPORTRANGE(""17XjIPGwafStTRf_8bPPaoi2EFjHVy10_rRJ0uvy6YcU"",""X:X""), IMPORTRANGE(""17XjIPGwafStTRf_8bPPaoi2EFjHVy10_rRJ0uvy6YcU"",""AL:AL""))"),272391.0)</f>
        <v>272391</v>
      </c>
      <c r="D35" s="24">
        <f>IFERROR(__xludf.DUMMYFUNCTION("SUMPRODUCT((IMPORTRANGE(""17XjIPGwafStTRf_8bPPaoi2EFjHVy10_rRJ0uvy6YcU"",""M:M"")=B35)*1, IMPORTRANGE(""17XjIPGwafStTRf_8bPPaoi2EFjHVy10_rRJ0uvy6YcU"",""X:X""), IMPORTRANGE(""17XjIPGwafStTRf_8bPPaoi2EFjHVy10_rRJ0uvy6YcU"",""AA:AA"")) + SUMPRODUCT((IMPORTR"&amp;"ANGE(""17XjIPGwafStTRf_8bPPaoi2EFjHVy10_rRJ0uvy6YcU"",""M:M"")=B35)*1, IMPORTRANGE(""17XjIPGwafStTRf_8bPPaoi2EFjHVy10_rRJ0uvy6YcU"",""X:X""), IMPORTRANGE(""17XjIPGwafStTRf_8bPPaoi2EFjHVy10_rRJ0uvy6YcU"",""AE:AE"")) + SUMPRODUCT((IMPORTRANGE(""17XjIPGwafSt"&amp;"TRf_8bPPaoi2EFjHVy10_rRJ0uvy6YcU"",""M:M"")=B35)*1, IMPORTRANGE(""17XjIPGwafStTRf_8bPPaoi2EFjHVy10_rRJ0uvy6YcU"",""X:X""), IMPORTRANGE(""17XjIPGwafStTRf_8bPPaoi2EFjHVy10_rRJ0uvy6YcU"",""AF:AF""))"),168001.75425094104)</f>
        <v>168001.7543</v>
      </c>
      <c r="E35" s="24">
        <f>IFERROR(__xludf.DUMMYFUNCTION("SUMPRODUCT((IMPORTRANGE(""17XjIPGwafStTRf_8bPPaoi2EFjHVy10_rRJ0uvy6YcU"",""M:M"")=B35)*1, IMPORTRANGE(""17XjIPGwafStTRf_8bPPaoi2EFjHVy10_rRJ0uvy6YcU"",""X:X""), IMPORTRANGE(""17XjIPGwafStTRf_8bPPaoi2EFjHVy10_rRJ0uvy6YcU"",""AO:AO""))"),54946.67835667898)</f>
        <v>54946.67836</v>
      </c>
      <c r="F35" s="25">
        <f>IFERROR(__xludf.DUMMYFUNCTION("SUMPRODUCT((IMPORTRANGE(""17XjIPGwafStTRf_8bPPaoi2EFjHVy10_rRJ0uvy6YcU"",""M:M"")=B35)*1, IMPORTRANGE(""17XjIPGwafStTRf_8bPPaoi2EFjHVy10_rRJ0uvy6YcU"",""X:X""))"),46.0)</f>
        <v>46</v>
      </c>
      <c r="G35" s="26">
        <f>IFERROR(__xludf.DUMMYFUNCTION("COUNTIF(IMPORTRANGE(""17XjIPGwafStTRf_8bPPaoi2EFjHVy10_rRJ0uvy6YcU"",""M:M""), B35)"),21.0)</f>
        <v>21</v>
      </c>
      <c r="H35" s="27">
        <f t="shared" si="1"/>
        <v>2.19047619</v>
      </c>
      <c r="I35" s="28">
        <f t="shared" si="2"/>
        <v>0.2017198746</v>
      </c>
      <c r="J35" s="29">
        <f t="shared" si="3"/>
        <v>0.3270601465</v>
      </c>
      <c r="K35" s="32"/>
      <c r="L35" s="31" t="str">
        <f t="shared" si="4"/>
        <v/>
      </c>
      <c r="M35" s="31" t="str">
        <f t="shared" si="5"/>
        <v/>
      </c>
      <c r="N35" s="4"/>
    </row>
    <row r="36">
      <c r="A36" s="1"/>
      <c r="B36" s="23" t="str">
        <f t="shared" si="7"/>
        <v>--</v>
      </c>
      <c r="C36" s="24">
        <f>IFERROR(__xludf.DUMMYFUNCTION("SUMPRODUCT((IMPORTRANGE(""17XjIPGwafStTRf_8bPPaoi2EFjHVy10_rRJ0uvy6YcU"",""M:M"")=B36)*1, IMPORTRANGE(""17XjIPGwafStTRf_8bPPaoi2EFjHVy10_rRJ0uvy6YcU"",""X:X""), IMPORTRANGE(""17XjIPGwafStTRf_8bPPaoi2EFjHVy10_rRJ0uvy6YcU"",""AK:AK"")) - SUMPRODUCT((IMPORTR"&amp;"ANGE(""17XjIPGwafStTRf_8bPPaoi2EFjHVy10_rRJ0uvy6YcU"",""M:M"")=B36)*1, IMPORTRANGE(""17XjIPGwafStTRf_8bPPaoi2EFjHVy10_rRJ0uvy6YcU"",""X:X""), IMPORTRANGE(""17XjIPGwafStTRf_8bPPaoi2EFjHVy10_rRJ0uvy6YcU"",""AL:AL""))"),0.0)</f>
        <v>0</v>
      </c>
      <c r="D36" s="24">
        <f>IFERROR(__xludf.DUMMYFUNCTION("SUMPRODUCT((IMPORTRANGE(""17XjIPGwafStTRf_8bPPaoi2EFjHVy10_rRJ0uvy6YcU"",""M:M"")=B36)*1, IMPORTRANGE(""17XjIPGwafStTRf_8bPPaoi2EFjHVy10_rRJ0uvy6YcU"",""X:X""), IMPORTRANGE(""17XjIPGwafStTRf_8bPPaoi2EFjHVy10_rRJ0uvy6YcU"",""AA:AA"")) + SUMPRODUCT((IMPORTR"&amp;"ANGE(""17XjIPGwafStTRf_8bPPaoi2EFjHVy10_rRJ0uvy6YcU"",""M:M"")=B36)*1, IMPORTRANGE(""17XjIPGwafStTRf_8bPPaoi2EFjHVy10_rRJ0uvy6YcU"",""X:X""), IMPORTRANGE(""17XjIPGwafStTRf_8bPPaoi2EFjHVy10_rRJ0uvy6YcU"",""AE:AE"")) + SUMPRODUCT((IMPORTRANGE(""17XjIPGwafSt"&amp;"TRf_8bPPaoi2EFjHVy10_rRJ0uvy6YcU"",""M:M"")=B36)*1, IMPORTRANGE(""17XjIPGwafStTRf_8bPPaoi2EFjHVy10_rRJ0uvy6YcU"",""X:X""), IMPORTRANGE(""17XjIPGwafStTRf_8bPPaoi2EFjHVy10_rRJ0uvy6YcU"",""AF:AF""))"),0.0)</f>
        <v>0</v>
      </c>
      <c r="E36" s="24">
        <f>IFERROR(__xludf.DUMMYFUNCTION("SUMPRODUCT((IMPORTRANGE(""17XjIPGwafStTRf_8bPPaoi2EFjHVy10_rRJ0uvy6YcU"",""M:M"")=B36)*1, IMPORTRANGE(""17XjIPGwafStTRf_8bPPaoi2EFjHVy10_rRJ0uvy6YcU"",""X:X""), IMPORTRANGE(""17XjIPGwafStTRf_8bPPaoi2EFjHVy10_rRJ0uvy6YcU"",""AO:AO""))"),0.0)</f>
        <v>0</v>
      </c>
      <c r="F36" s="25">
        <f>IFERROR(__xludf.DUMMYFUNCTION("SUMPRODUCT((IMPORTRANGE(""17XjIPGwafStTRf_8bPPaoi2EFjHVy10_rRJ0uvy6YcU"",""M:M"")=B36)*1, IMPORTRANGE(""17XjIPGwafStTRf_8bPPaoi2EFjHVy10_rRJ0uvy6YcU"",""X:X""))"),0.0)</f>
        <v>0</v>
      </c>
      <c r="G36" s="26">
        <f>IFERROR(__xludf.DUMMYFUNCTION("COUNTIF(IMPORTRANGE(""17XjIPGwafStTRf_8bPPaoi2EFjHVy10_rRJ0uvy6YcU"",""M:M""), B36)"),0.0)</f>
        <v>0</v>
      </c>
      <c r="H36" s="27" t="str">
        <f t="shared" si="1"/>
        <v/>
      </c>
      <c r="I36" s="28" t="str">
        <f t="shared" si="2"/>
        <v/>
      </c>
      <c r="J36" s="29" t="str">
        <f t="shared" si="3"/>
        <v/>
      </c>
      <c r="K36" s="30"/>
      <c r="L36" s="31" t="str">
        <f>if(B36="","",IF(K36="","",E36/K36))</f>
        <v/>
      </c>
      <c r="M36" s="31" t="str">
        <f>if(B36="","",IF(K36="","",D36/K36))</f>
        <v/>
      </c>
      <c r="N36" s="4"/>
    </row>
    <row r="37">
      <c r="A37" s="4"/>
      <c r="B37" s="33" t="s">
        <v>16</v>
      </c>
      <c r="C37" s="34">
        <f t="shared" ref="C37:H37" si="8">SUM(C6:C36)</f>
        <v>11887972</v>
      </c>
      <c r="D37" s="34">
        <f t="shared" si="8"/>
        <v>7421272.238</v>
      </c>
      <c r="E37" s="34">
        <f t="shared" si="8"/>
        <v>2798045.221</v>
      </c>
      <c r="F37" s="34">
        <f t="shared" si="8"/>
        <v>1736</v>
      </c>
      <c r="G37" s="34">
        <f t="shared" si="8"/>
        <v>577</v>
      </c>
      <c r="H37" s="34">
        <f t="shared" si="8"/>
        <v>66.11845931</v>
      </c>
      <c r="I37" s="35">
        <f t="shared" si="2"/>
        <v>0.2353677499</v>
      </c>
      <c r="J37" s="35">
        <f t="shared" si="3"/>
        <v>0.3770303973</v>
      </c>
      <c r="K37" s="33">
        <f>SUM(K6:K36)</f>
        <v>0</v>
      </c>
      <c r="L37" s="34" t="str">
        <f>iferror(IF(K37="","",E37/K37),"")</f>
        <v/>
      </c>
      <c r="M37" s="34" t="str">
        <f>iferror(IF(K37="","",D37/K37),"")</f>
        <v/>
      </c>
      <c r="N37" s="4"/>
    </row>
    <row r="38">
      <c r="A38" s="4"/>
      <c r="B38" s="4"/>
      <c r="C38" s="4"/>
      <c r="D38" s="36" t="s">
        <v>17</v>
      </c>
      <c r="E38" s="4"/>
      <c r="F38" s="4"/>
      <c r="G38" s="4"/>
      <c r="H38" s="4"/>
      <c r="I38" s="4"/>
      <c r="J38" s="4"/>
      <c r="K38" s="4"/>
      <c r="L38" s="4"/>
      <c r="M38" s="4"/>
      <c r="N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2" max="2" width="7.38"/>
    <col customWidth="1" min="3" max="5" width="11.38"/>
    <col customWidth="1" min="6" max="8" width="5.75"/>
    <col customWidth="1" min="9" max="11" width="8.88"/>
    <col customWidth="1" min="12" max="13" width="11.38"/>
    <col customWidth="1" min="14" max="14" width="2.38"/>
  </cols>
  <sheetData>
    <row r="1" ht="7.5" customHeight="1">
      <c r="A1" s="1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</row>
    <row r="2">
      <c r="A2" s="1"/>
      <c r="B2" s="38">
        <v>44470.0</v>
      </c>
      <c r="C2" s="6"/>
      <c r="D2" s="3"/>
      <c r="E2" s="4"/>
      <c r="F2" s="4"/>
      <c r="G2" s="4"/>
      <c r="H2" s="4"/>
      <c r="I2" s="4"/>
      <c r="J2" s="4"/>
      <c r="K2" s="4"/>
      <c r="L2" s="7" t="s">
        <v>0</v>
      </c>
      <c r="M2" s="8">
        <v>1.5</v>
      </c>
      <c r="N2" s="4"/>
    </row>
    <row r="3">
      <c r="A3" s="4"/>
      <c r="B3" s="9"/>
      <c r="C3" s="10">
        <f>iferror((E3*M2)/I37,"")</f>
        <v>16102932.2</v>
      </c>
      <c r="D3" s="11" t="s">
        <v>2</v>
      </c>
      <c r="E3" s="12">
        <v>2000000.0</v>
      </c>
      <c r="F3" s="13"/>
      <c r="G3" s="4"/>
      <c r="H3" s="4"/>
      <c r="I3" s="4"/>
      <c r="J3" s="4"/>
      <c r="K3" s="4"/>
      <c r="L3" s="14"/>
      <c r="M3" s="15"/>
      <c r="N3" s="13"/>
    </row>
    <row r="4">
      <c r="A4" s="4"/>
      <c r="B4" s="9" t="s">
        <v>3</v>
      </c>
      <c r="C4" s="16">
        <f>iferror(C37/C3,"")</f>
        <v>0.7429713949</v>
      </c>
      <c r="D4" s="9"/>
      <c r="E4" s="16"/>
      <c r="F4" s="4"/>
      <c r="G4" s="4"/>
      <c r="H4" s="4"/>
      <c r="I4" s="4"/>
      <c r="J4" s="4"/>
      <c r="K4" s="17"/>
      <c r="L4" s="4"/>
      <c r="M4" s="4"/>
      <c r="N4" s="4"/>
    </row>
    <row r="5" ht="28.5" customHeight="1">
      <c r="A5" s="18"/>
      <c r="B5" s="19" t="s">
        <v>4</v>
      </c>
      <c r="C5" s="20" t="s">
        <v>5</v>
      </c>
      <c r="D5" s="20" t="s">
        <v>6</v>
      </c>
      <c r="E5" s="20" t="s">
        <v>7</v>
      </c>
      <c r="F5" s="21" t="s">
        <v>8</v>
      </c>
      <c r="G5" s="22" t="s">
        <v>9</v>
      </c>
      <c r="H5" s="22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18"/>
    </row>
    <row r="6">
      <c r="A6" s="1"/>
      <c r="B6" s="23">
        <f>B2</f>
        <v>44470</v>
      </c>
      <c r="C6" s="24">
        <f>IFERROR(__xludf.DUMMYFUNCTION("SUMPRODUCT((IMPORTRANGE(""17XjIPGwafStTRf_8bPPaoi2EFjHVy10_rRJ0uvy6YcU"",""M:M"")=B6)*1, IMPORTRANGE(""17XjIPGwafStTRf_8bPPaoi2EFjHVy10_rRJ0uvy6YcU"",""X:X""), IMPORTRANGE(""17XjIPGwafStTRf_8bPPaoi2EFjHVy10_rRJ0uvy6YcU"",""AK:AK"")) - SUMPRODUCT((IMPORTRA"&amp;"NGE(""17XjIPGwafStTRf_8bPPaoi2EFjHVy10_rRJ0uvy6YcU"",""M:M"")=B6)*1, IMPORTRANGE(""17XjIPGwafStTRf_8bPPaoi2EFjHVy10_rRJ0uvy6YcU"",""X:X""), IMPORTRANGE(""17XjIPGwafStTRf_8bPPaoi2EFjHVy10_rRJ0uvy6YcU"",""AL:AL""))"),273882.0)</f>
        <v>273882</v>
      </c>
      <c r="D6" s="24">
        <f>IFERROR(__xludf.DUMMYFUNCTION("SUMPRODUCT((IMPORTRANGE(""17XjIPGwafStTRf_8bPPaoi2EFjHVy10_rRJ0uvy6YcU"",""M:M"")=B6)*1, IMPORTRANGE(""17XjIPGwafStTRf_8bPPaoi2EFjHVy10_rRJ0uvy6YcU"",""X:X""), IMPORTRANGE(""17XjIPGwafStTRf_8bPPaoi2EFjHVy10_rRJ0uvy6YcU"",""AA:AA"")) + SUMPRODUCT((IMPORTRA"&amp;"NGE(""17XjIPGwafStTRf_8bPPaoi2EFjHVy10_rRJ0uvy6YcU"",""M:M"")=B6)*1, IMPORTRANGE(""17XjIPGwafStTRf_8bPPaoi2EFjHVy10_rRJ0uvy6YcU"",""X:X""), IMPORTRANGE(""17XjIPGwafStTRf_8bPPaoi2EFjHVy10_rRJ0uvy6YcU"",""AE:AE"")) + SUMPRODUCT((IMPORTRANGE(""17XjIPGwafStTR"&amp;"f_8bPPaoi2EFjHVy10_rRJ0uvy6YcU"",""M:M"")=B6)*1, IMPORTRANGE(""17XjIPGwafStTRf_8bPPaoi2EFjHVy10_rRJ0uvy6YcU"",""X:X""), IMPORTRANGE(""17XjIPGwafStTRf_8bPPaoi2EFjHVy10_rRJ0uvy6YcU"",""AF:AF""))"),180047.52056109198)</f>
        <v>180047.5206</v>
      </c>
      <c r="E6" s="24">
        <f>IFERROR(__xludf.DUMMYFUNCTION("SUMPRODUCT((IMPORTRANGE(""17XjIPGwafStTRf_8bPPaoi2EFjHVy10_rRJ0uvy6YcU"",""M:M"")=B6)*1, IMPORTRANGE(""17XjIPGwafStTRf_8bPPaoi2EFjHVy10_rRJ0uvy6YcU"",""X:X""), IMPORTRANGE(""17XjIPGwafStTRf_8bPPaoi2EFjHVy10_rRJ0uvy6YcU"",""AO:AO""))"),38190.93353592885)</f>
        <v>38190.93354</v>
      </c>
      <c r="F6" s="25">
        <f>IFERROR(__xludf.DUMMYFUNCTION("SUMPRODUCT((IMPORTRANGE(""17XjIPGwafStTRf_8bPPaoi2EFjHVy10_rRJ0uvy6YcU"",""M:M"")=B6)*1, IMPORTRANGE(""17XjIPGwafStTRf_8bPPaoi2EFjHVy10_rRJ0uvy6YcU"",""X:X""))"),49.0)</f>
        <v>49</v>
      </c>
      <c r="G6" s="26">
        <f>IFERROR(__xludf.DUMMYFUNCTION("COUNTIF(IMPORTRANGE(""17XjIPGwafStTRf_8bPPaoi2EFjHVy10_rRJ0uvy6YcU"",""M:M""), B6)"),26.0)</f>
        <v>26</v>
      </c>
      <c r="H6" s="27">
        <f t="shared" ref="H6:H36" si="1">IF(F6=0,"",F6/G6)</f>
        <v>1.884615385</v>
      </c>
      <c r="I6" s="28">
        <f t="shared" ref="I6:I37" si="2">IF(C6=0,"",E6/C6)</f>
        <v>0.1394430212</v>
      </c>
      <c r="J6" s="29">
        <f t="shared" ref="J6:J37" si="3">IF(D6=0,"",E6/D6)</f>
        <v>0.2121158537</v>
      </c>
      <c r="K6" s="30"/>
      <c r="L6" s="31" t="str">
        <f t="shared" ref="L6:L35" si="4">IF(K6="","",E6/K6)</f>
        <v/>
      </c>
      <c r="M6" s="31" t="str">
        <f t="shared" ref="M6:M35" si="5">IF(K6="","",D6/K6)</f>
        <v/>
      </c>
      <c r="N6" s="4"/>
    </row>
    <row r="7">
      <c r="A7" s="1"/>
      <c r="B7" s="23">
        <f t="shared" ref="B7:B33" si="6">B6+1</f>
        <v>44471</v>
      </c>
      <c r="C7" s="24">
        <f>IFERROR(__xludf.DUMMYFUNCTION("SUMPRODUCT((IMPORTRANGE(""17XjIPGwafStTRf_8bPPaoi2EFjHVy10_rRJ0uvy6YcU"",""M:M"")=B7)*1, IMPORTRANGE(""17XjIPGwafStTRf_8bPPaoi2EFjHVy10_rRJ0uvy6YcU"",""X:X""), IMPORTRANGE(""17XjIPGwafStTRf_8bPPaoi2EFjHVy10_rRJ0uvy6YcU"",""AK:AK"")) - SUMPRODUCT((IMPORTRA"&amp;"NGE(""17XjIPGwafStTRf_8bPPaoi2EFjHVy10_rRJ0uvy6YcU"",""M:M"")=B7)*1, IMPORTRANGE(""17XjIPGwafStTRf_8bPPaoi2EFjHVy10_rRJ0uvy6YcU"",""X:X""), IMPORTRANGE(""17XjIPGwafStTRf_8bPPaoi2EFjHVy10_rRJ0uvy6YcU"",""AL:AL""))"),737255.0)</f>
        <v>737255</v>
      </c>
      <c r="D7" s="24">
        <f>IFERROR(__xludf.DUMMYFUNCTION("SUMPRODUCT((IMPORTRANGE(""17XjIPGwafStTRf_8bPPaoi2EFjHVy10_rRJ0uvy6YcU"",""M:M"")=B7)*1, IMPORTRANGE(""17XjIPGwafStTRf_8bPPaoi2EFjHVy10_rRJ0uvy6YcU"",""X:X""), IMPORTRANGE(""17XjIPGwafStTRf_8bPPaoi2EFjHVy10_rRJ0uvy6YcU"",""AA:AA"")) + SUMPRODUCT((IMPORTRA"&amp;"NGE(""17XjIPGwafStTRf_8bPPaoi2EFjHVy10_rRJ0uvy6YcU"",""M:M"")=B7)*1, IMPORTRANGE(""17XjIPGwafStTRf_8bPPaoi2EFjHVy10_rRJ0uvy6YcU"",""X:X""), IMPORTRANGE(""17XjIPGwafStTRf_8bPPaoi2EFjHVy10_rRJ0uvy6YcU"",""AE:AE"")) + SUMPRODUCT((IMPORTRANGE(""17XjIPGwafStTR"&amp;"f_8bPPaoi2EFjHVy10_rRJ0uvy6YcU"",""M:M"")=B7)*1, IMPORTRANGE(""17XjIPGwafStTRf_8bPPaoi2EFjHVy10_rRJ0uvy6YcU"",""X:X""), IMPORTRANGE(""17XjIPGwafStTRf_8bPPaoi2EFjHVy10_rRJ0uvy6YcU"",""AF:AF""))"),555174.6985212162)</f>
        <v>555174.6985</v>
      </c>
      <c r="E7" s="24">
        <f>IFERROR(__xludf.DUMMYFUNCTION("SUMPRODUCT((IMPORTRANGE(""17XjIPGwafStTRf_8bPPaoi2EFjHVy10_rRJ0uvy6YcU"",""M:M"")=B7)*1, IMPORTRANGE(""17XjIPGwafStTRf_8bPPaoi2EFjHVy10_rRJ0uvy6YcU"",""X:X""), IMPORTRANGE(""17XjIPGwafStTRf_8bPPaoi2EFjHVy10_rRJ0uvy6YcU"",""AO:AO""))"),87628.31409121654)</f>
        <v>87628.31409</v>
      </c>
      <c r="F7" s="25">
        <f>IFERROR(__xludf.DUMMYFUNCTION("SUMPRODUCT((IMPORTRANGE(""17XjIPGwafStTRf_8bPPaoi2EFjHVy10_rRJ0uvy6YcU"",""M:M"")=B7)*1, IMPORTRANGE(""17XjIPGwafStTRf_8bPPaoi2EFjHVy10_rRJ0uvy6YcU"",""X:X""))"),118.0)</f>
        <v>118</v>
      </c>
      <c r="G7" s="26">
        <f>IFERROR(__xludf.DUMMYFUNCTION("COUNTIF(IMPORTRANGE(""17XjIPGwafStTRf_8bPPaoi2EFjHVy10_rRJ0uvy6YcU"",""M:M""), B7)"),34.0)</f>
        <v>34</v>
      </c>
      <c r="H7" s="27">
        <f t="shared" si="1"/>
        <v>3.470588235</v>
      </c>
      <c r="I7" s="28">
        <f t="shared" si="2"/>
        <v>0.1188575379</v>
      </c>
      <c r="J7" s="29">
        <f t="shared" si="3"/>
        <v>0.1578391708</v>
      </c>
      <c r="K7" s="30"/>
      <c r="L7" s="31" t="str">
        <f t="shared" si="4"/>
        <v/>
      </c>
      <c r="M7" s="31" t="str">
        <f t="shared" si="5"/>
        <v/>
      </c>
      <c r="N7" s="4"/>
    </row>
    <row r="8">
      <c r="A8" s="1"/>
      <c r="B8" s="23">
        <f t="shared" si="6"/>
        <v>44472</v>
      </c>
      <c r="C8" s="24">
        <f>IFERROR(__xludf.DUMMYFUNCTION("SUMPRODUCT((IMPORTRANGE(""17XjIPGwafStTRf_8bPPaoi2EFjHVy10_rRJ0uvy6YcU"",""M:M"")=B8)*1, IMPORTRANGE(""17XjIPGwafStTRf_8bPPaoi2EFjHVy10_rRJ0uvy6YcU"",""X:X""), IMPORTRANGE(""17XjIPGwafStTRf_8bPPaoi2EFjHVy10_rRJ0uvy6YcU"",""AK:AK"")) - SUMPRODUCT((IMPORTRA"&amp;"NGE(""17XjIPGwafStTRf_8bPPaoi2EFjHVy10_rRJ0uvy6YcU"",""M:M"")=B8)*1, IMPORTRANGE(""17XjIPGwafStTRf_8bPPaoi2EFjHVy10_rRJ0uvy6YcU"",""X:X""), IMPORTRANGE(""17XjIPGwafStTRf_8bPPaoi2EFjHVy10_rRJ0uvy6YcU"",""AL:AL""))"),638295.0)</f>
        <v>638295</v>
      </c>
      <c r="D8" s="24">
        <f>IFERROR(__xludf.DUMMYFUNCTION("SUMPRODUCT((IMPORTRANGE(""17XjIPGwafStTRf_8bPPaoi2EFjHVy10_rRJ0uvy6YcU"",""M:M"")=B8)*1, IMPORTRANGE(""17XjIPGwafStTRf_8bPPaoi2EFjHVy10_rRJ0uvy6YcU"",""X:X""), IMPORTRANGE(""17XjIPGwafStTRf_8bPPaoi2EFjHVy10_rRJ0uvy6YcU"",""AA:AA"")) + SUMPRODUCT((IMPORTRA"&amp;"NGE(""17XjIPGwafStTRf_8bPPaoi2EFjHVy10_rRJ0uvy6YcU"",""M:M"")=B8)*1, IMPORTRANGE(""17XjIPGwafStTRf_8bPPaoi2EFjHVy10_rRJ0uvy6YcU"",""X:X""), IMPORTRANGE(""17XjIPGwafStTRf_8bPPaoi2EFjHVy10_rRJ0uvy6YcU"",""AE:AE"")) + SUMPRODUCT((IMPORTRANGE(""17XjIPGwafStTR"&amp;"f_8bPPaoi2EFjHVy10_rRJ0uvy6YcU"",""M:M"")=B8)*1, IMPORTRANGE(""17XjIPGwafStTRf_8bPPaoi2EFjHVy10_rRJ0uvy6YcU"",""X:X""), IMPORTRANGE(""17XjIPGwafStTRf_8bPPaoi2EFjHVy10_rRJ0uvy6YcU"",""AF:AF""))"),394799.68688191473)</f>
        <v>394799.6869</v>
      </c>
      <c r="E8" s="24">
        <f>IFERROR(__xludf.DUMMYFUNCTION("SUMPRODUCT((IMPORTRANGE(""17XjIPGwafStTRf_8bPPaoi2EFjHVy10_rRJ0uvy6YcU"",""M:M"")=B8)*1, IMPORTRANGE(""17XjIPGwafStTRf_8bPPaoi2EFjHVy10_rRJ0uvy6YcU"",""X:X""), IMPORTRANGE(""17XjIPGwafStTRf_8bPPaoi2EFjHVy10_rRJ0uvy6YcU"",""AO:AO""))"),132298.76209044535)</f>
        <v>132298.7621</v>
      </c>
      <c r="F8" s="25">
        <f>IFERROR(__xludf.DUMMYFUNCTION("SUMPRODUCT((IMPORTRANGE(""17XjIPGwafStTRf_8bPPaoi2EFjHVy10_rRJ0uvy6YcU"",""M:M"")=B8)*1, IMPORTRANGE(""17XjIPGwafStTRf_8bPPaoi2EFjHVy10_rRJ0uvy6YcU"",""X:X""))"),111.0)</f>
        <v>111</v>
      </c>
      <c r="G8" s="26">
        <f>IFERROR(__xludf.DUMMYFUNCTION("COUNTIF(IMPORTRANGE(""17XjIPGwafStTRf_8bPPaoi2EFjHVy10_rRJ0uvy6YcU"",""M:M""), B8)"),41.0)</f>
        <v>41</v>
      </c>
      <c r="H8" s="27">
        <f t="shared" si="1"/>
        <v>2.707317073</v>
      </c>
      <c r="I8" s="28">
        <f t="shared" si="2"/>
        <v>0.2072689933</v>
      </c>
      <c r="J8" s="29">
        <f t="shared" si="3"/>
        <v>0.3351035132</v>
      </c>
      <c r="K8" s="30"/>
      <c r="L8" s="31" t="str">
        <f t="shared" si="4"/>
        <v/>
      </c>
      <c r="M8" s="31" t="str">
        <f t="shared" si="5"/>
        <v/>
      </c>
      <c r="N8" s="4"/>
    </row>
    <row r="9">
      <c r="A9" s="1"/>
      <c r="B9" s="23">
        <f t="shared" si="6"/>
        <v>44473</v>
      </c>
      <c r="C9" s="24">
        <f>IFERROR(__xludf.DUMMYFUNCTION("SUMPRODUCT((IMPORTRANGE(""17XjIPGwafStTRf_8bPPaoi2EFjHVy10_rRJ0uvy6YcU"",""M:M"")=B9)*1, IMPORTRANGE(""17XjIPGwafStTRf_8bPPaoi2EFjHVy10_rRJ0uvy6YcU"",""X:X""), IMPORTRANGE(""17XjIPGwafStTRf_8bPPaoi2EFjHVy10_rRJ0uvy6YcU"",""AK:AK"")) - SUMPRODUCT((IMPORTRA"&amp;"NGE(""17XjIPGwafStTRf_8bPPaoi2EFjHVy10_rRJ0uvy6YcU"",""M:M"")=B9)*1, IMPORTRANGE(""17XjIPGwafStTRf_8bPPaoi2EFjHVy10_rRJ0uvy6YcU"",""X:X""), IMPORTRANGE(""17XjIPGwafStTRf_8bPPaoi2EFjHVy10_rRJ0uvy6YcU"",""AL:AL""))"),0.0)</f>
        <v>0</v>
      </c>
      <c r="D9" s="24">
        <f>IFERROR(__xludf.DUMMYFUNCTION("SUMPRODUCT((IMPORTRANGE(""17XjIPGwafStTRf_8bPPaoi2EFjHVy10_rRJ0uvy6YcU"",""M:M"")=B9)*1, IMPORTRANGE(""17XjIPGwafStTRf_8bPPaoi2EFjHVy10_rRJ0uvy6YcU"",""X:X""), IMPORTRANGE(""17XjIPGwafStTRf_8bPPaoi2EFjHVy10_rRJ0uvy6YcU"",""AA:AA"")) + SUMPRODUCT((IMPORTRA"&amp;"NGE(""17XjIPGwafStTRf_8bPPaoi2EFjHVy10_rRJ0uvy6YcU"",""M:M"")=B9)*1, IMPORTRANGE(""17XjIPGwafStTRf_8bPPaoi2EFjHVy10_rRJ0uvy6YcU"",""X:X""), IMPORTRANGE(""17XjIPGwafStTRf_8bPPaoi2EFjHVy10_rRJ0uvy6YcU"",""AE:AE"")) + SUMPRODUCT((IMPORTRANGE(""17XjIPGwafStTR"&amp;"f_8bPPaoi2EFjHVy10_rRJ0uvy6YcU"",""M:M"")=B9)*1, IMPORTRANGE(""17XjIPGwafStTRf_8bPPaoi2EFjHVy10_rRJ0uvy6YcU"",""X:X""), IMPORTRANGE(""17XjIPGwafStTRf_8bPPaoi2EFjHVy10_rRJ0uvy6YcU"",""AF:AF""))"),0.0)</f>
        <v>0</v>
      </c>
      <c r="E9" s="24">
        <f>IFERROR(__xludf.DUMMYFUNCTION("SUMPRODUCT((IMPORTRANGE(""17XjIPGwafStTRf_8bPPaoi2EFjHVy10_rRJ0uvy6YcU"",""M:M"")=B9)*1, IMPORTRANGE(""17XjIPGwafStTRf_8bPPaoi2EFjHVy10_rRJ0uvy6YcU"",""X:X""), IMPORTRANGE(""17XjIPGwafStTRf_8bPPaoi2EFjHVy10_rRJ0uvy6YcU"",""AO:AO""))"),0.0)</f>
        <v>0</v>
      </c>
      <c r="F9" s="25">
        <f>IFERROR(__xludf.DUMMYFUNCTION("SUMPRODUCT((IMPORTRANGE(""17XjIPGwafStTRf_8bPPaoi2EFjHVy10_rRJ0uvy6YcU"",""M:M"")=B9)*1, IMPORTRANGE(""17XjIPGwafStTRf_8bPPaoi2EFjHVy10_rRJ0uvy6YcU"",""X:X""))"),0.0)</f>
        <v>0</v>
      </c>
      <c r="G9" s="26">
        <f>IFERROR(__xludf.DUMMYFUNCTION("COUNTIF(IMPORTRANGE(""17XjIPGwafStTRf_8bPPaoi2EFjHVy10_rRJ0uvy6YcU"",""M:M""), B9)"),0.0)</f>
        <v>0</v>
      </c>
      <c r="H9" s="27" t="str">
        <f t="shared" si="1"/>
        <v/>
      </c>
      <c r="I9" s="28" t="str">
        <f t="shared" si="2"/>
        <v/>
      </c>
      <c r="J9" s="29" t="str">
        <f t="shared" si="3"/>
        <v/>
      </c>
      <c r="K9" s="32"/>
      <c r="L9" s="31" t="str">
        <f t="shared" si="4"/>
        <v/>
      </c>
      <c r="M9" s="31" t="str">
        <f t="shared" si="5"/>
        <v/>
      </c>
      <c r="N9" s="4"/>
    </row>
    <row r="10">
      <c r="A10" s="1"/>
      <c r="B10" s="23">
        <f t="shared" si="6"/>
        <v>44474</v>
      </c>
      <c r="C10" s="24">
        <f>IFERROR(__xludf.DUMMYFUNCTION("SUMPRODUCT((IMPORTRANGE(""17XjIPGwafStTRf_8bPPaoi2EFjHVy10_rRJ0uvy6YcU"",""M:M"")=B10)*1, IMPORTRANGE(""17XjIPGwafStTRf_8bPPaoi2EFjHVy10_rRJ0uvy6YcU"",""X:X""), IMPORTRANGE(""17XjIPGwafStTRf_8bPPaoi2EFjHVy10_rRJ0uvy6YcU"",""AK:AK"")) - SUMPRODUCT((IMPORTR"&amp;"ANGE(""17XjIPGwafStTRf_8bPPaoi2EFjHVy10_rRJ0uvy6YcU"",""M:M"")=B10)*1, IMPORTRANGE(""17XjIPGwafStTRf_8bPPaoi2EFjHVy10_rRJ0uvy6YcU"",""X:X""), IMPORTRANGE(""17XjIPGwafStTRf_8bPPaoi2EFjHVy10_rRJ0uvy6YcU"",""AL:AL""))"),631223.0)</f>
        <v>631223</v>
      </c>
      <c r="D10" s="24">
        <f>IFERROR(__xludf.DUMMYFUNCTION("SUMPRODUCT((IMPORTRANGE(""17XjIPGwafStTRf_8bPPaoi2EFjHVy10_rRJ0uvy6YcU"",""M:M"")=B10)*1, IMPORTRANGE(""17XjIPGwafStTRf_8bPPaoi2EFjHVy10_rRJ0uvy6YcU"",""X:X""), IMPORTRANGE(""17XjIPGwafStTRf_8bPPaoi2EFjHVy10_rRJ0uvy6YcU"",""AA:AA"")) + SUMPRODUCT((IMPORTR"&amp;"ANGE(""17XjIPGwafStTRf_8bPPaoi2EFjHVy10_rRJ0uvy6YcU"",""M:M"")=B10)*1, IMPORTRANGE(""17XjIPGwafStTRf_8bPPaoi2EFjHVy10_rRJ0uvy6YcU"",""X:X""), IMPORTRANGE(""17XjIPGwafStTRf_8bPPaoi2EFjHVy10_rRJ0uvy6YcU"",""AE:AE"")) + SUMPRODUCT((IMPORTRANGE(""17XjIPGwafSt"&amp;"TRf_8bPPaoi2EFjHVy10_rRJ0uvy6YcU"",""M:M"")=B10)*1, IMPORTRANGE(""17XjIPGwafStTRf_8bPPaoi2EFjHVy10_rRJ0uvy6YcU"",""X:X""), IMPORTRANGE(""17XjIPGwafStTRf_8bPPaoi2EFjHVy10_rRJ0uvy6YcU"",""AF:AF""))"),396035.14252547635)</f>
        <v>396035.1425</v>
      </c>
      <c r="E10" s="24">
        <f>IFERROR(__xludf.DUMMYFUNCTION("SUMPRODUCT((IMPORTRANGE(""17XjIPGwafStTRf_8bPPaoi2EFjHVy10_rRJ0uvy6YcU"",""M:M"")=B10)*1, IMPORTRANGE(""17XjIPGwafStTRf_8bPPaoi2EFjHVy10_rRJ0uvy6YcU"",""X:X""), IMPORTRANGE(""17XjIPGwafStTRf_8bPPaoi2EFjHVy10_rRJ0uvy6YcU"",""AO:AO""))"),123148.4618193273)</f>
        <v>123148.4618</v>
      </c>
      <c r="F10" s="25">
        <f>IFERROR(__xludf.DUMMYFUNCTION("SUMPRODUCT((IMPORTRANGE(""17XjIPGwafStTRf_8bPPaoi2EFjHVy10_rRJ0uvy6YcU"",""M:M"")=B10)*1, IMPORTRANGE(""17XjIPGwafStTRf_8bPPaoi2EFjHVy10_rRJ0uvy6YcU"",""X:X""))"),94.0)</f>
        <v>94</v>
      </c>
      <c r="G10" s="26">
        <f>IFERROR(__xludf.DUMMYFUNCTION("COUNTIF(IMPORTRANGE(""17XjIPGwafStTRf_8bPPaoi2EFjHVy10_rRJ0uvy6YcU"",""M:M""), B10)"),46.0)</f>
        <v>46</v>
      </c>
      <c r="H10" s="27">
        <f t="shared" si="1"/>
        <v>2.043478261</v>
      </c>
      <c r="I10" s="28">
        <f t="shared" si="2"/>
        <v>0.1950950168</v>
      </c>
      <c r="J10" s="29">
        <f t="shared" si="3"/>
        <v>0.310953369</v>
      </c>
      <c r="K10" s="32"/>
      <c r="L10" s="31" t="str">
        <f t="shared" si="4"/>
        <v/>
      </c>
      <c r="M10" s="31" t="str">
        <f t="shared" si="5"/>
        <v/>
      </c>
      <c r="N10" s="4"/>
    </row>
    <row r="11">
      <c r="A11" s="1"/>
      <c r="B11" s="23">
        <f t="shared" si="6"/>
        <v>44475</v>
      </c>
      <c r="C11" s="24">
        <f>IFERROR(__xludf.DUMMYFUNCTION("SUMPRODUCT((IMPORTRANGE(""17XjIPGwafStTRf_8bPPaoi2EFjHVy10_rRJ0uvy6YcU"",""M:M"")=B11)*1, IMPORTRANGE(""17XjIPGwafStTRf_8bPPaoi2EFjHVy10_rRJ0uvy6YcU"",""X:X""), IMPORTRANGE(""17XjIPGwafStTRf_8bPPaoi2EFjHVy10_rRJ0uvy6YcU"",""AK:AK"")) - SUMPRODUCT((IMPORTR"&amp;"ANGE(""17XjIPGwafStTRf_8bPPaoi2EFjHVy10_rRJ0uvy6YcU"",""M:M"")=B11)*1, IMPORTRANGE(""17XjIPGwafStTRf_8bPPaoi2EFjHVy10_rRJ0uvy6YcU"",""X:X""), IMPORTRANGE(""17XjIPGwafStTRf_8bPPaoi2EFjHVy10_rRJ0uvy6YcU"",""AL:AL""))"),430145.0)</f>
        <v>430145</v>
      </c>
      <c r="D11" s="24">
        <f>IFERROR(__xludf.DUMMYFUNCTION("SUMPRODUCT((IMPORTRANGE(""17XjIPGwafStTRf_8bPPaoi2EFjHVy10_rRJ0uvy6YcU"",""M:M"")=B11)*1, IMPORTRANGE(""17XjIPGwafStTRf_8bPPaoi2EFjHVy10_rRJ0uvy6YcU"",""X:X""), IMPORTRANGE(""17XjIPGwafStTRf_8bPPaoi2EFjHVy10_rRJ0uvy6YcU"",""AA:AA"")) + SUMPRODUCT((IMPORTR"&amp;"ANGE(""17XjIPGwafStTRf_8bPPaoi2EFjHVy10_rRJ0uvy6YcU"",""M:M"")=B11)*1, IMPORTRANGE(""17XjIPGwafStTRf_8bPPaoi2EFjHVy10_rRJ0uvy6YcU"",""X:X""), IMPORTRANGE(""17XjIPGwafStTRf_8bPPaoi2EFjHVy10_rRJ0uvy6YcU"",""AE:AE"")) + SUMPRODUCT((IMPORTRANGE(""17XjIPGwafSt"&amp;"TRf_8bPPaoi2EFjHVy10_rRJ0uvy6YcU"",""M:M"")=B11)*1, IMPORTRANGE(""17XjIPGwafStTRf_8bPPaoi2EFjHVy10_rRJ0uvy6YcU"",""X:X""), IMPORTRANGE(""17XjIPGwafStTRf_8bPPaoi2EFjHVy10_rRJ0uvy6YcU"",""AF:AF""))"),281143.12876093463)</f>
        <v>281143.1288</v>
      </c>
      <c r="E11" s="24">
        <f>IFERROR(__xludf.DUMMYFUNCTION("SUMPRODUCT((IMPORTRANGE(""17XjIPGwafStTRf_8bPPaoi2EFjHVy10_rRJ0uvy6YcU"",""M:M"")=B11)*1, IMPORTRANGE(""17XjIPGwafStTRf_8bPPaoi2EFjHVy10_rRJ0uvy6YcU"",""X:X""), IMPORTRANGE(""17XjIPGwafStTRf_8bPPaoi2EFjHVy10_rRJ0uvy6YcU"",""AO:AO""))"),59996.962872954944)</f>
        <v>59996.96287</v>
      </c>
      <c r="F11" s="25">
        <f>IFERROR(__xludf.DUMMYFUNCTION("SUMPRODUCT((IMPORTRANGE(""17XjIPGwafStTRf_8bPPaoi2EFjHVy10_rRJ0uvy6YcU"",""M:M"")=B11)*1, IMPORTRANGE(""17XjIPGwafStTRf_8bPPaoi2EFjHVy10_rRJ0uvy6YcU"",""X:X""))"),69.0)</f>
        <v>69</v>
      </c>
      <c r="G11" s="26">
        <f>IFERROR(__xludf.DUMMYFUNCTION("COUNTIF(IMPORTRANGE(""17XjIPGwafStTRf_8bPPaoi2EFjHVy10_rRJ0uvy6YcU"",""M:M""), B11)"),30.0)</f>
        <v>30</v>
      </c>
      <c r="H11" s="27">
        <f t="shared" si="1"/>
        <v>2.3</v>
      </c>
      <c r="I11" s="28">
        <f t="shared" si="2"/>
        <v>0.1394807864</v>
      </c>
      <c r="J11" s="29">
        <f t="shared" si="3"/>
        <v>0.2134036252</v>
      </c>
      <c r="K11" s="30"/>
      <c r="L11" s="31" t="str">
        <f t="shared" si="4"/>
        <v/>
      </c>
      <c r="M11" s="31" t="str">
        <f t="shared" si="5"/>
        <v/>
      </c>
      <c r="N11" s="4"/>
    </row>
    <row r="12">
      <c r="A12" s="1"/>
      <c r="B12" s="23">
        <f t="shared" si="6"/>
        <v>44476</v>
      </c>
      <c r="C12" s="24">
        <f>IFERROR(__xludf.DUMMYFUNCTION("SUMPRODUCT((IMPORTRANGE(""17XjIPGwafStTRf_8bPPaoi2EFjHVy10_rRJ0uvy6YcU"",""M:M"")=B12)*1, IMPORTRANGE(""17XjIPGwafStTRf_8bPPaoi2EFjHVy10_rRJ0uvy6YcU"",""X:X""), IMPORTRANGE(""17XjIPGwafStTRf_8bPPaoi2EFjHVy10_rRJ0uvy6YcU"",""AK:AK"")) - SUMPRODUCT((IMPORTR"&amp;"ANGE(""17XjIPGwafStTRf_8bPPaoi2EFjHVy10_rRJ0uvy6YcU"",""M:M"")=B12)*1, IMPORTRANGE(""17XjIPGwafStTRf_8bPPaoi2EFjHVy10_rRJ0uvy6YcU"",""X:X""), IMPORTRANGE(""17XjIPGwafStTRf_8bPPaoi2EFjHVy10_rRJ0uvy6YcU"",""AL:AL""))"),713114.0)</f>
        <v>713114</v>
      </c>
      <c r="D12" s="24">
        <f>IFERROR(__xludf.DUMMYFUNCTION("SUMPRODUCT((IMPORTRANGE(""17XjIPGwafStTRf_8bPPaoi2EFjHVy10_rRJ0uvy6YcU"",""M:M"")=B12)*1, IMPORTRANGE(""17XjIPGwafStTRf_8bPPaoi2EFjHVy10_rRJ0uvy6YcU"",""X:X""), IMPORTRANGE(""17XjIPGwafStTRf_8bPPaoi2EFjHVy10_rRJ0uvy6YcU"",""AA:AA"")) + SUMPRODUCT((IMPORTR"&amp;"ANGE(""17XjIPGwafStTRf_8bPPaoi2EFjHVy10_rRJ0uvy6YcU"",""M:M"")=B12)*1, IMPORTRANGE(""17XjIPGwafStTRf_8bPPaoi2EFjHVy10_rRJ0uvy6YcU"",""X:X""), IMPORTRANGE(""17XjIPGwafStTRf_8bPPaoi2EFjHVy10_rRJ0uvy6YcU"",""AE:AE"")) + SUMPRODUCT((IMPORTRANGE(""17XjIPGwafSt"&amp;"TRf_8bPPaoi2EFjHVy10_rRJ0uvy6YcU"",""M:M"")=B12)*1, IMPORTRANGE(""17XjIPGwafStTRf_8bPPaoi2EFjHVy10_rRJ0uvy6YcU"",""X:X""), IMPORTRANGE(""17XjIPGwafStTRf_8bPPaoi2EFjHVy10_rRJ0uvy6YcU"",""AF:AF""))"),428992.1805710565)</f>
        <v>428992.1806</v>
      </c>
      <c r="E12" s="24">
        <f>IFERROR(__xludf.DUMMYFUNCTION("SUMPRODUCT((IMPORTRANGE(""17XjIPGwafStTRf_8bPPaoi2EFjHVy10_rRJ0uvy6YcU"",""M:M"")=B12)*1, IMPORTRANGE(""17XjIPGwafStTRf_8bPPaoi2EFjHVy10_rRJ0uvy6YcU"",""X:X""), IMPORTRANGE(""17XjIPGwafStTRf_8bPPaoi2EFjHVy10_rRJ0uvy6YcU"",""AO:AO""))"),177262.64785807548)</f>
        <v>177262.6479</v>
      </c>
      <c r="F12" s="25">
        <f>IFERROR(__xludf.DUMMYFUNCTION("SUMPRODUCT((IMPORTRANGE(""17XjIPGwafStTRf_8bPPaoi2EFjHVy10_rRJ0uvy6YcU"",""M:M"")=B12)*1, IMPORTRANGE(""17XjIPGwafStTRf_8bPPaoi2EFjHVy10_rRJ0uvy6YcU"",""X:X""))"),84.0)</f>
        <v>84</v>
      </c>
      <c r="G12" s="26">
        <f>IFERROR(__xludf.DUMMYFUNCTION("COUNTIF(IMPORTRANGE(""17XjIPGwafStTRf_8bPPaoi2EFjHVy10_rRJ0uvy6YcU"",""M:M""), B12)"),22.0)</f>
        <v>22</v>
      </c>
      <c r="H12" s="27">
        <f t="shared" si="1"/>
        <v>3.818181818</v>
      </c>
      <c r="I12" s="28">
        <f t="shared" si="2"/>
        <v>0.2485754702</v>
      </c>
      <c r="J12" s="29">
        <f t="shared" si="3"/>
        <v>0.4132071769</v>
      </c>
      <c r="K12" s="32"/>
      <c r="L12" s="31" t="str">
        <f t="shared" si="4"/>
        <v/>
      </c>
      <c r="M12" s="31" t="str">
        <f t="shared" si="5"/>
        <v/>
      </c>
      <c r="N12" s="4"/>
    </row>
    <row r="13">
      <c r="A13" s="1"/>
      <c r="B13" s="23">
        <f t="shared" si="6"/>
        <v>44477</v>
      </c>
      <c r="C13" s="24">
        <f>IFERROR(__xludf.DUMMYFUNCTION("SUMPRODUCT((IMPORTRANGE(""17XjIPGwafStTRf_8bPPaoi2EFjHVy10_rRJ0uvy6YcU"",""M:M"")=B13)*1, IMPORTRANGE(""17XjIPGwafStTRf_8bPPaoi2EFjHVy10_rRJ0uvy6YcU"",""X:X""), IMPORTRANGE(""17XjIPGwafStTRf_8bPPaoi2EFjHVy10_rRJ0uvy6YcU"",""AK:AK"")) - SUMPRODUCT((IMPORTR"&amp;"ANGE(""17XjIPGwafStTRf_8bPPaoi2EFjHVy10_rRJ0uvy6YcU"",""M:M"")=B13)*1, IMPORTRANGE(""17XjIPGwafStTRf_8bPPaoi2EFjHVy10_rRJ0uvy6YcU"",""X:X""), IMPORTRANGE(""17XjIPGwafStTRf_8bPPaoi2EFjHVy10_rRJ0uvy6YcU"",""AL:AL""))"),390838.0)</f>
        <v>390838</v>
      </c>
      <c r="D13" s="24">
        <f>IFERROR(__xludf.DUMMYFUNCTION("SUMPRODUCT((IMPORTRANGE(""17XjIPGwafStTRf_8bPPaoi2EFjHVy10_rRJ0uvy6YcU"",""M:M"")=B13)*1, IMPORTRANGE(""17XjIPGwafStTRf_8bPPaoi2EFjHVy10_rRJ0uvy6YcU"",""X:X""), IMPORTRANGE(""17XjIPGwafStTRf_8bPPaoi2EFjHVy10_rRJ0uvy6YcU"",""AA:AA"")) + SUMPRODUCT((IMPORTR"&amp;"ANGE(""17XjIPGwafStTRf_8bPPaoi2EFjHVy10_rRJ0uvy6YcU"",""M:M"")=B13)*1, IMPORTRANGE(""17XjIPGwafStTRf_8bPPaoi2EFjHVy10_rRJ0uvy6YcU"",""X:X""), IMPORTRANGE(""17XjIPGwafStTRf_8bPPaoi2EFjHVy10_rRJ0uvy6YcU"",""AE:AE"")) + SUMPRODUCT((IMPORTRANGE(""17XjIPGwafSt"&amp;"TRf_8bPPaoi2EFjHVy10_rRJ0uvy6YcU"",""M:M"")=B13)*1, IMPORTRANGE(""17XjIPGwafStTRf_8bPPaoi2EFjHVy10_rRJ0uvy6YcU"",""X:X""), IMPORTRANGE(""17XjIPGwafStTRf_8bPPaoi2EFjHVy10_rRJ0uvy6YcU"",""AF:AF""))"),252765.07292348566)</f>
        <v>252765.0729</v>
      </c>
      <c r="E13" s="24">
        <f>IFERROR(__xludf.DUMMYFUNCTION("SUMPRODUCT((IMPORTRANGE(""17XjIPGwafStTRf_8bPPaoi2EFjHVy10_rRJ0uvy6YcU"",""M:M"")=B13)*1, IMPORTRANGE(""17XjIPGwafStTRf_8bPPaoi2EFjHVy10_rRJ0uvy6YcU"",""X:X""), IMPORTRANGE(""17XjIPGwafStTRf_8bPPaoi2EFjHVy10_rRJ0uvy6YcU"",""AO:AO""))"),70390.22707651433)</f>
        <v>70390.22708</v>
      </c>
      <c r="F13" s="25">
        <f>IFERROR(__xludf.DUMMYFUNCTION("SUMPRODUCT((IMPORTRANGE(""17XjIPGwafStTRf_8bPPaoi2EFjHVy10_rRJ0uvy6YcU"",""M:M"")=B13)*1, IMPORTRANGE(""17XjIPGwafStTRf_8bPPaoi2EFjHVy10_rRJ0uvy6YcU"",""X:X""))"),70.0)</f>
        <v>70</v>
      </c>
      <c r="G13" s="26">
        <f>IFERROR(__xludf.DUMMYFUNCTION("COUNTIF(IMPORTRANGE(""17XjIPGwafStTRf_8bPPaoi2EFjHVy10_rRJ0uvy6YcU"",""M:M""), B13)"),33.0)</f>
        <v>33</v>
      </c>
      <c r="H13" s="27">
        <f t="shared" si="1"/>
        <v>2.121212121</v>
      </c>
      <c r="I13" s="28">
        <f t="shared" si="2"/>
        <v>0.180100776</v>
      </c>
      <c r="J13" s="29">
        <f t="shared" si="3"/>
        <v>0.2784808291</v>
      </c>
      <c r="K13" s="32"/>
      <c r="L13" s="31" t="str">
        <f t="shared" si="4"/>
        <v/>
      </c>
      <c r="M13" s="31" t="str">
        <f t="shared" si="5"/>
        <v/>
      </c>
      <c r="N13" s="4"/>
    </row>
    <row r="14">
      <c r="A14" s="1"/>
      <c r="B14" s="23">
        <f t="shared" si="6"/>
        <v>44478</v>
      </c>
      <c r="C14" s="24">
        <f>IFERROR(__xludf.DUMMYFUNCTION("SUMPRODUCT((IMPORTRANGE(""17XjIPGwafStTRf_8bPPaoi2EFjHVy10_rRJ0uvy6YcU"",""M:M"")=B14)*1, IMPORTRANGE(""17XjIPGwafStTRf_8bPPaoi2EFjHVy10_rRJ0uvy6YcU"",""X:X""), IMPORTRANGE(""17XjIPGwafStTRf_8bPPaoi2EFjHVy10_rRJ0uvy6YcU"",""AK:AK"")) - SUMPRODUCT((IMPORTR"&amp;"ANGE(""17XjIPGwafStTRf_8bPPaoi2EFjHVy10_rRJ0uvy6YcU"",""M:M"")=B14)*1, IMPORTRANGE(""17XjIPGwafStTRf_8bPPaoi2EFjHVy10_rRJ0uvy6YcU"",""X:X""), IMPORTRANGE(""17XjIPGwafStTRf_8bPPaoi2EFjHVy10_rRJ0uvy6YcU"",""AL:AL""))"),471704.0)</f>
        <v>471704</v>
      </c>
      <c r="D14" s="24">
        <f>IFERROR(__xludf.DUMMYFUNCTION("SUMPRODUCT((IMPORTRANGE(""17XjIPGwafStTRf_8bPPaoi2EFjHVy10_rRJ0uvy6YcU"",""M:M"")=B14)*1, IMPORTRANGE(""17XjIPGwafStTRf_8bPPaoi2EFjHVy10_rRJ0uvy6YcU"",""X:X""), IMPORTRANGE(""17XjIPGwafStTRf_8bPPaoi2EFjHVy10_rRJ0uvy6YcU"",""AA:AA"")) + SUMPRODUCT((IMPORTR"&amp;"ANGE(""17XjIPGwafStTRf_8bPPaoi2EFjHVy10_rRJ0uvy6YcU"",""M:M"")=B14)*1, IMPORTRANGE(""17XjIPGwafStTRf_8bPPaoi2EFjHVy10_rRJ0uvy6YcU"",""X:X""), IMPORTRANGE(""17XjIPGwafStTRf_8bPPaoi2EFjHVy10_rRJ0uvy6YcU"",""AE:AE"")) + SUMPRODUCT((IMPORTRANGE(""17XjIPGwafSt"&amp;"TRf_8bPPaoi2EFjHVy10_rRJ0uvy6YcU"",""M:M"")=B14)*1, IMPORTRANGE(""17XjIPGwafStTRf_8bPPaoi2EFjHVy10_rRJ0uvy6YcU"",""X:X""), IMPORTRANGE(""17XjIPGwafStTRf_8bPPaoi2EFjHVy10_rRJ0uvy6YcU"",""AF:AF""))"),335924.4104059914)</f>
        <v>335924.4104</v>
      </c>
      <c r="E14" s="24">
        <f>IFERROR(__xludf.DUMMYFUNCTION("SUMPRODUCT((IMPORTRANGE(""17XjIPGwafStTRf_8bPPaoi2EFjHVy10_rRJ0uvy6YcU"",""M:M"")=B14)*1, IMPORTRANGE(""17XjIPGwafStTRf_8bPPaoi2EFjHVy10_rRJ0uvy6YcU"",""X:X""), IMPORTRANGE(""17XjIPGwafStTRf_8bPPaoi2EFjHVy10_rRJ0uvy6YcU"",""AO:AO""))"),60051.49404115316)</f>
        <v>60051.49404</v>
      </c>
      <c r="F14" s="25">
        <f>IFERROR(__xludf.DUMMYFUNCTION("SUMPRODUCT((IMPORTRANGE(""17XjIPGwafStTRf_8bPPaoi2EFjHVy10_rRJ0uvy6YcU"",""M:M"")=B14)*1, IMPORTRANGE(""17XjIPGwafStTRf_8bPPaoi2EFjHVy10_rRJ0uvy6YcU"",""X:X""))"),55.0)</f>
        <v>55</v>
      </c>
      <c r="G14" s="26">
        <f>IFERROR(__xludf.DUMMYFUNCTION("COUNTIF(IMPORTRANGE(""17XjIPGwafStTRf_8bPPaoi2EFjHVy10_rRJ0uvy6YcU"",""M:M""), B14)"),28.0)</f>
        <v>28</v>
      </c>
      <c r="H14" s="27">
        <f t="shared" si="1"/>
        <v>1.964285714</v>
      </c>
      <c r="I14" s="28">
        <f t="shared" si="2"/>
        <v>0.1273075786</v>
      </c>
      <c r="J14" s="29">
        <f t="shared" si="3"/>
        <v>0.1787649012</v>
      </c>
      <c r="K14" s="32"/>
      <c r="L14" s="31" t="str">
        <f t="shared" si="4"/>
        <v/>
      </c>
      <c r="M14" s="31" t="str">
        <f t="shared" si="5"/>
        <v/>
      </c>
      <c r="N14" s="4"/>
    </row>
    <row r="15">
      <c r="A15" s="1"/>
      <c r="B15" s="23">
        <f t="shared" si="6"/>
        <v>44479</v>
      </c>
      <c r="C15" s="24">
        <f>IFERROR(__xludf.DUMMYFUNCTION("SUMPRODUCT((IMPORTRANGE(""17XjIPGwafStTRf_8bPPaoi2EFjHVy10_rRJ0uvy6YcU"",""M:M"")=B15)*1, IMPORTRANGE(""17XjIPGwafStTRf_8bPPaoi2EFjHVy10_rRJ0uvy6YcU"",""X:X""), IMPORTRANGE(""17XjIPGwafStTRf_8bPPaoi2EFjHVy10_rRJ0uvy6YcU"",""AK:AK"")) - SUMPRODUCT((IMPORTR"&amp;"ANGE(""17XjIPGwafStTRf_8bPPaoi2EFjHVy10_rRJ0uvy6YcU"",""M:M"")=B15)*1, IMPORTRANGE(""17XjIPGwafStTRf_8bPPaoi2EFjHVy10_rRJ0uvy6YcU"",""X:X""), IMPORTRANGE(""17XjIPGwafStTRf_8bPPaoi2EFjHVy10_rRJ0uvy6YcU"",""AL:AL""))"),403017.0)</f>
        <v>403017</v>
      </c>
      <c r="D15" s="24">
        <f>IFERROR(__xludf.DUMMYFUNCTION("SUMPRODUCT((IMPORTRANGE(""17XjIPGwafStTRf_8bPPaoi2EFjHVy10_rRJ0uvy6YcU"",""M:M"")=B15)*1, IMPORTRANGE(""17XjIPGwafStTRf_8bPPaoi2EFjHVy10_rRJ0uvy6YcU"",""X:X""), IMPORTRANGE(""17XjIPGwafStTRf_8bPPaoi2EFjHVy10_rRJ0uvy6YcU"",""AA:AA"")) + SUMPRODUCT((IMPORTR"&amp;"ANGE(""17XjIPGwafStTRf_8bPPaoi2EFjHVy10_rRJ0uvy6YcU"",""M:M"")=B15)*1, IMPORTRANGE(""17XjIPGwafStTRf_8bPPaoi2EFjHVy10_rRJ0uvy6YcU"",""X:X""), IMPORTRANGE(""17XjIPGwafStTRf_8bPPaoi2EFjHVy10_rRJ0uvy6YcU"",""AE:AE"")) + SUMPRODUCT((IMPORTRANGE(""17XjIPGwafSt"&amp;"TRf_8bPPaoi2EFjHVy10_rRJ0uvy6YcU"",""M:M"")=B15)*1, IMPORTRANGE(""17XjIPGwafStTRf_8bPPaoi2EFjHVy10_rRJ0uvy6YcU"",""X:X""), IMPORTRANGE(""17XjIPGwafStTRf_8bPPaoi2EFjHVy10_rRJ0uvy6YcU"",""AF:AF""))"),280241.498067282)</f>
        <v>280241.4981</v>
      </c>
      <c r="E15" s="24">
        <f>IFERROR(__xludf.DUMMYFUNCTION("SUMPRODUCT((IMPORTRANGE(""17XjIPGwafStTRf_8bPPaoi2EFjHVy10_rRJ0uvy6YcU"",""M:M"")=B15)*1, IMPORTRANGE(""17XjIPGwafStTRf_8bPPaoi2EFjHVy10_rRJ0uvy6YcU"",""X:X""), IMPORTRANGE(""17XjIPGwafStTRf_8bPPaoi2EFjHVy10_rRJ0uvy6YcU"",""AO:AO""))"),73897.10193271795)</f>
        <v>73897.10193</v>
      </c>
      <c r="F15" s="25">
        <f>IFERROR(__xludf.DUMMYFUNCTION("SUMPRODUCT((IMPORTRANGE(""17XjIPGwafStTRf_8bPPaoi2EFjHVy10_rRJ0uvy6YcU"",""M:M"")=B15)*1, IMPORTRANGE(""17XjIPGwafStTRf_8bPPaoi2EFjHVy10_rRJ0uvy6YcU"",""X:X""))"),52.0)</f>
        <v>52</v>
      </c>
      <c r="G15" s="26">
        <f>IFERROR(__xludf.DUMMYFUNCTION("COUNTIF(IMPORTRANGE(""17XjIPGwafStTRf_8bPPaoi2EFjHVy10_rRJ0uvy6YcU"",""M:M""), B15)"),28.0)</f>
        <v>28</v>
      </c>
      <c r="H15" s="27">
        <f t="shared" si="1"/>
        <v>1.857142857</v>
      </c>
      <c r="I15" s="28">
        <f t="shared" si="2"/>
        <v>0.1833597638</v>
      </c>
      <c r="J15" s="29">
        <f t="shared" si="3"/>
        <v>0.2636907897</v>
      </c>
      <c r="K15" s="30"/>
      <c r="L15" s="31" t="str">
        <f t="shared" si="4"/>
        <v/>
      </c>
      <c r="M15" s="31" t="str">
        <f t="shared" si="5"/>
        <v/>
      </c>
      <c r="N15" s="4"/>
    </row>
    <row r="16">
      <c r="A16" s="1"/>
      <c r="B16" s="23">
        <f t="shared" si="6"/>
        <v>44480</v>
      </c>
      <c r="C16" s="24">
        <f>IFERROR(__xludf.DUMMYFUNCTION("SUMPRODUCT((IMPORTRANGE(""17XjIPGwafStTRf_8bPPaoi2EFjHVy10_rRJ0uvy6YcU"",""M:M"")=B16)*1, IMPORTRANGE(""17XjIPGwafStTRf_8bPPaoi2EFjHVy10_rRJ0uvy6YcU"",""X:X""), IMPORTRANGE(""17XjIPGwafStTRf_8bPPaoi2EFjHVy10_rRJ0uvy6YcU"",""AK:AK"")) - SUMPRODUCT((IMPORTR"&amp;"ANGE(""17XjIPGwafStTRf_8bPPaoi2EFjHVy10_rRJ0uvy6YcU"",""M:M"")=B16)*1, IMPORTRANGE(""17XjIPGwafStTRf_8bPPaoi2EFjHVy10_rRJ0uvy6YcU"",""X:X""), IMPORTRANGE(""17XjIPGwafStTRf_8bPPaoi2EFjHVy10_rRJ0uvy6YcU"",""AL:AL""))"),739891.0)</f>
        <v>739891</v>
      </c>
      <c r="D16" s="24">
        <f>IFERROR(__xludf.DUMMYFUNCTION("SUMPRODUCT((IMPORTRANGE(""17XjIPGwafStTRf_8bPPaoi2EFjHVy10_rRJ0uvy6YcU"",""M:M"")=B16)*1, IMPORTRANGE(""17XjIPGwafStTRf_8bPPaoi2EFjHVy10_rRJ0uvy6YcU"",""X:X""), IMPORTRANGE(""17XjIPGwafStTRf_8bPPaoi2EFjHVy10_rRJ0uvy6YcU"",""AA:AA"")) + SUMPRODUCT((IMPORTR"&amp;"ANGE(""17XjIPGwafStTRf_8bPPaoi2EFjHVy10_rRJ0uvy6YcU"",""M:M"")=B16)*1, IMPORTRANGE(""17XjIPGwafStTRf_8bPPaoi2EFjHVy10_rRJ0uvy6YcU"",""X:X""), IMPORTRANGE(""17XjIPGwafStTRf_8bPPaoi2EFjHVy10_rRJ0uvy6YcU"",""AE:AE"")) + SUMPRODUCT((IMPORTRANGE(""17XjIPGwafSt"&amp;"TRf_8bPPaoi2EFjHVy10_rRJ0uvy6YcU"",""M:M"")=B16)*1, IMPORTRANGE(""17XjIPGwafStTRf_8bPPaoi2EFjHVy10_rRJ0uvy6YcU"",""X:X""), IMPORTRANGE(""17XjIPGwafStTRf_8bPPaoi2EFjHVy10_rRJ0uvy6YcU"",""AF:AF""))"),481627.8773529382)</f>
        <v>481627.8774</v>
      </c>
      <c r="E16" s="24">
        <f>IFERROR(__xludf.DUMMYFUNCTION("SUMPRODUCT((IMPORTRANGE(""17XjIPGwafStTRf_8bPPaoi2EFjHVy10_rRJ0uvy6YcU"",""M:M"")=B16)*1, IMPORTRANGE(""17XjIPGwafStTRf_8bPPaoi2EFjHVy10_rRJ0uvy6YcU"",""X:X""), IMPORTRANGE(""17XjIPGwafStTRf_8bPPaoi2EFjHVy10_rRJ0uvy6YcU"",""AO:AO""))"),160229.52706993138)</f>
        <v>160229.5271</v>
      </c>
      <c r="F16" s="25">
        <f>IFERROR(__xludf.DUMMYFUNCTION("SUMPRODUCT((IMPORTRANGE(""17XjIPGwafStTRf_8bPPaoi2EFjHVy10_rRJ0uvy6YcU"",""M:M"")=B16)*1, IMPORTRANGE(""17XjIPGwafStTRf_8bPPaoi2EFjHVy10_rRJ0uvy6YcU"",""X:X""))"),126.0)</f>
        <v>126</v>
      </c>
      <c r="G16" s="26">
        <f>IFERROR(__xludf.DUMMYFUNCTION("COUNTIF(IMPORTRANGE(""17XjIPGwafStTRf_8bPPaoi2EFjHVy10_rRJ0uvy6YcU"",""M:M""), B16)"),33.0)</f>
        <v>33</v>
      </c>
      <c r="H16" s="27">
        <f t="shared" si="1"/>
        <v>3.818181818</v>
      </c>
      <c r="I16" s="28">
        <f t="shared" si="2"/>
        <v>0.2165582864</v>
      </c>
      <c r="J16" s="29">
        <f t="shared" si="3"/>
        <v>0.332683249</v>
      </c>
      <c r="K16" s="32"/>
      <c r="L16" s="31" t="str">
        <f t="shared" si="4"/>
        <v/>
      </c>
      <c r="M16" s="31" t="str">
        <f t="shared" si="5"/>
        <v/>
      </c>
      <c r="N16" s="4"/>
    </row>
    <row r="17">
      <c r="A17" s="1"/>
      <c r="B17" s="23">
        <f t="shared" si="6"/>
        <v>44481</v>
      </c>
      <c r="C17" s="24">
        <f>IFERROR(__xludf.DUMMYFUNCTION("SUMPRODUCT((IMPORTRANGE(""17XjIPGwafStTRf_8bPPaoi2EFjHVy10_rRJ0uvy6YcU"",""M:M"")=B17)*1, IMPORTRANGE(""17XjIPGwafStTRf_8bPPaoi2EFjHVy10_rRJ0uvy6YcU"",""X:X""), IMPORTRANGE(""17XjIPGwafStTRf_8bPPaoi2EFjHVy10_rRJ0uvy6YcU"",""AK:AK"")) - SUMPRODUCT((IMPORTR"&amp;"ANGE(""17XjIPGwafStTRf_8bPPaoi2EFjHVy10_rRJ0uvy6YcU"",""M:M"")=B17)*1, IMPORTRANGE(""17XjIPGwafStTRf_8bPPaoi2EFjHVy10_rRJ0uvy6YcU"",""X:X""), IMPORTRANGE(""17XjIPGwafStTRf_8bPPaoi2EFjHVy10_rRJ0uvy6YcU"",""AL:AL""))"),216737.0)</f>
        <v>216737</v>
      </c>
      <c r="D17" s="24">
        <f>IFERROR(__xludf.DUMMYFUNCTION("SUMPRODUCT((IMPORTRANGE(""17XjIPGwafStTRf_8bPPaoi2EFjHVy10_rRJ0uvy6YcU"",""M:M"")=B17)*1, IMPORTRANGE(""17XjIPGwafStTRf_8bPPaoi2EFjHVy10_rRJ0uvy6YcU"",""X:X""), IMPORTRANGE(""17XjIPGwafStTRf_8bPPaoi2EFjHVy10_rRJ0uvy6YcU"",""AA:AA"")) + SUMPRODUCT((IMPORTR"&amp;"ANGE(""17XjIPGwafStTRf_8bPPaoi2EFjHVy10_rRJ0uvy6YcU"",""M:M"")=B17)*1, IMPORTRANGE(""17XjIPGwafStTRf_8bPPaoi2EFjHVy10_rRJ0uvy6YcU"",""X:X""), IMPORTRANGE(""17XjIPGwafStTRf_8bPPaoi2EFjHVy10_rRJ0uvy6YcU"",""AE:AE"")) + SUMPRODUCT((IMPORTRANGE(""17XjIPGwafSt"&amp;"TRf_8bPPaoi2EFjHVy10_rRJ0uvy6YcU"",""M:M"")=B17)*1, IMPORTRANGE(""17XjIPGwafStTRf_8bPPaoi2EFjHVy10_rRJ0uvy6YcU"",""X:X""), IMPORTRANGE(""17XjIPGwafStTRf_8bPPaoi2EFjHVy10_rRJ0uvy6YcU"",""AF:AF""))"),118985.4127428298)</f>
        <v>118985.4127</v>
      </c>
      <c r="E17" s="24">
        <f>IFERROR(__xludf.DUMMYFUNCTION("SUMPRODUCT((IMPORTRANGE(""17XjIPGwafStTRf_8bPPaoi2EFjHVy10_rRJ0uvy6YcU"",""M:M"")=B17)*1, IMPORTRANGE(""17XjIPGwafStTRf_8bPPaoi2EFjHVy10_rRJ0uvy6YcU"",""X:X""), IMPORTRANGE(""17XjIPGwafStTRf_8bPPaoi2EFjHVy10_rRJ0uvy6YcU"",""AO:AO""))"),52286.2872571702)</f>
        <v>52286.28726</v>
      </c>
      <c r="F17" s="25">
        <f>IFERROR(__xludf.DUMMYFUNCTION("SUMPRODUCT((IMPORTRANGE(""17XjIPGwafStTRf_8bPPaoi2EFjHVy10_rRJ0uvy6YcU"",""M:M"")=B17)*1, IMPORTRANGE(""17XjIPGwafStTRf_8bPPaoi2EFjHVy10_rRJ0uvy6YcU"",""X:X""))"),42.0)</f>
        <v>42</v>
      </c>
      <c r="G17" s="26">
        <f>IFERROR(__xludf.DUMMYFUNCTION("COUNTIF(IMPORTRANGE(""17XjIPGwafStTRf_8bPPaoi2EFjHVy10_rRJ0uvy6YcU"",""M:M""), B17)"),21.0)</f>
        <v>21</v>
      </c>
      <c r="H17" s="27">
        <f t="shared" si="1"/>
        <v>2</v>
      </c>
      <c r="I17" s="28">
        <f t="shared" si="2"/>
        <v>0.2412430146</v>
      </c>
      <c r="J17" s="29">
        <f t="shared" si="3"/>
        <v>0.4394344319</v>
      </c>
      <c r="K17" s="32"/>
      <c r="L17" s="31" t="str">
        <f t="shared" si="4"/>
        <v/>
      </c>
      <c r="M17" s="31" t="str">
        <f t="shared" si="5"/>
        <v/>
      </c>
      <c r="N17" s="4"/>
    </row>
    <row r="18">
      <c r="A18" s="1"/>
      <c r="B18" s="23">
        <f t="shared" si="6"/>
        <v>44482</v>
      </c>
      <c r="C18" s="24">
        <f>IFERROR(__xludf.DUMMYFUNCTION("SUMPRODUCT((IMPORTRANGE(""17XjIPGwafStTRf_8bPPaoi2EFjHVy10_rRJ0uvy6YcU"",""M:M"")=B18)*1, IMPORTRANGE(""17XjIPGwafStTRf_8bPPaoi2EFjHVy10_rRJ0uvy6YcU"",""X:X""), IMPORTRANGE(""17XjIPGwafStTRf_8bPPaoi2EFjHVy10_rRJ0uvy6YcU"",""AK:AK"")) - SUMPRODUCT((IMPORTR"&amp;"ANGE(""17XjIPGwafStTRf_8bPPaoi2EFjHVy10_rRJ0uvy6YcU"",""M:M"")=B18)*1, IMPORTRANGE(""17XjIPGwafStTRf_8bPPaoi2EFjHVy10_rRJ0uvy6YcU"",""X:X""), IMPORTRANGE(""17XjIPGwafStTRf_8bPPaoi2EFjHVy10_rRJ0uvy6YcU"",""AL:AL""))"),281592.0)</f>
        <v>281592</v>
      </c>
      <c r="D18" s="24">
        <f>IFERROR(__xludf.DUMMYFUNCTION("SUMPRODUCT((IMPORTRANGE(""17XjIPGwafStTRf_8bPPaoi2EFjHVy10_rRJ0uvy6YcU"",""M:M"")=B18)*1, IMPORTRANGE(""17XjIPGwafStTRf_8bPPaoi2EFjHVy10_rRJ0uvy6YcU"",""X:X""), IMPORTRANGE(""17XjIPGwafStTRf_8bPPaoi2EFjHVy10_rRJ0uvy6YcU"",""AA:AA"")) + SUMPRODUCT((IMPORTR"&amp;"ANGE(""17XjIPGwafStTRf_8bPPaoi2EFjHVy10_rRJ0uvy6YcU"",""M:M"")=B18)*1, IMPORTRANGE(""17XjIPGwafStTRf_8bPPaoi2EFjHVy10_rRJ0uvy6YcU"",""X:X""), IMPORTRANGE(""17XjIPGwafStTRf_8bPPaoi2EFjHVy10_rRJ0uvy6YcU"",""AE:AE"")) + SUMPRODUCT((IMPORTRANGE(""17XjIPGwafSt"&amp;"TRf_8bPPaoi2EFjHVy10_rRJ0uvy6YcU"",""M:M"")=B18)*1, IMPORTRANGE(""17XjIPGwafStTRf_8bPPaoi2EFjHVy10_rRJ0uvy6YcU"",""X:X""), IMPORTRANGE(""17XjIPGwafStTRf_8bPPaoi2EFjHVy10_rRJ0uvy6YcU"",""AF:AF""))"),180460.65526406534)</f>
        <v>180460.6553</v>
      </c>
      <c r="E18" s="24">
        <f>IFERROR(__xludf.DUMMYFUNCTION("SUMPRODUCT((IMPORTRANGE(""17XjIPGwafStTRf_8bPPaoi2EFjHVy10_rRJ0uvy6YcU"",""M:M"")=B18)*1, IMPORTRANGE(""17XjIPGwafStTRf_8bPPaoi2EFjHVy10_rRJ0uvy6YcU"",""X:X""), IMPORTRANGE(""17XjIPGwafStTRf_8bPPaoi2EFjHVy10_rRJ0uvy6YcU"",""AO:AO""))"),55679.08473593466)</f>
        <v>55679.08474</v>
      </c>
      <c r="F18" s="25">
        <f>IFERROR(__xludf.DUMMYFUNCTION("SUMPRODUCT((IMPORTRANGE(""17XjIPGwafStTRf_8bPPaoi2EFjHVy10_rRJ0uvy6YcU"",""M:M"")=B18)*1, IMPORTRANGE(""17XjIPGwafStTRf_8bPPaoi2EFjHVy10_rRJ0uvy6YcU"",""X:X""))"),44.0)</f>
        <v>44</v>
      </c>
      <c r="G18" s="26">
        <f>IFERROR(__xludf.DUMMYFUNCTION("COUNTIF(IMPORTRANGE(""17XjIPGwafStTRf_8bPPaoi2EFjHVy10_rRJ0uvy6YcU"",""M:M""), B18)"),22.0)</f>
        <v>22</v>
      </c>
      <c r="H18" s="27">
        <f t="shared" si="1"/>
        <v>2</v>
      </c>
      <c r="I18" s="28">
        <f t="shared" si="2"/>
        <v>0.1977296398</v>
      </c>
      <c r="J18" s="29">
        <f t="shared" si="3"/>
        <v>0.3085386377</v>
      </c>
      <c r="K18" s="32"/>
      <c r="L18" s="31" t="str">
        <f t="shared" si="4"/>
        <v/>
      </c>
      <c r="M18" s="31" t="str">
        <f t="shared" si="5"/>
        <v/>
      </c>
      <c r="N18" s="4"/>
    </row>
    <row r="19">
      <c r="A19" s="1"/>
      <c r="B19" s="23">
        <f t="shared" si="6"/>
        <v>44483</v>
      </c>
      <c r="C19" s="24">
        <f>IFERROR(__xludf.DUMMYFUNCTION("SUMPRODUCT((IMPORTRANGE(""17XjIPGwafStTRf_8bPPaoi2EFjHVy10_rRJ0uvy6YcU"",""M:M"")=B19)*1, IMPORTRANGE(""17XjIPGwafStTRf_8bPPaoi2EFjHVy10_rRJ0uvy6YcU"",""X:X""), IMPORTRANGE(""17XjIPGwafStTRf_8bPPaoi2EFjHVy10_rRJ0uvy6YcU"",""AK:AK"")) - SUMPRODUCT((IMPORTR"&amp;"ANGE(""17XjIPGwafStTRf_8bPPaoi2EFjHVy10_rRJ0uvy6YcU"",""M:M"")=B19)*1, IMPORTRANGE(""17XjIPGwafStTRf_8bPPaoi2EFjHVy10_rRJ0uvy6YcU"",""X:X""), IMPORTRANGE(""17XjIPGwafStTRf_8bPPaoi2EFjHVy10_rRJ0uvy6YcU"",""AL:AL""))"),327890.0)</f>
        <v>327890</v>
      </c>
      <c r="D19" s="24">
        <f>IFERROR(__xludf.DUMMYFUNCTION("SUMPRODUCT((IMPORTRANGE(""17XjIPGwafStTRf_8bPPaoi2EFjHVy10_rRJ0uvy6YcU"",""M:M"")=B19)*1, IMPORTRANGE(""17XjIPGwafStTRf_8bPPaoi2EFjHVy10_rRJ0uvy6YcU"",""X:X""), IMPORTRANGE(""17XjIPGwafStTRf_8bPPaoi2EFjHVy10_rRJ0uvy6YcU"",""AA:AA"")) + SUMPRODUCT((IMPORTR"&amp;"ANGE(""17XjIPGwafStTRf_8bPPaoi2EFjHVy10_rRJ0uvy6YcU"",""M:M"")=B19)*1, IMPORTRANGE(""17XjIPGwafStTRf_8bPPaoi2EFjHVy10_rRJ0uvy6YcU"",""X:X""), IMPORTRANGE(""17XjIPGwafStTRf_8bPPaoi2EFjHVy10_rRJ0uvy6YcU"",""AE:AE"")) + SUMPRODUCT((IMPORTRANGE(""17XjIPGwafSt"&amp;"TRf_8bPPaoi2EFjHVy10_rRJ0uvy6YcU"",""M:M"")=B19)*1, IMPORTRANGE(""17XjIPGwafStTRf_8bPPaoi2EFjHVy10_rRJ0uvy6YcU"",""X:X""), IMPORTRANGE(""17XjIPGwafStTRf_8bPPaoi2EFjHVy10_rRJ0uvy6YcU"",""AF:AF""))"),212695.00447534857)</f>
        <v>212695.0045</v>
      </c>
      <c r="E19" s="24">
        <f>IFERROR(__xludf.DUMMYFUNCTION("SUMPRODUCT((IMPORTRANGE(""17XjIPGwafStTRf_8bPPaoi2EFjHVy10_rRJ0uvy6YcU"",""M:M"")=B19)*1, IMPORTRANGE(""17XjIPGwafStTRf_8bPPaoi2EFjHVy10_rRJ0uvy6YcU"",""X:X""), IMPORTRANGE(""17XjIPGwafStTRf_8bPPaoi2EFjHVy10_rRJ0uvy6YcU"",""AO:AO""))"),50710.23334154321)</f>
        <v>50710.23334</v>
      </c>
      <c r="F19" s="25">
        <f>IFERROR(__xludf.DUMMYFUNCTION("SUMPRODUCT((IMPORTRANGE(""17XjIPGwafStTRf_8bPPaoi2EFjHVy10_rRJ0uvy6YcU"",""M:M"")=B19)*1, IMPORTRANGE(""17XjIPGwafStTRf_8bPPaoi2EFjHVy10_rRJ0uvy6YcU"",""X:X""))"),58.0)</f>
        <v>58</v>
      </c>
      <c r="G19" s="26">
        <f>IFERROR(__xludf.DUMMYFUNCTION("COUNTIF(IMPORTRANGE(""17XjIPGwafStTRf_8bPPaoi2EFjHVy10_rRJ0uvy6YcU"",""M:M""), B19)"),30.0)</f>
        <v>30</v>
      </c>
      <c r="H19" s="27">
        <f t="shared" si="1"/>
        <v>1.933333333</v>
      </c>
      <c r="I19" s="28">
        <f t="shared" si="2"/>
        <v>0.1546562364</v>
      </c>
      <c r="J19" s="29">
        <f t="shared" si="3"/>
        <v>0.238417604</v>
      </c>
      <c r="K19" s="32"/>
      <c r="L19" s="31" t="str">
        <f t="shared" si="4"/>
        <v/>
      </c>
      <c r="M19" s="31" t="str">
        <f t="shared" si="5"/>
        <v/>
      </c>
      <c r="N19" s="4"/>
    </row>
    <row r="20">
      <c r="A20" s="1"/>
      <c r="B20" s="23">
        <f t="shared" si="6"/>
        <v>44484</v>
      </c>
      <c r="C20" s="24">
        <f>IFERROR(__xludf.DUMMYFUNCTION("SUMPRODUCT((IMPORTRANGE(""17XjIPGwafStTRf_8bPPaoi2EFjHVy10_rRJ0uvy6YcU"",""M:M"")=B20)*1, IMPORTRANGE(""17XjIPGwafStTRf_8bPPaoi2EFjHVy10_rRJ0uvy6YcU"",""X:X""), IMPORTRANGE(""17XjIPGwafStTRf_8bPPaoi2EFjHVy10_rRJ0uvy6YcU"",""AK:AK"")) - SUMPRODUCT((IMPORTR"&amp;"ANGE(""17XjIPGwafStTRf_8bPPaoi2EFjHVy10_rRJ0uvy6YcU"",""M:M"")=B20)*1, IMPORTRANGE(""17XjIPGwafStTRf_8bPPaoi2EFjHVy10_rRJ0uvy6YcU"",""X:X""), IMPORTRANGE(""17XjIPGwafStTRf_8bPPaoi2EFjHVy10_rRJ0uvy6YcU"",""AL:AL""))"),186651.0)</f>
        <v>186651</v>
      </c>
      <c r="D20" s="24">
        <f>IFERROR(__xludf.DUMMYFUNCTION("SUMPRODUCT((IMPORTRANGE(""17XjIPGwafStTRf_8bPPaoi2EFjHVy10_rRJ0uvy6YcU"",""M:M"")=B20)*1, IMPORTRANGE(""17XjIPGwafStTRf_8bPPaoi2EFjHVy10_rRJ0uvy6YcU"",""X:X""), IMPORTRANGE(""17XjIPGwafStTRf_8bPPaoi2EFjHVy10_rRJ0uvy6YcU"",""AA:AA"")) + SUMPRODUCT((IMPORTR"&amp;"ANGE(""17XjIPGwafStTRf_8bPPaoi2EFjHVy10_rRJ0uvy6YcU"",""M:M"")=B20)*1, IMPORTRANGE(""17XjIPGwafStTRf_8bPPaoi2EFjHVy10_rRJ0uvy6YcU"",""X:X""), IMPORTRANGE(""17XjIPGwafStTRf_8bPPaoi2EFjHVy10_rRJ0uvy6YcU"",""AE:AE"")) + SUMPRODUCT((IMPORTRANGE(""17XjIPGwafSt"&amp;"TRf_8bPPaoi2EFjHVy10_rRJ0uvy6YcU"",""M:M"")=B20)*1, IMPORTRANGE(""17XjIPGwafStTRf_8bPPaoi2EFjHVy10_rRJ0uvy6YcU"",""X:X""), IMPORTRANGE(""17XjIPGwafStTRf_8bPPaoi2EFjHVy10_rRJ0uvy6YcU"",""AF:AF""))"),119215.16992941062)</f>
        <v>119215.1699</v>
      </c>
      <c r="E20" s="24">
        <f>IFERROR(__xludf.DUMMYFUNCTION("SUMPRODUCT((IMPORTRANGE(""17XjIPGwafStTRf_8bPPaoi2EFjHVy10_rRJ0uvy6YcU"",""M:M"")=B20)*1, IMPORTRANGE(""17XjIPGwafStTRf_8bPPaoi2EFjHVy10_rRJ0uvy6YcU"",""X:X""), IMPORTRANGE(""17XjIPGwafStTRf_8bPPaoi2EFjHVy10_rRJ0uvy6YcU"",""AO:AO""))"),30733.83007058935)</f>
        <v>30733.83007</v>
      </c>
      <c r="F20" s="25">
        <f>IFERROR(__xludf.DUMMYFUNCTION("SUMPRODUCT((IMPORTRANGE(""17XjIPGwafStTRf_8bPPaoi2EFjHVy10_rRJ0uvy6YcU"",""M:M"")=B20)*1, IMPORTRANGE(""17XjIPGwafStTRf_8bPPaoi2EFjHVy10_rRJ0uvy6YcU"",""X:X""))"),42.0)</f>
        <v>42</v>
      </c>
      <c r="G20" s="26">
        <f>IFERROR(__xludf.DUMMYFUNCTION("COUNTIF(IMPORTRANGE(""17XjIPGwafStTRf_8bPPaoi2EFjHVy10_rRJ0uvy6YcU"",""M:M""), B20)"),11.0)</f>
        <v>11</v>
      </c>
      <c r="H20" s="27">
        <f t="shared" si="1"/>
        <v>3.818181818</v>
      </c>
      <c r="I20" s="28">
        <f t="shared" si="2"/>
        <v>0.1646593379</v>
      </c>
      <c r="J20" s="29">
        <f t="shared" si="3"/>
        <v>0.2578013359</v>
      </c>
      <c r="K20" s="32"/>
      <c r="L20" s="31" t="str">
        <f t="shared" si="4"/>
        <v/>
      </c>
      <c r="M20" s="31" t="str">
        <f t="shared" si="5"/>
        <v/>
      </c>
      <c r="N20" s="4"/>
    </row>
    <row r="21">
      <c r="A21" s="1"/>
      <c r="B21" s="23">
        <f t="shared" si="6"/>
        <v>44485</v>
      </c>
      <c r="C21" s="24">
        <f>IFERROR(__xludf.DUMMYFUNCTION("SUMPRODUCT((IMPORTRANGE(""17XjIPGwafStTRf_8bPPaoi2EFjHVy10_rRJ0uvy6YcU"",""M:M"")=B21)*1, IMPORTRANGE(""17XjIPGwafStTRf_8bPPaoi2EFjHVy10_rRJ0uvy6YcU"",""X:X""), IMPORTRANGE(""17XjIPGwafStTRf_8bPPaoi2EFjHVy10_rRJ0uvy6YcU"",""AK:AK"")) - SUMPRODUCT((IMPORTR"&amp;"ANGE(""17XjIPGwafStTRf_8bPPaoi2EFjHVy10_rRJ0uvy6YcU"",""M:M"")=B21)*1, IMPORTRANGE(""17XjIPGwafStTRf_8bPPaoi2EFjHVy10_rRJ0uvy6YcU"",""X:X""), IMPORTRANGE(""17XjIPGwafStTRf_8bPPaoi2EFjHVy10_rRJ0uvy6YcU"",""AL:AL""))"),616032.0)</f>
        <v>616032</v>
      </c>
      <c r="D21" s="24">
        <f>IFERROR(__xludf.DUMMYFUNCTION("SUMPRODUCT((IMPORTRANGE(""17XjIPGwafStTRf_8bPPaoi2EFjHVy10_rRJ0uvy6YcU"",""M:M"")=B21)*1, IMPORTRANGE(""17XjIPGwafStTRf_8bPPaoi2EFjHVy10_rRJ0uvy6YcU"",""X:X""), IMPORTRANGE(""17XjIPGwafStTRf_8bPPaoi2EFjHVy10_rRJ0uvy6YcU"",""AA:AA"")) + SUMPRODUCT((IMPORTR"&amp;"ANGE(""17XjIPGwafStTRf_8bPPaoi2EFjHVy10_rRJ0uvy6YcU"",""M:M"")=B21)*1, IMPORTRANGE(""17XjIPGwafStTRf_8bPPaoi2EFjHVy10_rRJ0uvy6YcU"",""X:X""), IMPORTRANGE(""17XjIPGwafStTRf_8bPPaoi2EFjHVy10_rRJ0uvy6YcU"",""AE:AE"")) + SUMPRODUCT((IMPORTRANGE(""17XjIPGwafSt"&amp;"TRf_8bPPaoi2EFjHVy10_rRJ0uvy6YcU"",""M:M"")=B21)*1, IMPORTRANGE(""17XjIPGwafStTRf_8bPPaoi2EFjHVy10_rRJ0uvy6YcU"",""X:X""), IMPORTRANGE(""17XjIPGwafStTRf_8bPPaoi2EFjHVy10_rRJ0uvy6YcU"",""AF:AF""))"),405613.4128)</f>
        <v>405613.4128</v>
      </c>
      <c r="E21" s="24">
        <f>IFERROR(__xludf.DUMMYFUNCTION("SUMPRODUCT((IMPORTRANGE(""17XjIPGwafStTRf_8bPPaoi2EFjHVy10_rRJ0uvy6YcU"",""M:M"")=B21)*1, IMPORTRANGE(""17XjIPGwafStTRf_8bPPaoi2EFjHVy10_rRJ0uvy6YcU"",""X:X""), IMPORTRANGE(""17XjIPGwafStTRf_8bPPaoi2EFjHVy10_rRJ0uvy6YcU"",""AO:AO""))"),60384.98720000005)</f>
        <v>60384.9872</v>
      </c>
      <c r="F21" s="25">
        <f>IFERROR(__xludf.DUMMYFUNCTION("SUMPRODUCT((IMPORTRANGE(""17XjIPGwafStTRf_8bPPaoi2EFjHVy10_rRJ0uvy6YcU"",""M:M"")=B21)*1, IMPORTRANGE(""17XjIPGwafStTRf_8bPPaoi2EFjHVy10_rRJ0uvy6YcU"",""X:X""))"),216.0)</f>
        <v>216</v>
      </c>
      <c r="G21" s="26">
        <f>IFERROR(__xludf.DUMMYFUNCTION("COUNTIF(IMPORTRANGE(""17XjIPGwafStTRf_8bPPaoi2EFjHVy10_rRJ0uvy6YcU"",""M:M""), B21)"),2.0)</f>
        <v>2</v>
      </c>
      <c r="H21" s="27">
        <f t="shared" si="1"/>
        <v>108</v>
      </c>
      <c r="I21" s="28">
        <f t="shared" si="2"/>
        <v>0.09802248455</v>
      </c>
      <c r="J21" s="29">
        <f t="shared" si="3"/>
        <v>0.1488732505</v>
      </c>
      <c r="K21" s="32"/>
      <c r="L21" s="31" t="str">
        <f t="shared" si="4"/>
        <v/>
      </c>
      <c r="M21" s="31" t="str">
        <f t="shared" si="5"/>
        <v/>
      </c>
      <c r="N21" s="4"/>
    </row>
    <row r="22">
      <c r="A22" s="1"/>
      <c r="B22" s="23">
        <f t="shared" si="6"/>
        <v>44486</v>
      </c>
      <c r="C22" s="24">
        <f>IFERROR(__xludf.DUMMYFUNCTION("SUMPRODUCT((IMPORTRANGE(""17XjIPGwafStTRf_8bPPaoi2EFjHVy10_rRJ0uvy6YcU"",""M:M"")=B22)*1, IMPORTRANGE(""17XjIPGwafStTRf_8bPPaoi2EFjHVy10_rRJ0uvy6YcU"",""X:X""), IMPORTRANGE(""17XjIPGwafStTRf_8bPPaoi2EFjHVy10_rRJ0uvy6YcU"",""AK:AK"")) - SUMPRODUCT((IMPORTR"&amp;"ANGE(""17XjIPGwafStTRf_8bPPaoi2EFjHVy10_rRJ0uvy6YcU"",""M:M"")=B22)*1, IMPORTRANGE(""17XjIPGwafStTRf_8bPPaoi2EFjHVy10_rRJ0uvy6YcU"",""X:X""), IMPORTRANGE(""17XjIPGwafStTRf_8bPPaoi2EFjHVy10_rRJ0uvy6YcU"",""AL:AL""))"),729851.0)</f>
        <v>729851</v>
      </c>
      <c r="D22" s="24">
        <f>IFERROR(__xludf.DUMMYFUNCTION("SUMPRODUCT((IMPORTRANGE(""17XjIPGwafStTRf_8bPPaoi2EFjHVy10_rRJ0uvy6YcU"",""M:M"")=B22)*1, IMPORTRANGE(""17XjIPGwafStTRf_8bPPaoi2EFjHVy10_rRJ0uvy6YcU"",""X:X""), IMPORTRANGE(""17XjIPGwafStTRf_8bPPaoi2EFjHVy10_rRJ0uvy6YcU"",""AA:AA"")) + SUMPRODUCT((IMPORTR"&amp;"ANGE(""17XjIPGwafStTRf_8bPPaoi2EFjHVy10_rRJ0uvy6YcU"",""M:M"")=B22)*1, IMPORTRANGE(""17XjIPGwafStTRf_8bPPaoi2EFjHVy10_rRJ0uvy6YcU"",""X:X""), IMPORTRANGE(""17XjIPGwafStTRf_8bPPaoi2EFjHVy10_rRJ0uvy6YcU"",""AE:AE"")) + SUMPRODUCT((IMPORTRANGE(""17XjIPGwafSt"&amp;"TRf_8bPPaoi2EFjHVy10_rRJ0uvy6YcU"",""M:M"")=B22)*1, IMPORTRANGE(""17XjIPGwafStTRf_8bPPaoi2EFjHVy10_rRJ0uvy6YcU"",""X:X""), IMPORTRANGE(""17XjIPGwafStTRf_8bPPaoi2EFjHVy10_rRJ0uvy6YcU"",""AF:AF""))"),495872.6628998044)</f>
        <v>495872.6629</v>
      </c>
      <c r="E22" s="24">
        <f>IFERROR(__xludf.DUMMYFUNCTION("SUMPRODUCT((IMPORTRANGE(""17XjIPGwafStTRf_8bPPaoi2EFjHVy10_rRJ0uvy6YcU"",""M:M"")=B22)*1, IMPORTRANGE(""17XjIPGwafStTRf_8bPPaoi2EFjHVy10_rRJ0uvy6YcU"",""X:X""), IMPORTRANGE(""17XjIPGwafStTRf_8bPPaoi2EFjHVy10_rRJ0uvy6YcU"",""AO:AO""))"),134964.53710019562)</f>
        <v>134964.5371</v>
      </c>
      <c r="F22" s="25">
        <f>IFERROR(__xludf.DUMMYFUNCTION("SUMPRODUCT((IMPORTRANGE(""17XjIPGwafStTRf_8bPPaoi2EFjHVy10_rRJ0uvy6YcU"",""M:M"")=B22)*1, IMPORTRANGE(""17XjIPGwafStTRf_8bPPaoi2EFjHVy10_rRJ0uvy6YcU"",""X:X""))"),118.0)</f>
        <v>118</v>
      </c>
      <c r="G22" s="26">
        <f>IFERROR(__xludf.DUMMYFUNCTION("COUNTIF(IMPORTRANGE(""17XjIPGwafStTRf_8bPPaoi2EFjHVy10_rRJ0uvy6YcU"",""M:M""), B22)"),36.0)</f>
        <v>36</v>
      </c>
      <c r="H22" s="27">
        <f t="shared" si="1"/>
        <v>3.277777778</v>
      </c>
      <c r="I22" s="28">
        <f t="shared" si="2"/>
        <v>0.1849206716</v>
      </c>
      <c r="J22" s="29">
        <f t="shared" si="3"/>
        <v>0.2721757967</v>
      </c>
      <c r="K22" s="32"/>
      <c r="L22" s="31" t="str">
        <f t="shared" si="4"/>
        <v/>
      </c>
      <c r="M22" s="31" t="str">
        <f t="shared" si="5"/>
        <v/>
      </c>
      <c r="N22" s="4"/>
    </row>
    <row r="23">
      <c r="A23" s="1"/>
      <c r="B23" s="23">
        <f t="shared" si="6"/>
        <v>44487</v>
      </c>
      <c r="C23" s="24">
        <f>IFERROR(__xludf.DUMMYFUNCTION("SUMPRODUCT((IMPORTRANGE(""17XjIPGwafStTRf_8bPPaoi2EFjHVy10_rRJ0uvy6YcU"",""M:M"")=B23)*1, IMPORTRANGE(""17XjIPGwafStTRf_8bPPaoi2EFjHVy10_rRJ0uvy6YcU"",""X:X""), IMPORTRANGE(""17XjIPGwafStTRf_8bPPaoi2EFjHVy10_rRJ0uvy6YcU"",""AK:AK"")) - SUMPRODUCT((IMPORTR"&amp;"ANGE(""17XjIPGwafStTRf_8bPPaoi2EFjHVy10_rRJ0uvy6YcU"",""M:M"")=B23)*1, IMPORTRANGE(""17XjIPGwafStTRf_8bPPaoi2EFjHVy10_rRJ0uvy6YcU"",""X:X""), IMPORTRANGE(""17XjIPGwafStTRf_8bPPaoi2EFjHVy10_rRJ0uvy6YcU"",""AL:AL""))"),47187.0)</f>
        <v>47187</v>
      </c>
      <c r="D23" s="24">
        <f>IFERROR(__xludf.DUMMYFUNCTION("SUMPRODUCT((IMPORTRANGE(""17XjIPGwafStTRf_8bPPaoi2EFjHVy10_rRJ0uvy6YcU"",""M:M"")=B23)*1, IMPORTRANGE(""17XjIPGwafStTRf_8bPPaoi2EFjHVy10_rRJ0uvy6YcU"",""X:X""), IMPORTRANGE(""17XjIPGwafStTRf_8bPPaoi2EFjHVy10_rRJ0uvy6YcU"",""AA:AA"")) + SUMPRODUCT((IMPORTR"&amp;"ANGE(""17XjIPGwafStTRf_8bPPaoi2EFjHVy10_rRJ0uvy6YcU"",""M:M"")=B23)*1, IMPORTRANGE(""17XjIPGwafStTRf_8bPPaoi2EFjHVy10_rRJ0uvy6YcU"",""X:X""), IMPORTRANGE(""17XjIPGwafStTRf_8bPPaoi2EFjHVy10_rRJ0uvy6YcU"",""AE:AE"")) + SUMPRODUCT((IMPORTRANGE(""17XjIPGwafSt"&amp;"TRf_8bPPaoi2EFjHVy10_rRJ0uvy6YcU"",""M:M"")=B23)*1, IMPORTRANGE(""17XjIPGwafStTRf_8bPPaoi2EFjHVy10_rRJ0uvy6YcU"",""X:X""), IMPORTRANGE(""17XjIPGwafStTRf_8bPPaoi2EFjHVy10_rRJ0uvy6YcU"",""AF:AF""))"),28340.182385549233)</f>
        <v>28340.18239</v>
      </c>
      <c r="E23" s="24">
        <f>IFERROR(__xludf.DUMMYFUNCTION("SUMPRODUCT((IMPORTRANGE(""17XjIPGwafStTRf_8bPPaoi2EFjHVy10_rRJ0uvy6YcU"",""M:M"")=B23)*1, IMPORTRANGE(""17XjIPGwafStTRf_8bPPaoi2EFjHVy10_rRJ0uvy6YcU"",""X:X""), IMPORTRANGE(""17XjIPGwafStTRf_8bPPaoi2EFjHVy10_rRJ0uvy6YcU"",""AO:AO""))"),8164.41136445077)</f>
        <v>8164.411364</v>
      </c>
      <c r="F23" s="25">
        <f>IFERROR(__xludf.DUMMYFUNCTION("SUMPRODUCT((IMPORTRANGE(""17XjIPGwafStTRf_8bPPaoi2EFjHVy10_rRJ0uvy6YcU"",""M:M"")=B23)*1, IMPORTRANGE(""17XjIPGwafStTRf_8bPPaoi2EFjHVy10_rRJ0uvy6YcU"",""X:X""))"),11.0)</f>
        <v>11</v>
      </c>
      <c r="G23" s="26">
        <f>IFERROR(__xludf.DUMMYFUNCTION("COUNTIF(IMPORTRANGE(""17XjIPGwafStTRf_8bPPaoi2EFjHVy10_rRJ0uvy6YcU"",""M:M""), B23)"),7.0)</f>
        <v>7</v>
      </c>
      <c r="H23" s="27">
        <f t="shared" si="1"/>
        <v>1.571428571</v>
      </c>
      <c r="I23" s="28">
        <f t="shared" si="2"/>
        <v>0.1730224715</v>
      </c>
      <c r="J23" s="29">
        <f t="shared" si="3"/>
        <v>0.2880860558</v>
      </c>
      <c r="K23" s="32"/>
      <c r="L23" s="31" t="str">
        <f t="shared" si="4"/>
        <v/>
      </c>
      <c r="M23" s="31" t="str">
        <f t="shared" si="5"/>
        <v/>
      </c>
      <c r="N23" s="4"/>
    </row>
    <row r="24">
      <c r="A24" s="1"/>
      <c r="B24" s="23">
        <f t="shared" si="6"/>
        <v>44488</v>
      </c>
      <c r="C24" s="24">
        <f>IFERROR(__xludf.DUMMYFUNCTION("SUMPRODUCT((IMPORTRANGE(""17XjIPGwafStTRf_8bPPaoi2EFjHVy10_rRJ0uvy6YcU"",""M:M"")=B24)*1, IMPORTRANGE(""17XjIPGwafStTRf_8bPPaoi2EFjHVy10_rRJ0uvy6YcU"",""X:X""), IMPORTRANGE(""17XjIPGwafStTRf_8bPPaoi2EFjHVy10_rRJ0uvy6YcU"",""AK:AK"")) - SUMPRODUCT((IMPORTR"&amp;"ANGE(""17XjIPGwafStTRf_8bPPaoi2EFjHVy10_rRJ0uvy6YcU"",""M:M"")=B24)*1, IMPORTRANGE(""17XjIPGwafStTRf_8bPPaoi2EFjHVy10_rRJ0uvy6YcU"",""X:X""), IMPORTRANGE(""17XjIPGwafStTRf_8bPPaoi2EFjHVy10_rRJ0uvy6YcU"",""AL:AL""))"),433407.0)</f>
        <v>433407</v>
      </c>
      <c r="D24" s="24">
        <f>IFERROR(__xludf.DUMMYFUNCTION("SUMPRODUCT((IMPORTRANGE(""17XjIPGwafStTRf_8bPPaoi2EFjHVy10_rRJ0uvy6YcU"",""M:M"")=B24)*1, IMPORTRANGE(""17XjIPGwafStTRf_8bPPaoi2EFjHVy10_rRJ0uvy6YcU"",""X:X""), IMPORTRANGE(""17XjIPGwafStTRf_8bPPaoi2EFjHVy10_rRJ0uvy6YcU"",""AA:AA"")) + SUMPRODUCT((IMPORTR"&amp;"ANGE(""17XjIPGwafStTRf_8bPPaoi2EFjHVy10_rRJ0uvy6YcU"",""M:M"")=B24)*1, IMPORTRANGE(""17XjIPGwafStTRf_8bPPaoi2EFjHVy10_rRJ0uvy6YcU"",""X:X""), IMPORTRANGE(""17XjIPGwafStTRf_8bPPaoi2EFjHVy10_rRJ0uvy6YcU"",""AE:AE"")) + SUMPRODUCT((IMPORTRANGE(""17XjIPGwafSt"&amp;"TRf_8bPPaoi2EFjHVy10_rRJ0uvy6YcU"",""M:M"")=B24)*1, IMPORTRANGE(""17XjIPGwafStTRf_8bPPaoi2EFjHVy10_rRJ0uvy6YcU"",""X:X""), IMPORTRANGE(""17XjIPGwafStTRf_8bPPaoi2EFjHVy10_rRJ0uvy6YcU"",""AF:AF""))"),275539.0877375587)</f>
        <v>275539.0877</v>
      </c>
      <c r="E24" s="24">
        <f>IFERROR(__xludf.DUMMYFUNCTION("SUMPRODUCT((IMPORTRANGE(""17XjIPGwafStTRf_8bPPaoi2EFjHVy10_rRJ0uvy6YcU"",""M:M"")=B24)*1, IMPORTRANGE(""17XjIPGwafStTRf_8bPPaoi2EFjHVy10_rRJ0uvy6YcU"",""X:X""), IMPORTRANGE(""17XjIPGwafStTRf_8bPPaoi2EFjHVy10_rRJ0uvy6YcU"",""AO:AO""))"),92054.9122624413)</f>
        <v>92054.91226</v>
      </c>
      <c r="F24" s="25">
        <f>IFERROR(__xludf.DUMMYFUNCTION("SUMPRODUCT((IMPORTRANGE(""17XjIPGwafStTRf_8bPPaoi2EFjHVy10_rRJ0uvy6YcU"",""M:M"")=B24)*1, IMPORTRANGE(""17XjIPGwafStTRf_8bPPaoi2EFjHVy10_rRJ0uvy6YcU"",""X:X""))"),55.0)</f>
        <v>55</v>
      </c>
      <c r="G24" s="26">
        <f>IFERROR(__xludf.DUMMYFUNCTION("COUNTIF(IMPORTRANGE(""17XjIPGwafStTRf_8bPPaoi2EFjHVy10_rRJ0uvy6YcU"",""M:M""), B24)"),30.0)</f>
        <v>30</v>
      </c>
      <c r="H24" s="27">
        <f t="shared" si="1"/>
        <v>1.833333333</v>
      </c>
      <c r="I24" s="28">
        <f t="shared" si="2"/>
        <v>0.2123983052</v>
      </c>
      <c r="J24" s="29">
        <f t="shared" si="3"/>
        <v>0.3340902121</v>
      </c>
      <c r="K24" s="30"/>
      <c r="L24" s="31" t="str">
        <f t="shared" si="4"/>
        <v/>
      </c>
      <c r="M24" s="31" t="str">
        <f t="shared" si="5"/>
        <v/>
      </c>
      <c r="N24" s="4"/>
    </row>
    <row r="25">
      <c r="A25" s="1"/>
      <c r="B25" s="23">
        <f t="shared" si="6"/>
        <v>44489</v>
      </c>
      <c r="C25" s="24">
        <f>IFERROR(__xludf.DUMMYFUNCTION("SUMPRODUCT((IMPORTRANGE(""17XjIPGwafStTRf_8bPPaoi2EFjHVy10_rRJ0uvy6YcU"",""M:M"")=B25)*1, IMPORTRANGE(""17XjIPGwafStTRf_8bPPaoi2EFjHVy10_rRJ0uvy6YcU"",""X:X""), IMPORTRANGE(""17XjIPGwafStTRf_8bPPaoi2EFjHVy10_rRJ0uvy6YcU"",""AK:AK"")) - SUMPRODUCT((IMPORTR"&amp;"ANGE(""17XjIPGwafStTRf_8bPPaoi2EFjHVy10_rRJ0uvy6YcU"",""M:M"")=B25)*1, IMPORTRANGE(""17XjIPGwafStTRf_8bPPaoi2EFjHVy10_rRJ0uvy6YcU"",""X:X""), IMPORTRANGE(""17XjIPGwafStTRf_8bPPaoi2EFjHVy10_rRJ0uvy6YcU"",""AL:AL""))"),172013.0)</f>
        <v>172013</v>
      </c>
      <c r="D25" s="24">
        <f>IFERROR(__xludf.DUMMYFUNCTION("SUMPRODUCT((IMPORTRANGE(""17XjIPGwafStTRf_8bPPaoi2EFjHVy10_rRJ0uvy6YcU"",""M:M"")=B25)*1, IMPORTRANGE(""17XjIPGwafStTRf_8bPPaoi2EFjHVy10_rRJ0uvy6YcU"",""X:X""), IMPORTRANGE(""17XjIPGwafStTRf_8bPPaoi2EFjHVy10_rRJ0uvy6YcU"",""AA:AA"")) + SUMPRODUCT((IMPORTR"&amp;"ANGE(""17XjIPGwafStTRf_8bPPaoi2EFjHVy10_rRJ0uvy6YcU"",""M:M"")=B25)*1, IMPORTRANGE(""17XjIPGwafStTRf_8bPPaoi2EFjHVy10_rRJ0uvy6YcU"",""X:X""), IMPORTRANGE(""17XjIPGwafStTRf_8bPPaoi2EFjHVy10_rRJ0uvy6YcU"",""AE:AE"")) + SUMPRODUCT((IMPORTRANGE(""17XjIPGwafSt"&amp;"TRf_8bPPaoi2EFjHVy10_rRJ0uvy6YcU"",""M:M"")=B25)*1, IMPORTRANGE(""17XjIPGwafStTRf_8bPPaoi2EFjHVy10_rRJ0uvy6YcU"",""X:X""), IMPORTRANGE(""17XjIPGwafStTRf_8bPPaoi2EFjHVy10_rRJ0uvy6YcU"",""AF:AF""))"),104709.30306264783)</f>
        <v>104709.3031</v>
      </c>
      <c r="E25" s="24">
        <f>IFERROR(__xludf.DUMMYFUNCTION("SUMPRODUCT((IMPORTRANGE(""17XjIPGwafStTRf_8bPPaoi2EFjHVy10_rRJ0uvy6YcU"",""M:M"")=B25)*1, IMPORTRANGE(""17XjIPGwafStTRf_8bPPaoi2EFjHVy10_rRJ0uvy6YcU"",""X:X""), IMPORTRANGE(""17XjIPGwafStTRf_8bPPaoi2EFjHVy10_rRJ0uvy6YcU"",""AO:AO""))"),36958.09693735218)</f>
        <v>36958.09694</v>
      </c>
      <c r="F25" s="25">
        <f>IFERROR(__xludf.DUMMYFUNCTION("SUMPRODUCT((IMPORTRANGE(""17XjIPGwafStTRf_8bPPaoi2EFjHVy10_rRJ0uvy6YcU"",""M:M"")=B25)*1, IMPORTRANGE(""17XjIPGwafStTRf_8bPPaoi2EFjHVy10_rRJ0uvy6YcU"",""X:X""))"),30.0)</f>
        <v>30</v>
      </c>
      <c r="G25" s="26">
        <f>IFERROR(__xludf.DUMMYFUNCTION("COUNTIF(IMPORTRANGE(""17XjIPGwafStTRf_8bPPaoi2EFjHVy10_rRJ0uvy6YcU"",""M:M""), B25)"),15.0)</f>
        <v>15</v>
      </c>
      <c r="H25" s="27">
        <f t="shared" si="1"/>
        <v>2</v>
      </c>
      <c r="I25" s="28">
        <f t="shared" si="2"/>
        <v>0.2148564175</v>
      </c>
      <c r="J25" s="29">
        <f t="shared" si="3"/>
        <v>0.3529590577</v>
      </c>
      <c r="K25" s="32"/>
      <c r="L25" s="31" t="str">
        <f t="shared" si="4"/>
        <v/>
      </c>
      <c r="M25" s="31" t="str">
        <f t="shared" si="5"/>
        <v/>
      </c>
      <c r="N25" s="4"/>
    </row>
    <row r="26">
      <c r="A26" s="1"/>
      <c r="B26" s="23">
        <f t="shared" si="6"/>
        <v>44490</v>
      </c>
      <c r="C26" s="24">
        <f>IFERROR(__xludf.DUMMYFUNCTION("SUMPRODUCT((IMPORTRANGE(""17XjIPGwafStTRf_8bPPaoi2EFjHVy10_rRJ0uvy6YcU"",""M:M"")=B26)*1, IMPORTRANGE(""17XjIPGwafStTRf_8bPPaoi2EFjHVy10_rRJ0uvy6YcU"",""X:X""), IMPORTRANGE(""17XjIPGwafStTRf_8bPPaoi2EFjHVy10_rRJ0uvy6YcU"",""AK:AK"")) - SUMPRODUCT((IMPORTR"&amp;"ANGE(""17XjIPGwafStTRf_8bPPaoi2EFjHVy10_rRJ0uvy6YcU"",""M:M"")=B26)*1, IMPORTRANGE(""17XjIPGwafStTRf_8bPPaoi2EFjHVy10_rRJ0uvy6YcU"",""X:X""), IMPORTRANGE(""17XjIPGwafStTRf_8bPPaoi2EFjHVy10_rRJ0uvy6YcU"",""AL:AL""))"),371580.0)</f>
        <v>371580</v>
      </c>
      <c r="D26" s="24">
        <f>IFERROR(__xludf.DUMMYFUNCTION("SUMPRODUCT((IMPORTRANGE(""17XjIPGwafStTRf_8bPPaoi2EFjHVy10_rRJ0uvy6YcU"",""M:M"")=B26)*1, IMPORTRANGE(""17XjIPGwafStTRf_8bPPaoi2EFjHVy10_rRJ0uvy6YcU"",""X:X""), IMPORTRANGE(""17XjIPGwafStTRf_8bPPaoi2EFjHVy10_rRJ0uvy6YcU"",""AA:AA"")) + SUMPRODUCT((IMPORTR"&amp;"ANGE(""17XjIPGwafStTRf_8bPPaoi2EFjHVy10_rRJ0uvy6YcU"",""M:M"")=B26)*1, IMPORTRANGE(""17XjIPGwafStTRf_8bPPaoi2EFjHVy10_rRJ0uvy6YcU"",""X:X""), IMPORTRANGE(""17XjIPGwafStTRf_8bPPaoi2EFjHVy10_rRJ0uvy6YcU"",""AE:AE"")) + SUMPRODUCT((IMPORTRANGE(""17XjIPGwafSt"&amp;"TRf_8bPPaoi2EFjHVy10_rRJ0uvy6YcU"",""M:M"")=B26)*1, IMPORTRANGE(""17XjIPGwafStTRf_8bPPaoi2EFjHVy10_rRJ0uvy6YcU"",""X:X""), IMPORTRANGE(""17XjIPGwafStTRf_8bPPaoi2EFjHVy10_rRJ0uvy6YcU"",""AF:AF""))"),270100.9133737758)</f>
        <v>270100.9134</v>
      </c>
      <c r="E26" s="24">
        <f>IFERROR(__xludf.DUMMYFUNCTION("SUMPRODUCT((IMPORTRANGE(""17XjIPGwafStTRf_8bPPaoi2EFjHVy10_rRJ0uvy6YcU"",""M:M"")=B26)*1, IMPORTRANGE(""17XjIPGwafStTRf_8bPPaoi2EFjHVy10_rRJ0uvy6YcU"",""X:X""), IMPORTRANGE(""17XjIPGwafStTRf_8bPPaoi2EFjHVy10_rRJ0uvy6YcU"",""AO:AO""))"),66983.50575867972)</f>
        <v>66983.50576</v>
      </c>
      <c r="F26" s="25">
        <f>IFERROR(__xludf.DUMMYFUNCTION("SUMPRODUCT((IMPORTRANGE(""17XjIPGwafStTRf_8bPPaoi2EFjHVy10_rRJ0uvy6YcU"",""M:M"")=B26)*1, IMPORTRANGE(""17XjIPGwafStTRf_8bPPaoi2EFjHVy10_rRJ0uvy6YcU"",""X:X""))"),49.0)</f>
        <v>49</v>
      </c>
      <c r="G26" s="26">
        <f>IFERROR(__xludf.DUMMYFUNCTION("COUNTIF(IMPORTRANGE(""17XjIPGwafStTRf_8bPPaoi2EFjHVy10_rRJ0uvy6YcU"",""M:M""), B26)"),20.0)</f>
        <v>20</v>
      </c>
      <c r="H26" s="27">
        <f t="shared" si="1"/>
        <v>2.45</v>
      </c>
      <c r="I26" s="28">
        <f t="shared" si="2"/>
        <v>0.1802667145</v>
      </c>
      <c r="J26" s="29">
        <f t="shared" si="3"/>
        <v>0.2479943697</v>
      </c>
      <c r="K26" s="30"/>
      <c r="L26" s="31" t="str">
        <f t="shared" si="4"/>
        <v/>
      </c>
      <c r="M26" s="31" t="str">
        <f t="shared" si="5"/>
        <v/>
      </c>
      <c r="N26" s="4"/>
    </row>
    <row r="27">
      <c r="A27" s="1"/>
      <c r="B27" s="23">
        <f t="shared" si="6"/>
        <v>44491</v>
      </c>
      <c r="C27" s="24">
        <f>IFERROR(__xludf.DUMMYFUNCTION("SUMPRODUCT((IMPORTRANGE(""17XjIPGwafStTRf_8bPPaoi2EFjHVy10_rRJ0uvy6YcU"",""M:M"")=B27)*1, IMPORTRANGE(""17XjIPGwafStTRf_8bPPaoi2EFjHVy10_rRJ0uvy6YcU"",""X:X""), IMPORTRANGE(""17XjIPGwafStTRf_8bPPaoi2EFjHVy10_rRJ0uvy6YcU"",""AK:AK"")) - SUMPRODUCT((IMPORTR"&amp;"ANGE(""17XjIPGwafStTRf_8bPPaoi2EFjHVy10_rRJ0uvy6YcU"",""M:M"")=B27)*1, IMPORTRANGE(""17XjIPGwafStTRf_8bPPaoi2EFjHVy10_rRJ0uvy6YcU"",""X:X""), IMPORTRANGE(""17XjIPGwafStTRf_8bPPaoi2EFjHVy10_rRJ0uvy6YcU"",""AL:AL""))"),324534.0)</f>
        <v>324534</v>
      </c>
      <c r="D27" s="24">
        <f>IFERROR(__xludf.DUMMYFUNCTION("SUMPRODUCT((IMPORTRANGE(""17XjIPGwafStTRf_8bPPaoi2EFjHVy10_rRJ0uvy6YcU"",""M:M"")=B27)*1, IMPORTRANGE(""17XjIPGwafStTRf_8bPPaoi2EFjHVy10_rRJ0uvy6YcU"",""X:X""), IMPORTRANGE(""17XjIPGwafStTRf_8bPPaoi2EFjHVy10_rRJ0uvy6YcU"",""AA:AA"")) + SUMPRODUCT((IMPORTR"&amp;"ANGE(""17XjIPGwafStTRf_8bPPaoi2EFjHVy10_rRJ0uvy6YcU"",""M:M"")=B27)*1, IMPORTRANGE(""17XjIPGwafStTRf_8bPPaoi2EFjHVy10_rRJ0uvy6YcU"",""X:X""), IMPORTRANGE(""17XjIPGwafStTRf_8bPPaoi2EFjHVy10_rRJ0uvy6YcU"",""AE:AE"")) + SUMPRODUCT((IMPORTRANGE(""17XjIPGwafSt"&amp;"TRf_8bPPaoi2EFjHVy10_rRJ0uvy6YcU"",""M:M"")=B27)*1, IMPORTRANGE(""17XjIPGwafStTRf_8bPPaoi2EFjHVy10_rRJ0uvy6YcU"",""X:X""), IMPORTRANGE(""17XjIPGwafStTRf_8bPPaoi2EFjHVy10_rRJ0uvy6YcU"",""AF:AF""))"),211063.35802976388)</f>
        <v>211063.358</v>
      </c>
      <c r="E27" s="24">
        <f>IFERROR(__xludf.DUMMYFUNCTION("SUMPRODUCT((IMPORTRANGE(""17XjIPGwafStTRf_8bPPaoi2EFjHVy10_rRJ0uvy6YcU"",""M:M"")=B27)*1, IMPORTRANGE(""17XjIPGwafStTRf_8bPPaoi2EFjHVy10_rRJ0uvy6YcU"",""X:X""), IMPORTRANGE(""17XjIPGwafStTRf_8bPPaoi2EFjHVy10_rRJ0uvy6YcU"",""AO:AO""))"),64479.61704662198)</f>
        <v>64479.61705</v>
      </c>
      <c r="F27" s="25">
        <f>IFERROR(__xludf.DUMMYFUNCTION("SUMPRODUCT((IMPORTRANGE(""17XjIPGwafStTRf_8bPPaoi2EFjHVy10_rRJ0uvy6YcU"",""M:M"")=B27)*1, IMPORTRANGE(""17XjIPGwafStTRf_8bPPaoi2EFjHVy10_rRJ0uvy6YcU"",""X:X""))"),35.0)</f>
        <v>35</v>
      </c>
      <c r="G27" s="26">
        <f>IFERROR(__xludf.DUMMYFUNCTION("COUNTIF(IMPORTRANGE(""17XjIPGwafStTRf_8bPPaoi2EFjHVy10_rRJ0uvy6YcU"",""M:M""), B27)"),18.0)</f>
        <v>18</v>
      </c>
      <c r="H27" s="27">
        <f t="shared" si="1"/>
        <v>1.944444444</v>
      </c>
      <c r="I27" s="28">
        <f t="shared" si="2"/>
        <v>0.1986837035</v>
      </c>
      <c r="J27" s="29">
        <f t="shared" si="3"/>
        <v>0.3054988684</v>
      </c>
      <c r="K27" s="32"/>
      <c r="L27" s="31" t="str">
        <f t="shared" si="4"/>
        <v/>
      </c>
      <c r="M27" s="31" t="str">
        <f t="shared" si="5"/>
        <v/>
      </c>
      <c r="N27" s="4"/>
    </row>
    <row r="28">
      <c r="A28" s="1"/>
      <c r="B28" s="23">
        <f t="shared" si="6"/>
        <v>44492</v>
      </c>
      <c r="C28" s="24">
        <f>IFERROR(__xludf.DUMMYFUNCTION("SUMPRODUCT((IMPORTRANGE(""17XjIPGwafStTRf_8bPPaoi2EFjHVy10_rRJ0uvy6YcU"",""M:M"")=B28)*1, IMPORTRANGE(""17XjIPGwafStTRf_8bPPaoi2EFjHVy10_rRJ0uvy6YcU"",""X:X""), IMPORTRANGE(""17XjIPGwafStTRf_8bPPaoi2EFjHVy10_rRJ0uvy6YcU"",""AK:AK"")) - SUMPRODUCT((IMPORTR"&amp;"ANGE(""17XjIPGwafStTRf_8bPPaoi2EFjHVy10_rRJ0uvy6YcU"",""M:M"")=B28)*1, IMPORTRANGE(""17XjIPGwafStTRf_8bPPaoi2EFjHVy10_rRJ0uvy6YcU"",""X:X""), IMPORTRANGE(""17XjIPGwafStTRf_8bPPaoi2EFjHVy10_rRJ0uvy6YcU"",""AL:AL""))"),394938.0)</f>
        <v>394938</v>
      </c>
      <c r="D28" s="24">
        <f>IFERROR(__xludf.DUMMYFUNCTION("SUMPRODUCT((IMPORTRANGE(""17XjIPGwafStTRf_8bPPaoi2EFjHVy10_rRJ0uvy6YcU"",""M:M"")=B28)*1, IMPORTRANGE(""17XjIPGwafStTRf_8bPPaoi2EFjHVy10_rRJ0uvy6YcU"",""X:X""), IMPORTRANGE(""17XjIPGwafStTRf_8bPPaoi2EFjHVy10_rRJ0uvy6YcU"",""AA:AA"")) + SUMPRODUCT((IMPORTR"&amp;"ANGE(""17XjIPGwafStTRf_8bPPaoi2EFjHVy10_rRJ0uvy6YcU"",""M:M"")=B28)*1, IMPORTRANGE(""17XjIPGwafStTRf_8bPPaoi2EFjHVy10_rRJ0uvy6YcU"",""X:X""), IMPORTRANGE(""17XjIPGwafStTRf_8bPPaoi2EFjHVy10_rRJ0uvy6YcU"",""AE:AE"")) + SUMPRODUCT((IMPORTRANGE(""17XjIPGwafSt"&amp;"TRf_8bPPaoi2EFjHVy10_rRJ0uvy6YcU"",""M:M"")=B28)*1, IMPORTRANGE(""17XjIPGwafStTRf_8bPPaoi2EFjHVy10_rRJ0uvy6YcU"",""X:X""), IMPORTRANGE(""17XjIPGwafStTRf_8bPPaoi2EFjHVy10_rRJ0uvy6YcU"",""AF:AF""))"),222282.8724890195)</f>
        <v>222282.8725</v>
      </c>
      <c r="E28" s="24">
        <f>IFERROR(__xludf.DUMMYFUNCTION("SUMPRODUCT((IMPORTRANGE(""17XjIPGwafStTRf_8bPPaoi2EFjHVy10_rRJ0uvy6YcU"",""M:M"")=B28)*1, IMPORTRANGE(""17XjIPGwafStTRf_8bPPaoi2EFjHVy10_rRJ0uvy6YcU"",""X:X""), IMPORTRANGE(""17XjIPGwafStTRf_8bPPaoi2EFjHVy10_rRJ0uvy6YcU"",""AO:AO""))"),109155.62751098053)</f>
        <v>109155.6275</v>
      </c>
      <c r="F28" s="25">
        <f>IFERROR(__xludf.DUMMYFUNCTION("SUMPRODUCT((IMPORTRANGE(""17XjIPGwafStTRf_8bPPaoi2EFjHVy10_rRJ0uvy6YcU"",""M:M"")=B28)*1, IMPORTRANGE(""17XjIPGwafStTRf_8bPPaoi2EFjHVy10_rRJ0uvy6YcU"",""X:X""))"),38.0)</f>
        <v>38</v>
      </c>
      <c r="G28" s="26">
        <f>IFERROR(__xludf.DUMMYFUNCTION("COUNTIF(IMPORTRANGE(""17XjIPGwafStTRf_8bPPaoi2EFjHVy10_rRJ0uvy6YcU"",""M:M""), B28)"),18.0)</f>
        <v>18</v>
      </c>
      <c r="H28" s="27">
        <f t="shared" si="1"/>
        <v>2.111111111</v>
      </c>
      <c r="I28" s="28">
        <f t="shared" si="2"/>
        <v>0.276386743</v>
      </c>
      <c r="J28" s="29">
        <f t="shared" si="3"/>
        <v>0.4910662989</v>
      </c>
      <c r="K28" s="32"/>
      <c r="L28" s="31" t="str">
        <f t="shared" si="4"/>
        <v/>
      </c>
      <c r="M28" s="31" t="str">
        <f t="shared" si="5"/>
        <v/>
      </c>
      <c r="N28" s="4"/>
    </row>
    <row r="29">
      <c r="A29" s="1"/>
      <c r="B29" s="23">
        <f t="shared" si="6"/>
        <v>44493</v>
      </c>
      <c r="C29" s="24">
        <f>IFERROR(__xludf.DUMMYFUNCTION("SUMPRODUCT((IMPORTRANGE(""17XjIPGwafStTRf_8bPPaoi2EFjHVy10_rRJ0uvy6YcU"",""M:M"")=B29)*1, IMPORTRANGE(""17XjIPGwafStTRf_8bPPaoi2EFjHVy10_rRJ0uvy6YcU"",""X:X""), IMPORTRANGE(""17XjIPGwafStTRf_8bPPaoi2EFjHVy10_rRJ0uvy6YcU"",""AK:AK"")) - SUMPRODUCT((IMPORTR"&amp;"ANGE(""17XjIPGwafStTRf_8bPPaoi2EFjHVy10_rRJ0uvy6YcU"",""M:M"")=B29)*1, IMPORTRANGE(""17XjIPGwafStTRf_8bPPaoi2EFjHVy10_rRJ0uvy6YcU"",""X:X""), IMPORTRANGE(""17XjIPGwafStTRf_8bPPaoi2EFjHVy10_rRJ0uvy6YcU"",""AL:AL""))"),179409.0)</f>
        <v>179409</v>
      </c>
      <c r="D29" s="24">
        <f>IFERROR(__xludf.DUMMYFUNCTION("SUMPRODUCT((IMPORTRANGE(""17XjIPGwafStTRf_8bPPaoi2EFjHVy10_rRJ0uvy6YcU"",""M:M"")=B29)*1, IMPORTRANGE(""17XjIPGwafStTRf_8bPPaoi2EFjHVy10_rRJ0uvy6YcU"",""X:X""), IMPORTRANGE(""17XjIPGwafStTRf_8bPPaoi2EFjHVy10_rRJ0uvy6YcU"",""AA:AA"")) + SUMPRODUCT((IMPORTR"&amp;"ANGE(""17XjIPGwafStTRf_8bPPaoi2EFjHVy10_rRJ0uvy6YcU"",""M:M"")=B29)*1, IMPORTRANGE(""17XjIPGwafStTRf_8bPPaoi2EFjHVy10_rRJ0uvy6YcU"",""X:X""), IMPORTRANGE(""17XjIPGwafStTRf_8bPPaoi2EFjHVy10_rRJ0uvy6YcU"",""AE:AE"")) + SUMPRODUCT((IMPORTRANGE(""17XjIPGwafSt"&amp;"TRf_8bPPaoi2EFjHVy10_rRJ0uvy6YcU"",""M:M"")=B29)*1, IMPORTRANGE(""17XjIPGwafStTRf_8bPPaoi2EFjHVy10_rRJ0uvy6YcU"",""X:X""), IMPORTRANGE(""17XjIPGwafStTRf_8bPPaoi2EFjHVy10_rRJ0uvy6YcU"",""AF:AF""))"),106601.22226874993)</f>
        <v>106601.2223</v>
      </c>
      <c r="E29" s="24">
        <f>IFERROR(__xludf.DUMMYFUNCTION("SUMPRODUCT((IMPORTRANGE(""17XjIPGwafStTRf_8bPPaoi2EFjHVy10_rRJ0uvy6YcU"",""M:M"")=B29)*1, IMPORTRANGE(""17XjIPGwafStTRf_8bPPaoi2EFjHVy10_rRJ0uvy6YcU"",""X:X""), IMPORTRANGE(""17XjIPGwafStTRf_8bPPaoi2EFjHVy10_rRJ0uvy6YcU"",""AO:AO""))"),46342.077731250065)</f>
        <v>46342.07773</v>
      </c>
      <c r="F29" s="25">
        <f>IFERROR(__xludf.DUMMYFUNCTION("SUMPRODUCT((IMPORTRANGE(""17XjIPGwafStTRf_8bPPaoi2EFjHVy10_rRJ0uvy6YcU"",""M:M"")=B29)*1, IMPORTRANGE(""17XjIPGwafStTRf_8bPPaoi2EFjHVy10_rRJ0uvy6YcU"",""X:X""))"),23.0)</f>
        <v>23</v>
      </c>
      <c r="G29" s="26">
        <f>IFERROR(__xludf.DUMMYFUNCTION("COUNTIF(IMPORTRANGE(""17XjIPGwafStTRf_8bPPaoi2EFjHVy10_rRJ0uvy6YcU"",""M:M""), B29)"),14.0)</f>
        <v>14</v>
      </c>
      <c r="H29" s="27">
        <f t="shared" si="1"/>
        <v>1.642857143</v>
      </c>
      <c r="I29" s="28">
        <f t="shared" si="2"/>
        <v>0.2583040858</v>
      </c>
      <c r="J29" s="29">
        <f t="shared" si="3"/>
        <v>0.4347236996</v>
      </c>
      <c r="K29" s="32"/>
      <c r="L29" s="31" t="str">
        <f t="shared" si="4"/>
        <v/>
      </c>
      <c r="M29" s="31" t="str">
        <f t="shared" si="5"/>
        <v/>
      </c>
      <c r="N29" s="4"/>
    </row>
    <row r="30">
      <c r="A30" s="1"/>
      <c r="B30" s="23">
        <f t="shared" si="6"/>
        <v>44494</v>
      </c>
      <c r="C30" s="24">
        <f>IFERROR(__xludf.DUMMYFUNCTION("SUMPRODUCT((IMPORTRANGE(""17XjIPGwafStTRf_8bPPaoi2EFjHVy10_rRJ0uvy6YcU"",""M:M"")=B30)*1, IMPORTRANGE(""17XjIPGwafStTRf_8bPPaoi2EFjHVy10_rRJ0uvy6YcU"",""X:X""), IMPORTRANGE(""17XjIPGwafStTRf_8bPPaoi2EFjHVy10_rRJ0uvy6YcU"",""AK:AK"")) - SUMPRODUCT((IMPORTR"&amp;"ANGE(""17XjIPGwafStTRf_8bPPaoi2EFjHVy10_rRJ0uvy6YcU"",""M:M"")=B30)*1, IMPORTRANGE(""17XjIPGwafStTRf_8bPPaoi2EFjHVy10_rRJ0uvy6YcU"",""X:X""), IMPORTRANGE(""17XjIPGwafStTRf_8bPPaoi2EFjHVy10_rRJ0uvy6YcU"",""AL:AL""))"),201815.0)</f>
        <v>201815</v>
      </c>
      <c r="D30" s="24">
        <f>IFERROR(__xludf.DUMMYFUNCTION("SUMPRODUCT((IMPORTRANGE(""17XjIPGwafStTRf_8bPPaoi2EFjHVy10_rRJ0uvy6YcU"",""M:M"")=B30)*1, IMPORTRANGE(""17XjIPGwafStTRf_8bPPaoi2EFjHVy10_rRJ0uvy6YcU"",""X:X""), IMPORTRANGE(""17XjIPGwafStTRf_8bPPaoi2EFjHVy10_rRJ0uvy6YcU"",""AA:AA"")) + SUMPRODUCT((IMPORTR"&amp;"ANGE(""17XjIPGwafStTRf_8bPPaoi2EFjHVy10_rRJ0uvy6YcU"",""M:M"")=B30)*1, IMPORTRANGE(""17XjIPGwafStTRf_8bPPaoi2EFjHVy10_rRJ0uvy6YcU"",""X:X""), IMPORTRANGE(""17XjIPGwafStTRf_8bPPaoi2EFjHVy10_rRJ0uvy6YcU"",""AE:AE"")) + SUMPRODUCT((IMPORTRANGE(""17XjIPGwafSt"&amp;"TRf_8bPPaoi2EFjHVy10_rRJ0uvy6YcU"",""M:M"")=B30)*1, IMPORTRANGE(""17XjIPGwafStTRf_8bPPaoi2EFjHVy10_rRJ0uvy6YcU"",""X:X""), IMPORTRANGE(""17XjIPGwafStTRf_8bPPaoi2EFjHVy10_rRJ0uvy6YcU"",""AF:AF""))"),118843.58339938967)</f>
        <v>118843.5834</v>
      </c>
      <c r="E30" s="24">
        <f>IFERROR(__xludf.DUMMYFUNCTION("SUMPRODUCT((IMPORTRANGE(""17XjIPGwafStTRf_8bPPaoi2EFjHVy10_rRJ0uvy6YcU"",""M:M"")=B30)*1, IMPORTRANGE(""17XjIPGwafStTRf_8bPPaoi2EFjHVy10_rRJ0uvy6YcU"",""X:X""), IMPORTRANGE(""17XjIPGwafStTRf_8bPPaoi2EFjHVy10_rRJ0uvy6YcU"",""AO:AO""))"),44843.81660061032)</f>
        <v>44843.8166</v>
      </c>
      <c r="F30" s="25">
        <f>IFERROR(__xludf.DUMMYFUNCTION("SUMPRODUCT((IMPORTRANGE(""17XjIPGwafStTRf_8bPPaoi2EFjHVy10_rRJ0uvy6YcU"",""M:M"")=B30)*1, IMPORTRANGE(""17XjIPGwafStTRf_8bPPaoi2EFjHVy10_rRJ0uvy6YcU"",""X:X""))"),30.0)</f>
        <v>30</v>
      </c>
      <c r="G30" s="26">
        <f>IFERROR(__xludf.DUMMYFUNCTION("COUNTIF(IMPORTRANGE(""17XjIPGwafStTRf_8bPPaoi2EFjHVy10_rRJ0uvy6YcU"",""M:M""), B30)"),21.0)</f>
        <v>21</v>
      </c>
      <c r="H30" s="27">
        <f t="shared" si="1"/>
        <v>1.428571429</v>
      </c>
      <c r="I30" s="28">
        <f t="shared" si="2"/>
        <v>0.2222025945</v>
      </c>
      <c r="J30" s="29">
        <f t="shared" si="3"/>
        <v>0.3773347733</v>
      </c>
      <c r="K30" s="30"/>
      <c r="L30" s="31" t="str">
        <f t="shared" si="4"/>
        <v/>
      </c>
      <c r="M30" s="31" t="str">
        <f t="shared" si="5"/>
        <v/>
      </c>
      <c r="N30" s="4"/>
    </row>
    <row r="31">
      <c r="A31" s="1"/>
      <c r="B31" s="23">
        <f t="shared" si="6"/>
        <v>44495</v>
      </c>
      <c r="C31" s="24">
        <f>IFERROR(__xludf.DUMMYFUNCTION("SUMPRODUCT((IMPORTRANGE(""17XjIPGwafStTRf_8bPPaoi2EFjHVy10_rRJ0uvy6YcU"",""M:M"")=B31)*1, IMPORTRANGE(""17XjIPGwafStTRf_8bPPaoi2EFjHVy10_rRJ0uvy6YcU"",""X:X""), IMPORTRANGE(""17XjIPGwafStTRf_8bPPaoi2EFjHVy10_rRJ0uvy6YcU"",""AK:AK"")) - SUMPRODUCT((IMPORTR"&amp;"ANGE(""17XjIPGwafStTRf_8bPPaoi2EFjHVy10_rRJ0uvy6YcU"",""M:M"")=B31)*1, IMPORTRANGE(""17XjIPGwafStTRf_8bPPaoi2EFjHVy10_rRJ0uvy6YcU"",""X:X""), IMPORTRANGE(""17XjIPGwafStTRf_8bPPaoi2EFjHVy10_rRJ0uvy6YcU"",""AL:AL""))"),278336.0)</f>
        <v>278336</v>
      </c>
      <c r="D31" s="24">
        <f>IFERROR(__xludf.DUMMYFUNCTION("SUMPRODUCT((IMPORTRANGE(""17XjIPGwafStTRf_8bPPaoi2EFjHVy10_rRJ0uvy6YcU"",""M:M"")=B31)*1, IMPORTRANGE(""17XjIPGwafStTRf_8bPPaoi2EFjHVy10_rRJ0uvy6YcU"",""X:X""), IMPORTRANGE(""17XjIPGwafStTRf_8bPPaoi2EFjHVy10_rRJ0uvy6YcU"",""AA:AA"")) + SUMPRODUCT((IMPORTR"&amp;"ANGE(""17XjIPGwafStTRf_8bPPaoi2EFjHVy10_rRJ0uvy6YcU"",""M:M"")=B31)*1, IMPORTRANGE(""17XjIPGwafStTRf_8bPPaoi2EFjHVy10_rRJ0uvy6YcU"",""X:X""), IMPORTRANGE(""17XjIPGwafStTRf_8bPPaoi2EFjHVy10_rRJ0uvy6YcU"",""AE:AE"")) + SUMPRODUCT((IMPORTRANGE(""17XjIPGwafSt"&amp;"TRf_8bPPaoi2EFjHVy10_rRJ0uvy6YcU"",""M:M"")=B31)*1, IMPORTRANGE(""17XjIPGwafStTRf_8bPPaoi2EFjHVy10_rRJ0uvy6YcU"",""X:X""), IMPORTRANGE(""17XjIPGwafStTRf_8bPPaoi2EFjHVy10_rRJ0uvy6YcU"",""AF:AF""))"),162483.77313366908)</f>
        <v>162483.7731</v>
      </c>
      <c r="E31" s="24">
        <f>IFERROR(__xludf.DUMMYFUNCTION("SUMPRODUCT((IMPORTRANGE(""17XjIPGwafStTRf_8bPPaoi2EFjHVy10_rRJ0uvy6YcU"",""M:M"")=B31)*1, IMPORTRANGE(""17XjIPGwafStTRf_8bPPaoi2EFjHVy10_rRJ0uvy6YcU"",""X:X""), IMPORTRANGE(""17XjIPGwafStTRf_8bPPaoi2EFjHVy10_rRJ0uvy6YcU"",""AO:AO""))"),62228.754918803155)</f>
        <v>62228.75492</v>
      </c>
      <c r="F31" s="25">
        <f>IFERROR(__xludf.DUMMYFUNCTION("SUMPRODUCT((IMPORTRANGE(""17XjIPGwafStTRf_8bPPaoi2EFjHVy10_rRJ0uvy6YcU"",""M:M"")=B31)*1, IMPORTRANGE(""17XjIPGwafStTRf_8bPPaoi2EFjHVy10_rRJ0uvy6YcU"",""X:X""))"),47.0)</f>
        <v>47</v>
      </c>
      <c r="G31" s="26">
        <f>IFERROR(__xludf.DUMMYFUNCTION("COUNTIF(IMPORTRANGE(""17XjIPGwafStTRf_8bPPaoi2EFjHVy10_rRJ0uvy6YcU"",""M:M""), B31)"),19.0)</f>
        <v>19</v>
      </c>
      <c r="H31" s="27">
        <f t="shared" si="1"/>
        <v>2.473684211</v>
      </c>
      <c r="I31" s="28">
        <f t="shared" si="2"/>
        <v>0.2235742229</v>
      </c>
      <c r="J31" s="29">
        <f t="shared" si="3"/>
        <v>0.382984428</v>
      </c>
      <c r="K31" s="30"/>
      <c r="L31" s="31" t="str">
        <f t="shared" si="4"/>
        <v/>
      </c>
      <c r="M31" s="31" t="str">
        <f t="shared" si="5"/>
        <v/>
      </c>
      <c r="N31" s="4"/>
    </row>
    <row r="32">
      <c r="A32" s="1"/>
      <c r="B32" s="23">
        <f t="shared" si="6"/>
        <v>44496</v>
      </c>
      <c r="C32" s="24">
        <f>IFERROR(__xludf.DUMMYFUNCTION("SUMPRODUCT((IMPORTRANGE(""17XjIPGwafStTRf_8bPPaoi2EFjHVy10_rRJ0uvy6YcU"",""M:M"")=B32)*1, IMPORTRANGE(""17XjIPGwafStTRf_8bPPaoi2EFjHVy10_rRJ0uvy6YcU"",""X:X""), IMPORTRANGE(""17XjIPGwafStTRf_8bPPaoi2EFjHVy10_rRJ0uvy6YcU"",""AK:AK"")) - SUMPRODUCT((IMPORTR"&amp;"ANGE(""17XjIPGwafStTRf_8bPPaoi2EFjHVy10_rRJ0uvy6YcU"",""M:M"")=B32)*1, IMPORTRANGE(""17XjIPGwafStTRf_8bPPaoi2EFjHVy10_rRJ0uvy6YcU"",""X:X""), IMPORTRANGE(""17XjIPGwafStTRf_8bPPaoi2EFjHVy10_rRJ0uvy6YcU"",""AL:AL""))"),536471.0)</f>
        <v>536471</v>
      </c>
      <c r="D32" s="24">
        <f>IFERROR(__xludf.DUMMYFUNCTION("SUMPRODUCT((IMPORTRANGE(""17XjIPGwafStTRf_8bPPaoi2EFjHVy10_rRJ0uvy6YcU"",""M:M"")=B32)*1, IMPORTRANGE(""17XjIPGwafStTRf_8bPPaoi2EFjHVy10_rRJ0uvy6YcU"",""X:X""), IMPORTRANGE(""17XjIPGwafStTRf_8bPPaoi2EFjHVy10_rRJ0uvy6YcU"",""AA:AA"")) + SUMPRODUCT((IMPORTR"&amp;"ANGE(""17XjIPGwafStTRf_8bPPaoi2EFjHVy10_rRJ0uvy6YcU"",""M:M"")=B32)*1, IMPORTRANGE(""17XjIPGwafStTRf_8bPPaoi2EFjHVy10_rRJ0uvy6YcU"",""X:X""), IMPORTRANGE(""17XjIPGwafStTRf_8bPPaoi2EFjHVy10_rRJ0uvy6YcU"",""AE:AE"")) + SUMPRODUCT((IMPORTRANGE(""17XjIPGwafSt"&amp;"TRf_8bPPaoi2EFjHVy10_rRJ0uvy6YcU"",""M:M"")=B32)*1, IMPORTRANGE(""17XjIPGwafStTRf_8bPPaoi2EFjHVy10_rRJ0uvy6YcU"",""X:X""), IMPORTRANGE(""17XjIPGwafStTRf_8bPPaoi2EFjHVy10_rRJ0uvy6YcU"",""AF:AF""))"),367854.1658488332)</f>
        <v>367854.1658</v>
      </c>
      <c r="E32" s="24">
        <f>IFERROR(__xludf.DUMMYFUNCTION("SUMPRODUCT((IMPORTRANGE(""17XjIPGwafStTRf_8bPPaoi2EFjHVy10_rRJ0uvy6YcU"",""M:M"")=B32)*1, IMPORTRANGE(""17XjIPGwafStTRf_8bPPaoi2EFjHVy10_rRJ0uvy6YcU"",""X:X""), IMPORTRANGE(""17XjIPGwafStTRf_8bPPaoi2EFjHVy10_rRJ0uvy6YcU"",""AO:AO""))"),69881.9869972678)</f>
        <v>69881.987</v>
      </c>
      <c r="F32" s="25">
        <f>IFERROR(__xludf.DUMMYFUNCTION("SUMPRODUCT((IMPORTRANGE(""17XjIPGwafStTRf_8bPPaoi2EFjHVy10_rRJ0uvy6YcU"",""M:M"")=B32)*1, IMPORTRANGE(""17XjIPGwafStTRf_8bPPaoi2EFjHVy10_rRJ0uvy6YcU"",""X:X""))"),109.0)</f>
        <v>109</v>
      </c>
      <c r="G32" s="26">
        <f>IFERROR(__xludf.DUMMYFUNCTION("COUNTIF(IMPORTRANGE(""17XjIPGwafStTRf_8bPPaoi2EFjHVy10_rRJ0uvy6YcU"",""M:M""), B32)"),35.0)</f>
        <v>35</v>
      </c>
      <c r="H32" s="27">
        <f t="shared" si="1"/>
        <v>3.114285714</v>
      </c>
      <c r="I32" s="28">
        <f t="shared" si="2"/>
        <v>0.1302623758</v>
      </c>
      <c r="J32" s="29">
        <f t="shared" si="3"/>
        <v>0.1899719875</v>
      </c>
      <c r="K32" s="32"/>
      <c r="L32" s="31" t="str">
        <f t="shared" si="4"/>
        <v/>
      </c>
      <c r="M32" s="31" t="str">
        <f t="shared" si="5"/>
        <v/>
      </c>
      <c r="N32" s="4"/>
    </row>
    <row r="33">
      <c r="A33" s="1"/>
      <c r="B33" s="23">
        <f t="shared" si="6"/>
        <v>44497</v>
      </c>
      <c r="C33" s="24">
        <f>IFERROR(__xludf.DUMMYFUNCTION("SUMPRODUCT((IMPORTRANGE(""17XjIPGwafStTRf_8bPPaoi2EFjHVy10_rRJ0uvy6YcU"",""M:M"")=B33)*1, IMPORTRANGE(""17XjIPGwafStTRf_8bPPaoi2EFjHVy10_rRJ0uvy6YcU"",""X:X""), IMPORTRANGE(""17XjIPGwafStTRf_8bPPaoi2EFjHVy10_rRJ0uvy6YcU"",""AK:AK"")) - SUMPRODUCT((IMPORTR"&amp;"ANGE(""17XjIPGwafStTRf_8bPPaoi2EFjHVy10_rRJ0uvy6YcU"",""M:M"")=B33)*1, IMPORTRANGE(""17XjIPGwafStTRf_8bPPaoi2EFjHVy10_rRJ0uvy6YcU"",""X:X""), IMPORTRANGE(""17XjIPGwafStTRf_8bPPaoi2EFjHVy10_rRJ0uvy6YcU"",""AL:AL""))"),317845.0)</f>
        <v>317845</v>
      </c>
      <c r="D33" s="24">
        <f>IFERROR(__xludf.DUMMYFUNCTION("SUMPRODUCT((IMPORTRANGE(""17XjIPGwafStTRf_8bPPaoi2EFjHVy10_rRJ0uvy6YcU"",""M:M"")=B33)*1, IMPORTRANGE(""17XjIPGwafStTRf_8bPPaoi2EFjHVy10_rRJ0uvy6YcU"",""X:X""), IMPORTRANGE(""17XjIPGwafStTRf_8bPPaoi2EFjHVy10_rRJ0uvy6YcU"",""AA:AA"")) + SUMPRODUCT((IMPORTR"&amp;"ANGE(""17XjIPGwafStTRf_8bPPaoi2EFjHVy10_rRJ0uvy6YcU"",""M:M"")=B33)*1, IMPORTRANGE(""17XjIPGwafStTRf_8bPPaoi2EFjHVy10_rRJ0uvy6YcU"",""X:X""), IMPORTRANGE(""17XjIPGwafStTRf_8bPPaoi2EFjHVy10_rRJ0uvy6YcU"",""AE:AE"")) + SUMPRODUCT((IMPORTRANGE(""17XjIPGwafSt"&amp;"TRf_8bPPaoi2EFjHVy10_rRJ0uvy6YcU"",""M:M"")=B33)*1, IMPORTRANGE(""17XjIPGwafStTRf_8bPPaoi2EFjHVy10_rRJ0uvy6YcU"",""X:X""), IMPORTRANGE(""17XjIPGwafStTRf_8bPPaoi2EFjHVy10_rRJ0uvy6YcU"",""AF:AF""))"),200790.99467478573)</f>
        <v>200790.9947</v>
      </c>
      <c r="E33" s="24">
        <f>IFERROR(__xludf.DUMMYFUNCTION("SUMPRODUCT((IMPORTRANGE(""17XjIPGwafStTRf_8bPPaoi2EFjHVy10_rRJ0uvy6YcU"",""M:M"")=B33)*1, IMPORTRANGE(""17XjIPGwafStTRf_8bPPaoi2EFjHVy10_rRJ0uvy6YcU"",""X:X""), IMPORTRANGE(""17XjIPGwafStTRf_8bPPaoi2EFjHVy10_rRJ0uvy6YcU"",""AO:AO""))"),55460.10273176075)</f>
        <v>55460.10273</v>
      </c>
      <c r="F33" s="25">
        <f>IFERROR(__xludf.DUMMYFUNCTION("SUMPRODUCT((IMPORTRANGE(""17XjIPGwafStTRf_8bPPaoi2EFjHVy10_rRJ0uvy6YcU"",""M:M"")=B33)*1, IMPORTRANGE(""17XjIPGwafStTRf_8bPPaoi2EFjHVy10_rRJ0uvy6YcU"",""X:X""))"),76.0)</f>
        <v>76</v>
      </c>
      <c r="G33" s="26">
        <f>IFERROR(__xludf.DUMMYFUNCTION("COUNTIF(IMPORTRANGE(""17XjIPGwafStTRf_8bPPaoi2EFjHVy10_rRJ0uvy6YcU"",""M:M""), B33)"),26.0)</f>
        <v>26</v>
      </c>
      <c r="H33" s="27">
        <f t="shared" si="1"/>
        <v>2.923076923</v>
      </c>
      <c r="I33" s="28">
        <f t="shared" si="2"/>
        <v>0.1744878879</v>
      </c>
      <c r="J33" s="29">
        <f t="shared" si="3"/>
        <v>0.2762081179</v>
      </c>
      <c r="K33" s="30"/>
      <c r="L33" s="31" t="str">
        <f t="shared" si="4"/>
        <v/>
      </c>
      <c r="M33" s="31" t="str">
        <f t="shared" si="5"/>
        <v/>
      </c>
      <c r="N33" s="4"/>
    </row>
    <row r="34">
      <c r="A34" s="1"/>
      <c r="B34" s="23">
        <f t="shared" ref="B34:B36" si="7">IFERROR(IF(MONTH(B33)=MONTH(B33+1),B33+1,"--"),"--")</f>
        <v>44498</v>
      </c>
      <c r="C34" s="24">
        <f>IFERROR(__xludf.DUMMYFUNCTION("SUMPRODUCT((IMPORTRANGE(""17XjIPGwafStTRf_8bPPaoi2EFjHVy10_rRJ0uvy6YcU"",""M:M"")=B34)*1, IMPORTRANGE(""17XjIPGwafStTRf_8bPPaoi2EFjHVy10_rRJ0uvy6YcU"",""X:X""), IMPORTRANGE(""17XjIPGwafStTRf_8bPPaoi2EFjHVy10_rRJ0uvy6YcU"",""AK:AK"")) - SUMPRODUCT((IMPORTR"&amp;"ANGE(""17XjIPGwafStTRf_8bPPaoi2EFjHVy10_rRJ0uvy6YcU"",""M:M"")=B34)*1, IMPORTRANGE(""17XjIPGwafStTRf_8bPPaoi2EFjHVy10_rRJ0uvy6YcU"",""X:X""), IMPORTRANGE(""17XjIPGwafStTRf_8bPPaoi2EFjHVy10_rRJ0uvy6YcU"",""AL:AL""))"),735049.0)</f>
        <v>735049</v>
      </c>
      <c r="D34" s="24">
        <f>IFERROR(__xludf.DUMMYFUNCTION("SUMPRODUCT((IMPORTRANGE(""17XjIPGwafStTRf_8bPPaoi2EFjHVy10_rRJ0uvy6YcU"",""M:M"")=B34)*1, IMPORTRANGE(""17XjIPGwafStTRf_8bPPaoi2EFjHVy10_rRJ0uvy6YcU"",""X:X""), IMPORTRANGE(""17XjIPGwafStTRf_8bPPaoi2EFjHVy10_rRJ0uvy6YcU"",""AA:AA"")) + SUMPRODUCT((IMPORTR"&amp;"ANGE(""17XjIPGwafStTRf_8bPPaoi2EFjHVy10_rRJ0uvy6YcU"",""M:M"")=B34)*1, IMPORTRANGE(""17XjIPGwafStTRf_8bPPaoi2EFjHVy10_rRJ0uvy6YcU"",""X:X""), IMPORTRANGE(""17XjIPGwafStTRf_8bPPaoi2EFjHVy10_rRJ0uvy6YcU"",""AE:AE"")) + SUMPRODUCT((IMPORTRANGE(""17XjIPGwafSt"&amp;"TRf_8bPPaoi2EFjHVy10_rRJ0uvy6YcU"",""M:M"")=B34)*1, IMPORTRANGE(""17XjIPGwafStTRf_8bPPaoi2EFjHVy10_rRJ0uvy6YcU"",""X:X""), IMPORTRANGE(""17XjIPGwafStTRf_8bPPaoi2EFjHVy10_rRJ0uvy6YcU"",""AF:AF""))"),434146.669766939)</f>
        <v>434146.6698</v>
      </c>
      <c r="E34" s="24">
        <f>IFERROR(__xludf.DUMMYFUNCTION("SUMPRODUCT((IMPORTRANGE(""17XjIPGwafStTRf_8bPPaoi2EFjHVy10_rRJ0uvy6YcU"",""M:M"")=B34)*1, IMPORTRANGE(""17XjIPGwafStTRf_8bPPaoi2EFjHVy10_rRJ0uvy6YcU"",""X:X""), IMPORTRANGE(""17XjIPGwafStTRf_8bPPaoi2EFjHVy10_rRJ0uvy6YcU"",""AO:AO""))"),178883.21040183736)</f>
        <v>178883.2104</v>
      </c>
      <c r="F34" s="25">
        <f>IFERROR(__xludf.DUMMYFUNCTION("SUMPRODUCT((IMPORTRANGE(""17XjIPGwafStTRf_8bPPaoi2EFjHVy10_rRJ0uvy6YcU"",""M:M"")=B34)*1, IMPORTRANGE(""17XjIPGwafStTRf_8bPPaoi2EFjHVy10_rRJ0uvy6YcU"",""X:X""))"),86.0)</f>
        <v>86</v>
      </c>
      <c r="G34" s="26">
        <f>IFERROR(__xludf.DUMMYFUNCTION("COUNTIF(IMPORTRANGE(""17XjIPGwafStTRf_8bPPaoi2EFjHVy10_rRJ0uvy6YcU"",""M:M""), B34)"),47.0)</f>
        <v>47</v>
      </c>
      <c r="H34" s="27">
        <f t="shared" si="1"/>
        <v>1.829787234</v>
      </c>
      <c r="I34" s="28">
        <f t="shared" si="2"/>
        <v>0.2433622934</v>
      </c>
      <c r="J34" s="29">
        <f t="shared" si="3"/>
        <v>0.4120340495</v>
      </c>
      <c r="K34" s="30"/>
      <c r="L34" s="31" t="str">
        <f t="shared" si="4"/>
        <v/>
      </c>
      <c r="M34" s="31" t="str">
        <f t="shared" si="5"/>
        <v/>
      </c>
      <c r="N34" s="4"/>
    </row>
    <row r="35">
      <c r="A35" s="1"/>
      <c r="B35" s="23">
        <f t="shared" si="7"/>
        <v>44499</v>
      </c>
      <c r="C35" s="24">
        <f>IFERROR(__xludf.DUMMYFUNCTION("SUMPRODUCT((IMPORTRANGE(""17XjIPGwafStTRf_8bPPaoi2EFjHVy10_rRJ0uvy6YcU"",""M:M"")=B35)*1, IMPORTRANGE(""17XjIPGwafStTRf_8bPPaoi2EFjHVy10_rRJ0uvy6YcU"",""X:X""), IMPORTRANGE(""17XjIPGwafStTRf_8bPPaoi2EFjHVy10_rRJ0uvy6YcU"",""AK:AK"")) - SUMPRODUCT((IMPORTR"&amp;"ANGE(""17XjIPGwafStTRf_8bPPaoi2EFjHVy10_rRJ0uvy6YcU"",""M:M"")=B35)*1, IMPORTRANGE(""17XjIPGwafStTRf_8bPPaoi2EFjHVy10_rRJ0uvy6YcU"",""X:X""), IMPORTRANGE(""17XjIPGwafStTRf_8bPPaoi2EFjHVy10_rRJ0uvy6YcU"",""AL:AL""))"),0.0)</f>
        <v>0</v>
      </c>
      <c r="D35" s="24">
        <f>IFERROR(__xludf.DUMMYFUNCTION("SUMPRODUCT((IMPORTRANGE(""17XjIPGwafStTRf_8bPPaoi2EFjHVy10_rRJ0uvy6YcU"",""M:M"")=B35)*1, IMPORTRANGE(""17XjIPGwafStTRf_8bPPaoi2EFjHVy10_rRJ0uvy6YcU"",""X:X""), IMPORTRANGE(""17XjIPGwafStTRf_8bPPaoi2EFjHVy10_rRJ0uvy6YcU"",""AA:AA"")) + SUMPRODUCT((IMPORTR"&amp;"ANGE(""17XjIPGwafStTRf_8bPPaoi2EFjHVy10_rRJ0uvy6YcU"",""M:M"")=B35)*1, IMPORTRANGE(""17XjIPGwafStTRf_8bPPaoi2EFjHVy10_rRJ0uvy6YcU"",""X:X""), IMPORTRANGE(""17XjIPGwafStTRf_8bPPaoi2EFjHVy10_rRJ0uvy6YcU"",""AE:AE"")) + SUMPRODUCT((IMPORTRANGE(""17XjIPGwafSt"&amp;"TRf_8bPPaoi2EFjHVy10_rRJ0uvy6YcU"",""M:M"")=B35)*1, IMPORTRANGE(""17XjIPGwafStTRf_8bPPaoi2EFjHVy10_rRJ0uvy6YcU"",""X:X""), IMPORTRANGE(""17XjIPGwafStTRf_8bPPaoi2EFjHVy10_rRJ0uvy6YcU"",""AF:AF""))"),0.0)</f>
        <v>0</v>
      </c>
      <c r="E35" s="24">
        <f>IFERROR(__xludf.DUMMYFUNCTION("SUMPRODUCT((IMPORTRANGE(""17XjIPGwafStTRf_8bPPaoi2EFjHVy10_rRJ0uvy6YcU"",""M:M"")=B35)*1, IMPORTRANGE(""17XjIPGwafStTRf_8bPPaoi2EFjHVy10_rRJ0uvy6YcU"",""X:X""), IMPORTRANGE(""17XjIPGwafStTRf_8bPPaoi2EFjHVy10_rRJ0uvy6YcU"",""AO:AO""))"),0.0)</f>
        <v>0</v>
      </c>
      <c r="F35" s="25">
        <f>IFERROR(__xludf.DUMMYFUNCTION("SUMPRODUCT((IMPORTRANGE(""17XjIPGwafStTRf_8bPPaoi2EFjHVy10_rRJ0uvy6YcU"",""M:M"")=B35)*1, IMPORTRANGE(""17XjIPGwafStTRf_8bPPaoi2EFjHVy10_rRJ0uvy6YcU"",""X:X""))"),0.0)</f>
        <v>0</v>
      </c>
      <c r="G35" s="26">
        <f>IFERROR(__xludf.DUMMYFUNCTION("COUNTIF(IMPORTRANGE(""17XjIPGwafStTRf_8bPPaoi2EFjHVy10_rRJ0uvy6YcU"",""M:M""), B35)"),0.0)</f>
        <v>0</v>
      </c>
      <c r="H35" s="27" t="str">
        <f t="shared" si="1"/>
        <v/>
      </c>
      <c r="I35" s="28" t="str">
        <f t="shared" si="2"/>
        <v/>
      </c>
      <c r="J35" s="29" t="str">
        <f t="shared" si="3"/>
        <v/>
      </c>
      <c r="K35" s="32"/>
      <c r="L35" s="31" t="str">
        <f t="shared" si="4"/>
        <v/>
      </c>
      <c r="M35" s="31" t="str">
        <f t="shared" si="5"/>
        <v/>
      </c>
      <c r="N35" s="4"/>
    </row>
    <row r="36">
      <c r="A36" s="1"/>
      <c r="B36" s="23">
        <f t="shared" si="7"/>
        <v>44500</v>
      </c>
      <c r="C36" s="24">
        <f>IFERROR(__xludf.DUMMYFUNCTION("SUMPRODUCT((IMPORTRANGE(""17XjIPGwafStTRf_8bPPaoi2EFjHVy10_rRJ0uvy6YcU"",""M:M"")=B36)*1, IMPORTRANGE(""17XjIPGwafStTRf_8bPPaoi2EFjHVy10_rRJ0uvy6YcU"",""X:X""), IMPORTRANGE(""17XjIPGwafStTRf_8bPPaoi2EFjHVy10_rRJ0uvy6YcU"",""AK:AK"")) - SUMPRODUCT((IMPORTR"&amp;"ANGE(""17XjIPGwafStTRf_8bPPaoi2EFjHVy10_rRJ0uvy6YcU"",""M:M"")=B36)*1, IMPORTRANGE(""17XjIPGwafStTRf_8bPPaoi2EFjHVy10_rRJ0uvy6YcU"",""X:X""), IMPORTRANGE(""17XjIPGwafStTRf_8bPPaoi2EFjHVy10_rRJ0uvy6YcU"",""AL:AL""))"),183317.0)</f>
        <v>183317</v>
      </c>
      <c r="D36" s="24">
        <f>IFERROR(__xludf.DUMMYFUNCTION("SUMPRODUCT((IMPORTRANGE(""17XjIPGwafStTRf_8bPPaoi2EFjHVy10_rRJ0uvy6YcU"",""M:M"")=B36)*1, IMPORTRANGE(""17XjIPGwafStTRf_8bPPaoi2EFjHVy10_rRJ0uvy6YcU"",""X:X""), IMPORTRANGE(""17XjIPGwafStTRf_8bPPaoi2EFjHVy10_rRJ0uvy6YcU"",""AA:AA"")) + SUMPRODUCT((IMPORTR"&amp;"ANGE(""17XjIPGwafStTRf_8bPPaoi2EFjHVy10_rRJ0uvy6YcU"",""M:M"")=B36)*1, IMPORTRANGE(""17XjIPGwafStTRf_8bPPaoi2EFjHVy10_rRJ0uvy6YcU"",""X:X""), IMPORTRANGE(""17XjIPGwafStTRf_8bPPaoi2EFjHVy10_rRJ0uvy6YcU"",""AE:AE"")) + SUMPRODUCT((IMPORTRANGE(""17XjIPGwafSt"&amp;"TRf_8bPPaoi2EFjHVy10_rRJ0uvy6YcU"",""M:M"")=B36)*1, IMPORTRANGE(""17XjIPGwafStTRf_8bPPaoi2EFjHVy10_rRJ0uvy6YcU"",""X:X""), IMPORTRANGE(""17XjIPGwafStTRf_8bPPaoi2EFjHVy10_rRJ0uvy6YcU"",""AF:AF""))"),109305.36217775443)</f>
        <v>109305.3622</v>
      </c>
      <c r="E36" s="24">
        <f>IFERROR(__xludf.DUMMYFUNCTION("SUMPRODUCT((IMPORTRANGE(""17XjIPGwafStTRf_8bPPaoi2EFjHVy10_rRJ0uvy6YcU"",""M:M"")=B36)*1, IMPORTRANGE(""17XjIPGwafStTRf_8bPPaoi2EFjHVy10_rRJ0uvy6YcU"",""X:X""), IMPORTRANGE(""17XjIPGwafStTRf_8bPPaoi2EFjHVy10_rRJ0uvy6YcU"",""AO:AO""))"),25624.672238480263)</f>
        <v>25624.67224</v>
      </c>
      <c r="F36" s="25">
        <f>IFERROR(__xludf.DUMMYFUNCTION("SUMPRODUCT((IMPORTRANGE(""17XjIPGwafStTRf_8bPPaoi2EFjHVy10_rRJ0uvy6YcU"",""M:M"")=B36)*1, IMPORTRANGE(""17XjIPGwafStTRf_8bPPaoi2EFjHVy10_rRJ0uvy6YcU"",""X:X""))"),38.0)</f>
        <v>38</v>
      </c>
      <c r="G36" s="26">
        <f>IFERROR(__xludf.DUMMYFUNCTION("COUNTIF(IMPORTRANGE(""17XjIPGwafStTRf_8bPPaoi2EFjHVy10_rRJ0uvy6YcU"",""M:M""), B36)"),14.0)</f>
        <v>14</v>
      </c>
      <c r="H36" s="27">
        <f t="shared" si="1"/>
        <v>2.714285714</v>
      </c>
      <c r="I36" s="28">
        <f t="shared" si="2"/>
        <v>0.1397833929</v>
      </c>
      <c r="J36" s="29">
        <f t="shared" si="3"/>
        <v>0.2344319778</v>
      </c>
      <c r="K36" s="30"/>
      <c r="L36" s="31" t="str">
        <f>if(B36="","",IF(K36="","",E36/K36))</f>
        <v/>
      </c>
      <c r="M36" s="31" t="str">
        <f>if(B36="","",IF(K36="","",D36/K36))</f>
        <v/>
      </c>
      <c r="N36" s="4"/>
    </row>
    <row r="37">
      <c r="A37" s="4"/>
      <c r="B37" s="33" t="s">
        <v>16</v>
      </c>
      <c r="C37" s="34">
        <f t="shared" ref="C37:H37" si="8">SUM(C6:C36)</f>
        <v>11964018</v>
      </c>
      <c r="D37" s="34">
        <f t="shared" si="8"/>
        <v>7731655.023</v>
      </c>
      <c r="E37" s="34">
        <f t="shared" si="8"/>
        <v>2228914.185</v>
      </c>
      <c r="F37" s="34">
        <f t="shared" si="8"/>
        <v>1975</v>
      </c>
      <c r="G37" s="34">
        <f t="shared" si="8"/>
        <v>727</v>
      </c>
      <c r="H37" s="34">
        <f t="shared" si="8"/>
        <v>175.051162</v>
      </c>
      <c r="I37" s="35">
        <f t="shared" si="2"/>
        <v>0.1863014737</v>
      </c>
      <c r="J37" s="35">
        <f t="shared" si="3"/>
        <v>0.2882842261</v>
      </c>
      <c r="K37" s="33">
        <f>SUM(K6:K36)</f>
        <v>0</v>
      </c>
      <c r="L37" s="34" t="str">
        <f>iferror(IF(K37="","",E37/K37),"")</f>
        <v/>
      </c>
      <c r="M37" s="34" t="str">
        <f>iferror(IF(K37="","",D37/K37),"")</f>
        <v/>
      </c>
      <c r="N37" s="4"/>
    </row>
    <row r="38">
      <c r="A38" s="4"/>
      <c r="B38" s="4"/>
      <c r="C38" s="4"/>
      <c r="D38" s="36" t="s">
        <v>17</v>
      </c>
      <c r="E38" s="4"/>
      <c r="F38" s="4"/>
      <c r="G38" s="4"/>
      <c r="H38" s="4"/>
      <c r="I38" s="4"/>
      <c r="J38" s="4"/>
      <c r="K38" s="4"/>
      <c r="L38" s="4"/>
      <c r="M38" s="4"/>
      <c r="N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2" max="2" width="7.38"/>
    <col customWidth="1" min="3" max="5" width="11.38"/>
    <col customWidth="1" min="6" max="8" width="5.75"/>
    <col customWidth="1" min="9" max="11" width="8.88"/>
    <col customWidth="1" min="12" max="13" width="11.38"/>
    <col customWidth="1" min="14" max="14" width="2.38"/>
  </cols>
  <sheetData>
    <row r="1" ht="7.5" customHeight="1">
      <c r="A1" s="1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</row>
    <row r="2">
      <c r="A2" s="1"/>
      <c r="B2" s="5">
        <v>44440.0</v>
      </c>
      <c r="C2" s="6"/>
      <c r="D2" s="3"/>
      <c r="E2" s="4"/>
      <c r="F2" s="4"/>
      <c r="G2" s="4"/>
      <c r="H2" s="4"/>
      <c r="I2" s="4"/>
      <c r="J2" s="4"/>
      <c r="K2" s="4"/>
      <c r="L2" s="7" t="s">
        <v>0</v>
      </c>
      <c r="M2" s="8">
        <v>1.5</v>
      </c>
      <c r="N2" s="4"/>
    </row>
    <row r="3">
      <c r="A3" s="4"/>
      <c r="B3" s="9" t="s">
        <v>1</v>
      </c>
      <c r="C3" s="10">
        <f>iferror((E3*M2)/I37,"")</f>
        <v>17891465.73</v>
      </c>
      <c r="D3" s="11" t="s">
        <v>2</v>
      </c>
      <c r="E3" s="12">
        <v>2000000.0</v>
      </c>
      <c r="F3" s="13"/>
      <c r="G3" s="4"/>
      <c r="H3" s="4"/>
      <c r="I3" s="4"/>
      <c r="J3" s="4"/>
      <c r="K3" s="4"/>
      <c r="L3" s="14"/>
      <c r="M3" s="15"/>
      <c r="N3" s="13"/>
    </row>
    <row r="4">
      <c r="A4" s="4"/>
      <c r="B4" s="9" t="s">
        <v>3</v>
      </c>
      <c r="C4" s="16">
        <f>iferror(C37/C3,"")</f>
        <v>0.8951764516</v>
      </c>
      <c r="D4" s="9"/>
      <c r="E4" s="16"/>
      <c r="F4" s="4"/>
      <c r="G4" s="4"/>
      <c r="H4" s="4"/>
      <c r="I4" s="4"/>
      <c r="J4" s="4"/>
      <c r="K4" s="17"/>
      <c r="L4" s="4"/>
      <c r="M4" s="4"/>
      <c r="N4" s="4"/>
    </row>
    <row r="5" ht="28.5" customHeight="1">
      <c r="A5" s="18"/>
      <c r="B5" s="19" t="s">
        <v>4</v>
      </c>
      <c r="C5" s="20" t="s">
        <v>5</v>
      </c>
      <c r="D5" s="20" t="s">
        <v>6</v>
      </c>
      <c r="E5" s="20" t="s">
        <v>7</v>
      </c>
      <c r="F5" s="21" t="s">
        <v>8</v>
      </c>
      <c r="G5" s="22" t="s">
        <v>9</v>
      </c>
      <c r="H5" s="22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18"/>
    </row>
    <row r="6">
      <c r="A6" s="1"/>
      <c r="B6" s="23">
        <f>B2</f>
        <v>44440</v>
      </c>
      <c r="C6" s="24">
        <f>IFERROR(__xludf.DUMMYFUNCTION("SUMPRODUCT((IMPORTRANGE(""17XjIPGwafStTRf_8bPPaoi2EFjHVy10_rRJ0uvy6YcU"",""M:M"")=B6)*1, IMPORTRANGE(""17XjIPGwafStTRf_8bPPaoi2EFjHVy10_rRJ0uvy6YcU"",""X:X""), IMPORTRANGE(""17XjIPGwafStTRf_8bPPaoi2EFjHVy10_rRJ0uvy6YcU"",""AK:AK"")) - SUMPRODUCT((IMPORTRA"&amp;"NGE(""17XjIPGwafStTRf_8bPPaoi2EFjHVy10_rRJ0uvy6YcU"",""M:M"")=B6)*1, IMPORTRANGE(""17XjIPGwafStTRf_8bPPaoi2EFjHVy10_rRJ0uvy6YcU"",""X:X""), IMPORTRANGE(""17XjIPGwafStTRf_8bPPaoi2EFjHVy10_rRJ0uvy6YcU"",""AL:AL""))"),474408.0)</f>
        <v>474408</v>
      </c>
      <c r="D6" s="24">
        <f>IFERROR(__xludf.DUMMYFUNCTION("SUMPRODUCT((IMPORTRANGE(""17XjIPGwafStTRf_8bPPaoi2EFjHVy10_rRJ0uvy6YcU"",""M:M"")=B6)*1, IMPORTRANGE(""17XjIPGwafStTRf_8bPPaoi2EFjHVy10_rRJ0uvy6YcU"",""X:X""), IMPORTRANGE(""17XjIPGwafStTRf_8bPPaoi2EFjHVy10_rRJ0uvy6YcU"",""AA:AA"")) + SUMPRODUCT((IMPORTRA"&amp;"NGE(""17XjIPGwafStTRf_8bPPaoi2EFjHVy10_rRJ0uvy6YcU"",""M:M"")=B6)*1, IMPORTRANGE(""17XjIPGwafStTRf_8bPPaoi2EFjHVy10_rRJ0uvy6YcU"",""X:X""), IMPORTRANGE(""17XjIPGwafStTRf_8bPPaoi2EFjHVy10_rRJ0uvy6YcU"",""AE:AE"")) + SUMPRODUCT((IMPORTRANGE(""17XjIPGwafStTR"&amp;"f_8bPPaoi2EFjHVy10_rRJ0uvy6YcU"",""M:M"")=B6)*1, IMPORTRANGE(""17XjIPGwafStTRf_8bPPaoi2EFjHVy10_rRJ0uvy6YcU"",""X:X""), IMPORTRANGE(""17XjIPGwafStTRf_8bPPaoi2EFjHVy10_rRJ0uvy6YcU"",""AF:AF""))"),256189.81204563077)</f>
        <v>256189.812</v>
      </c>
      <c r="E6" s="24">
        <f>IFERROR(__xludf.DUMMYFUNCTION("SUMPRODUCT((IMPORTRANGE(""17XjIPGwafStTRf_8bPPaoi2EFjHVy10_rRJ0uvy6YcU"",""M:M"")=B6)*1, IMPORTRANGE(""17XjIPGwafStTRf_8bPPaoi2EFjHVy10_rRJ0uvy6YcU"",""X:X""), IMPORTRANGE(""17XjIPGwafStTRf_8bPPaoi2EFjHVy10_rRJ0uvy6YcU"",""AO:AO""))"),83905.46236891946)</f>
        <v>83905.46237</v>
      </c>
      <c r="F6" s="25">
        <f>IFERROR(__xludf.DUMMYFUNCTION("SUMPRODUCT((IMPORTRANGE(""17XjIPGwafStTRf_8bPPaoi2EFjHVy10_rRJ0uvy6YcU"",""M:M"")=B6)*1, IMPORTRANGE(""17XjIPGwafStTRf_8bPPaoi2EFjHVy10_rRJ0uvy6YcU"",""X:X""))"),102.0)</f>
        <v>102</v>
      </c>
      <c r="G6" s="26">
        <f>IFERROR(__xludf.DUMMYFUNCTION("COUNTIF(IMPORTRANGE(""17XjIPGwafStTRf_8bPPaoi2EFjHVy10_rRJ0uvy6YcU"",""M:M""), B6)"),26.0)</f>
        <v>26</v>
      </c>
      <c r="H6" s="27">
        <f t="shared" ref="H6:H36" si="1">IF(F6=0,"",F6/G6)</f>
        <v>3.923076923</v>
      </c>
      <c r="I6" s="28">
        <f t="shared" ref="I6:I37" si="2">IF(C6=0,"",E6/C6)</f>
        <v>0.1768635065</v>
      </c>
      <c r="J6" s="29">
        <f t="shared" ref="J6:J37" si="3">IF(D6=0,"",E6/D6)</f>
        <v>0.3275128769</v>
      </c>
      <c r="K6" s="30"/>
      <c r="L6" s="31" t="str">
        <f t="shared" ref="L6:L35" si="4">IF(K6="","",E6/K6)</f>
        <v/>
      </c>
      <c r="M6" s="31" t="str">
        <f t="shared" ref="M6:M35" si="5">IF(K6="","",D6/K6)</f>
        <v/>
      </c>
      <c r="N6" s="4"/>
    </row>
    <row r="7">
      <c r="A7" s="1"/>
      <c r="B7" s="23">
        <f t="shared" ref="B7:B33" si="6">B6+1</f>
        <v>44441</v>
      </c>
      <c r="C7" s="24">
        <f>IFERROR(__xludf.DUMMYFUNCTION("SUMPRODUCT((IMPORTRANGE(""17XjIPGwafStTRf_8bPPaoi2EFjHVy10_rRJ0uvy6YcU"",""M:M"")=B7)*1, IMPORTRANGE(""17XjIPGwafStTRf_8bPPaoi2EFjHVy10_rRJ0uvy6YcU"",""X:X""), IMPORTRANGE(""17XjIPGwafStTRf_8bPPaoi2EFjHVy10_rRJ0uvy6YcU"",""AK:AK"")) - SUMPRODUCT((IMPORTRA"&amp;"NGE(""17XjIPGwafStTRf_8bPPaoi2EFjHVy10_rRJ0uvy6YcU"",""M:M"")=B7)*1, IMPORTRANGE(""17XjIPGwafStTRf_8bPPaoi2EFjHVy10_rRJ0uvy6YcU"",""X:X""), IMPORTRANGE(""17XjIPGwafStTRf_8bPPaoi2EFjHVy10_rRJ0uvy6YcU"",""AL:AL""))"),599355.0)</f>
        <v>599355</v>
      </c>
      <c r="D7" s="24">
        <f>IFERROR(__xludf.DUMMYFUNCTION("SUMPRODUCT((IMPORTRANGE(""17XjIPGwafStTRf_8bPPaoi2EFjHVy10_rRJ0uvy6YcU"",""M:M"")=B7)*1, IMPORTRANGE(""17XjIPGwafStTRf_8bPPaoi2EFjHVy10_rRJ0uvy6YcU"",""X:X""), IMPORTRANGE(""17XjIPGwafStTRf_8bPPaoi2EFjHVy10_rRJ0uvy6YcU"",""AA:AA"")) + SUMPRODUCT((IMPORTRA"&amp;"NGE(""17XjIPGwafStTRf_8bPPaoi2EFjHVy10_rRJ0uvy6YcU"",""M:M"")=B7)*1, IMPORTRANGE(""17XjIPGwafStTRf_8bPPaoi2EFjHVy10_rRJ0uvy6YcU"",""X:X""), IMPORTRANGE(""17XjIPGwafStTRf_8bPPaoi2EFjHVy10_rRJ0uvy6YcU"",""AE:AE"")) + SUMPRODUCT((IMPORTRANGE(""17XjIPGwafStTR"&amp;"f_8bPPaoi2EFjHVy10_rRJ0uvy6YcU"",""M:M"")=B7)*1, IMPORTRANGE(""17XjIPGwafStTRf_8bPPaoi2EFjHVy10_rRJ0uvy6YcU"",""X:X""), IMPORTRANGE(""17XjIPGwafStTRf_8bPPaoi2EFjHVy10_rRJ0uvy6YcU"",""AF:AF""))"),390872.1958201143)</f>
        <v>390872.1958</v>
      </c>
      <c r="E7" s="24">
        <f>IFERROR(__xludf.DUMMYFUNCTION("SUMPRODUCT((IMPORTRANGE(""17XjIPGwafStTRf_8bPPaoi2EFjHVy10_rRJ0uvy6YcU"",""M:M"")=B7)*1, IMPORTRANGE(""17XjIPGwafStTRf_8bPPaoi2EFjHVy10_rRJ0uvy6YcU"",""X:X""), IMPORTRANGE(""17XjIPGwafStTRf_8bPPaoi2EFjHVy10_rRJ0uvy6YcU"",""AO:AO""))"),99019.64014936244)</f>
        <v>99019.64015</v>
      </c>
      <c r="F7" s="25">
        <f>IFERROR(__xludf.DUMMYFUNCTION("SUMPRODUCT((IMPORTRANGE(""17XjIPGwafStTRf_8bPPaoi2EFjHVy10_rRJ0uvy6YcU"",""M:M"")=B7)*1, IMPORTRANGE(""17XjIPGwafStTRf_8bPPaoi2EFjHVy10_rRJ0uvy6YcU"",""X:X""))"),124.0)</f>
        <v>124</v>
      </c>
      <c r="G7" s="26">
        <f>IFERROR(__xludf.DUMMYFUNCTION("COUNTIF(IMPORTRANGE(""17XjIPGwafStTRf_8bPPaoi2EFjHVy10_rRJ0uvy6YcU"",""M:M""), B7)"),40.0)</f>
        <v>40</v>
      </c>
      <c r="H7" s="27">
        <f t="shared" si="1"/>
        <v>3.1</v>
      </c>
      <c r="I7" s="28">
        <f t="shared" si="2"/>
        <v>0.1652103347</v>
      </c>
      <c r="J7" s="29">
        <f t="shared" si="3"/>
        <v>0.2533299662</v>
      </c>
      <c r="K7" s="30"/>
      <c r="L7" s="31" t="str">
        <f t="shared" si="4"/>
        <v/>
      </c>
      <c r="M7" s="31" t="str">
        <f t="shared" si="5"/>
        <v/>
      </c>
      <c r="N7" s="4"/>
    </row>
    <row r="8">
      <c r="A8" s="1"/>
      <c r="B8" s="23">
        <f t="shared" si="6"/>
        <v>44442</v>
      </c>
      <c r="C8" s="24">
        <f>IFERROR(__xludf.DUMMYFUNCTION("SUMPRODUCT((IMPORTRANGE(""17XjIPGwafStTRf_8bPPaoi2EFjHVy10_rRJ0uvy6YcU"",""M:M"")=B8)*1, IMPORTRANGE(""17XjIPGwafStTRf_8bPPaoi2EFjHVy10_rRJ0uvy6YcU"",""X:X""), IMPORTRANGE(""17XjIPGwafStTRf_8bPPaoi2EFjHVy10_rRJ0uvy6YcU"",""AK:AK"")) - SUMPRODUCT((IMPORTRA"&amp;"NGE(""17XjIPGwafStTRf_8bPPaoi2EFjHVy10_rRJ0uvy6YcU"",""M:M"")=B8)*1, IMPORTRANGE(""17XjIPGwafStTRf_8bPPaoi2EFjHVy10_rRJ0uvy6YcU"",""X:X""), IMPORTRANGE(""17XjIPGwafStTRf_8bPPaoi2EFjHVy10_rRJ0uvy6YcU"",""AL:AL""))"),452566.0)</f>
        <v>452566</v>
      </c>
      <c r="D8" s="24">
        <f>IFERROR(__xludf.DUMMYFUNCTION("SUMPRODUCT((IMPORTRANGE(""17XjIPGwafStTRf_8bPPaoi2EFjHVy10_rRJ0uvy6YcU"",""M:M"")=B8)*1, IMPORTRANGE(""17XjIPGwafStTRf_8bPPaoi2EFjHVy10_rRJ0uvy6YcU"",""X:X""), IMPORTRANGE(""17XjIPGwafStTRf_8bPPaoi2EFjHVy10_rRJ0uvy6YcU"",""AA:AA"")) + SUMPRODUCT((IMPORTRA"&amp;"NGE(""17XjIPGwafStTRf_8bPPaoi2EFjHVy10_rRJ0uvy6YcU"",""M:M"")=B8)*1, IMPORTRANGE(""17XjIPGwafStTRf_8bPPaoi2EFjHVy10_rRJ0uvy6YcU"",""X:X""), IMPORTRANGE(""17XjIPGwafStTRf_8bPPaoi2EFjHVy10_rRJ0uvy6YcU"",""AE:AE"")) + SUMPRODUCT((IMPORTRANGE(""17XjIPGwafStTR"&amp;"f_8bPPaoi2EFjHVy10_rRJ0uvy6YcU"",""M:M"")=B8)*1, IMPORTRANGE(""17XjIPGwafStTRf_8bPPaoi2EFjHVy10_rRJ0uvy6YcU"",""X:X""), IMPORTRANGE(""17XjIPGwafStTRf_8bPPaoi2EFjHVy10_rRJ0uvy6YcU"",""AF:AF""))"),295596.65993935504)</f>
        <v>295596.6599</v>
      </c>
      <c r="E8" s="24">
        <f>IFERROR(__xludf.DUMMYFUNCTION("SUMPRODUCT((IMPORTRANGE(""17XjIPGwafStTRf_8bPPaoi2EFjHVy10_rRJ0uvy6YcU"",""M:M"")=B8)*1, IMPORTRANGE(""17XjIPGwafStTRf_8bPPaoi2EFjHVy10_rRJ0uvy6YcU"",""X:X""), IMPORTRANGE(""17XjIPGwafStTRf_8bPPaoi2EFjHVy10_rRJ0uvy6YcU"",""AO:AO""))"),87086.35588377659)</f>
        <v>87086.35588</v>
      </c>
      <c r="F8" s="25">
        <f>IFERROR(__xludf.DUMMYFUNCTION("SUMPRODUCT((IMPORTRANGE(""17XjIPGwafStTRf_8bPPaoi2EFjHVy10_rRJ0uvy6YcU"",""M:M"")=B8)*1, IMPORTRANGE(""17XjIPGwafStTRf_8bPPaoi2EFjHVy10_rRJ0uvy6YcU"",""X:X""))"),81.0)</f>
        <v>81</v>
      </c>
      <c r="G8" s="26">
        <f>IFERROR(__xludf.DUMMYFUNCTION("COUNTIF(IMPORTRANGE(""17XjIPGwafStTRf_8bPPaoi2EFjHVy10_rRJ0uvy6YcU"",""M:M""), B8)"),38.0)</f>
        <v>38</v>
      </c>
      <c r="H8" s="27">
        <f t="shared" si="1"/>
        <v>2.131578947</v>
      </c>
      <c r="I8" s="28">
        <f t="shared" si="2"/>
        <v>0.1924279683</v>
      </c>
      <c r="J8" s="29">
        <f t="shared" si="3"/>
        <v>0.2946121106</v>
      </c>
      <c r="K8" s="30"/>
      <c r="L8" s="31" t="str">
        <f t="shared" si="4"/>
        <v/>
      </c>
      <c r="M8" s="31" t="str">
        <f t="shared" si="5"/>
        <v/>
      </c>
      <c r="N8" s="4"/>
    </row>
    <row r="9">
      <c r="A9" s="1"/>
      <c r="B9" s="23">
        <f t="shared" si="6"/>
        <v>44443</v>
      </c>
      <c r="C9" s="24">
        <f>IFERROR(__xludf.DUMMYFUNCTION("SUMPRODUCT((IMPORTRANGE(""17XjIPGwafStTRf_8bPPaoi2EFjHVy10_rRJ0uvy6YcU"",""M:M"")=B9)*1, IMPORTRANGE(""17XjIPGwafStTRf_8bPPaoi2EFjHVy10_rRJ0uvy6YcU"",""X:X""), IMPORTRANGE(""17XjIPGwafStTRf_8bPPaoi2EFjHVy10_rRJ0uvy6YcU"",""AK:AK"")) - SUMPRODUCT((IMPORTRA"&amp;"NGE(""17XjIPGwafStTRf_8bPPaoi2EFjHVy10_rRJ0uvy6YcU"",""M:M"")=B9)*1, IMPORTRANGE(""17XjIPGwafStTRf_8bPPaoi2EFjHVy10_rRJ0uvy6YcU"",""X:X""), IMPORTRANGE(""17XjIPGwafStTRf_8bPPaoi2EFjHVy10_rRJ0uvy6YcU"",""AL:AL""))"),499423.0)</f>
        <v>499423</v>
      </c>
      <c r="D9" s="24">
        <f>IFERROR(__xludf.DUMMYFUNCTION("SUMPRODUCT((IMPORTRANGE(""17XjIPGwafStTRf_8bPPaoi2EFjHVy10_rRJ0uvy6YcU"",""M:M"")=B9)*1, IMPORTRANGE(""17XjIPGwafStTRf_8bPPaoi2EFjHVy10_rRJ0uvy6YcU"",""X:X""), IMPORTRANGE(""17XjIPGwafStTRf_8bPPaoi2EFjHVy10_rRJ0uvy6YcU"",""AA:AA"")) + SUMPRODUCT((IMPORTRA"&amp;"NGE(""17XjIPGwafStTRf_8bPPaoi2EFjHVy10_rRJ0uvy6YcU"",""M:M"")=B9)*1, IMPORTRANGE(""17XjIPGwafStTRf_8bPPaoi2EFjHVy10_rRJ0uvy6YcU"",""X:X""), IMPORTRANGE(""17XjIPGwafStTRf_8bPPaoi2EFjHVy10_rRJ0uvy6YcU"",""AE:AE"")) + SUMPRODUCT((IMPORTRANGE(""17XjIPGwafStTR"&amp;"f_8bPPaoi2EFjHVy10_rRJ0uvy6YcU"",""M:M"")=B9)*1, IMPORTRANGE(""17XjIPGwafStTRf_8bPPaoi2EFjHVy10_rRJ0uvy6YcU"",""X:X""), IMPORTRANGE(""17XjIPGwafStTRf_8bPPaoi2EFjHVy10_rRJ0uvy6YcU"",""AF:AF""))"),340724.9362002801)</f>
        <v>340724.9362</v>
      </c>
      <c r="E9" s="24">
        <f>IFERROR(__xludf.DUMMYFUNCTION("SUMPRODUCT((IMPORTRANGE(""17XjIPGwafStTRf_8bPPaoi2EFjHVy10_rRJ0uvy6YcU"",""M:M"")=B9)*1, IMPORTRANGE(""17XjIPGwafStTRf_8bPPaoi2EFjHVy10_rRJ0uvy6YcU"",""X:X""), IMPORTRANGE(""17XjIPGwafStTRf_8bPPaoi2EFjHVy10_rRJ0uvy6YcU"",""AO:AO""))"),60255.169998241945)</f>
        <v>60255.17</v>
      </c>
      <c r="F9" s="25">
        <f>IFERROR(__xludf.DUMMYFUNCTION("SUMPRODUCT((IMPORTRANGE(""17XjIPGwafStTRf_8bPPaoi2EFjHVy10_rRJ0uvy6YcU"",""M:M"")=B9)*1, IMPORTRANGE(""17XjIPGwafStTRf_8bPPaoi2EFjHVy10_rRJ0uvy6YcU"",""X:X""))"),113.0)</f>
        <v>113</v>
      </c>
      <c r="G9" s="26">
        <f>IFERROR(__xludf.DUMMYFUNCTION("COUNTIF(IMPORTRANGE(""17XjIPGwafStTRf_8bPPaoi2EFjHVy10_rRJ0uvy6YcU"",""M:M""), B9)"),33.0)</f>
        <v>33</v>
      </c>
      <c r="H9" s="27">
        <f t="shared" si="1"/>
        <v>3.424242424</v>
      </c>
      <c r="I9" s="28">
        <f t="shared" si="2"/>
        <v>0.1206495696</v>
      </c>
      <c r="J9" s="29">
        <f t="shared" si="3"/>
        <v>0.1768440275</v>
      </c>
      <c r="K9" s="32"/>
      <c r="L9" s="31" t="str">
        <f t="shared" si="4"/>
        <v/>
      </c>
      <c r="M9" s="31" t="str">
        <f t="shared" si="5"/>
        <v/>
      </c>
      <c r="N9" s="4"/>
    </row>
    <row r="10">
      <c r="A10" s="1"/>
      <c r="B10" s="23">
        <f t="shared" si="6"/>
        <v>44444</v>
      </c>
      <c r="C10" s="24">
        <f>IFERROR(__xludf.DUMMYFUNCTION("SUMPRODUCT((IMPORTRANGE(""17XjIPGwafStTRf_8bPPaoi2EFjHVy10_rRJ0uvy6YcU"",""M:M"")=B10)*1, IMPORTRANGE(""17XjIPGwafStTRf_8bPPaoi2EFjHVy10_rRJ0uvy6YcU"",""X:X""), IMPORTRANGE(""17XjIPGwafStTRf_8bPPaoi2EFjHVy10_rRJ0uvy6YcU"",""AK:AK"")) - SUMPRODUCT((IMPORTR"&amp;"ANGE(""17XjIPGwafStTRf_8bPPaoi2EFjHVy10_rRJ0uvy6YcU"",""M:M"")=B10)*1, IMPORTRANGE(""17XjIPGwafStTRf_8bPPaoi2EFjHVy10_rRJ0uvy6YcU"",""X:X""), IMPORTRANGE(""17XjIPGwafStTRf_8bPPaoi2EFjHVy10_rRJ0uvy6YcU"",""AL:AL""))"),216458.0)</f>
        <v>216458</v>
      </c>
      <c r="D10" s="24">
        <f>IFERROR(__xludf.DUMMYFUNCTION("SUMPRODUCT((IMPORTRANGE(""17XjIPGwafStTRf_8bPPaoi2EFjHVy10_rRJ0uvy6YcU"",""M:M"")=B10)*1, IMPORTRANGE(""17XjIPGwafStTRf_8bPPaoi2EFjHVy10_rRJ0uvy6YcU"",""X:X""), IMPORTRANGE(""17XjIPGwafStTRf_8bPPaoi2EFjHVy10_rRJ0uvy6YcU"",""AA:AA"")) + SUMPRODUCT((IMPORTR"&amp;"ANGE(""17XjIPGwafStTRf_8bPPaoi2EFjHVy10_rRJ0uvy6YcU"",""M:M"")=B10)*1, IMPORTRANGE(""17XjIPGwafStTRf_8bPPaoi2EFjHVy10_rRJ0uvy6YcU"",""X:X""), IMPORTRANGE(""17XjIPGwafStTRf_8bPPaoi2EFjHVy10_rRJ0uvy6YcU"",""AE:AE"")) + SUMPRODUCT((IMPORTRANGE(""17XjIPGwafSt"&amp;"TRf_8bPPaoi2EFjHVy10_rRJ0uvy6YcU"",""M:M"")=B10)*1, IMPORTRANGE(""17XjIPGwafStTRf_8bPPaoi2EFjHVy10_rRJ0uvy6YcU"",""X:X""), IMPORTRANGE(""17XjIPGwafStTRf_8bPPaoi2EFjHVy10_rRJ0uvy6YcU"",""AF:AF""))"),150782.08954267838)</f>
        <v>150782.0895</v>
      </c>
      <c r="E10" s="24">
        <f>IFERROR(__xludf.DUMMYFUNCTION("SUMPRODUCT((IMPORTRANGE(""17XjIPGwafStTRf_8bPPaoi2EFjHVy10_rRJ0uvy6YcU"",""M:M"")=B10)*1, IMPORTRANGE(""17XjIPGwafStTRf_8bPPaoi2EFjHVy10_rRJ0uvy6YcU"",""X:X""), IMPORTRANGE(""17XjIPGwafStTRf_8bPPaoi2EFjHVy10_rRJ0uvy6YcU"",""AO:AO""))"),28722.986758535302)</f>
        <v>28722.98676</v>
      </c>
      <c r="F10" s="25">
        <f>IFERROR(__xludf.DUMMYFUNCTION("SUMPRODUCT((IMPORTRANGE(""17XjIPGwafStTRf_8bPPaoi2EFjHVy10_rRJ0uvy6YcU"",""M:M"")=B10)*1, IMPORTRANGE(""17XjIPGwafStTRf_8bPPaoi2EFjHVy10_rRJ0uvy6YcU"",""X:X""))"),23.0)</f>
        <v>23</v>
      </c>
      <c r="G10" s="26">
        <f>IFERROR(__xludf.DUMMYFUNCTION("COUNTIF(IMPORTRANGE(""17XjIPGwafStTRf_8bPPaoi2EFjHVy10_rRJ0uvy6YcU"",""M:M""), B10)"),13.0)</f>
        <v>13</v>
      </c>
      <c r="H10" s="27">
        <f t="shared" si="1"/>
        <v>1.769230769</v>
      </c>
      <c r="I10" s="28">
        <f t="shared" si="2"/>
        <v>0.1326954271</v>
      </c>
      <c r="J10" s="29">
        <f t="shared" si="3"/>
        <v>0.1904933593</v>
      </c>
      <c r="K10" s="32"/>
      <c r="L10" s="31" t="str">
        <f t="shared" si="4"/>
        <v/>
      </c>
      <c r="M10" s="31" t="str">
        <f t="shared" si="5"/>
        <v/>
      </c>
      <c r="N10" s="4"/>
    </row>
    <row r="11">
      <c r="A11" s="1"/>
      <c r="B11" s="23">
        <f t="shared" si="6"/>
        <v>44445</v>
      </c>
      <c r="C11" s="24">
        <f>IFERROR(__xludf.DUMMYFUNCTION("SUMPRODUCT((IMPORTRANGE(""17XjIPGwafStTRf_8bPPaoi2EFjHVy10_rRJ0uvy6YcU"",""M:M"")=B11)*1, IMPORTRANGE(""17XjIPGwafStTRf_8bPPaoi2EFjHVy10_rRJ0uvy6YcU"",""X:X""), IMPORTRANGE(""17XjIPGwafStTRf_8bPPaoi2EFjHVy10_rRJ0uvy6YcU"",""AK:AK"")) - SUMPRODUCT((IMPORTR"&amp;"ANGE(""17XjIPGwafStTRf_8bPPaoi2EFjHVy10_rRJ0uvy6YcU"",""M:M"")=B11)*1, IMPORTRANGE(""17XjIPGwafStTRf_8bPPaoi2EFjHVy10_rRJ0uvy6YcU"",""X:X""), IMPORTRANGE(""17XjIPGwafStTRf_8bPPaoi2EFjHVy10_rRJ0uvy6YcU"",""AL:AL""))"),401673.0)</f>
        <v>401673</v>
      </c>
      <c r="D11" s="24">
        <f>IFERROR(__xludf.DUMMYFUNCTION("SUMPRODUCT((IMPORTRANGE(""17XjIPGwafStTRf_8bPPaoi2EFjHVy10_rRJ0uvy6YcU"",""M:M"")=B11)*1, IMPORTRANGE(""17XjIPGwafStTRf_8bPPaoi2EFjHVy10_rRJ0uvy6YcU"",""X:X""), IMPORTRANGE(""17XjIPGwafStTRf_8bPPaoi2EFjHVy10_rRJ0uvy6YcU"",""AA:AA"")) + SUMPRODUCT((IMPORTR"&amp;"ANGE(""17XjIPGwafStTRf_8bPPaoi2EFjHVy10_rRJ0uvy6YcU"",""M:M"")=B11)*1, IMPORTRANGE(""17XjIPGwafStTRf_8bPPaoi2EFjHVy10_rRJ0uvy6YcU"",""X:X""), IMPORTRANGE(""17XjIPGwafStTRf_8bPPaoi2EFjHVy10_rRJ0uvy6YcU"",""AE:AE"")) + SUMPRODUCT((IMPORTRANGE(""17XjIPGwafSt"&amp;"TRf_8bPPaoi2EFjHVy10_rRJ0uvy6YcU"",""M:M"")=B11)*1, IMPORTRANGE(""17XjIPGwafStTRf_8bPPaoi2EFjHVy10_rRJ0uvy6YcU"",""X:X""), IMPORTRANGE(""17XjIPGwafStTRf_8bPPaoi2EFjHVy10_rRJ0uvy6YcU"",""AF:AF""))"),302003.55586130347)</f>
        <v>302003.5559</v>
      </c>
      <c r="E11" s="24">
        <f>IFERROR(__xludf.DUMMYFUNCTION("SUMPRODUCT((IMPORTRANGE(""17XjIPGwafStTRf_8bPPaoi2EFjHVy10_rRJ0uvy6YcU"",""M:M"")=B11)*1, IMPORTRANGE(""17XjIPGwafStTRf_8bPPaoi2EFjHVy10_rRJ0uvy6YcU"",""X:X""), IMPORTRANGE(""17XjIPGwafStTRf_8bPPaoi2EFjHVy10_rRJ0uvy6YcU"",""AO:AO""))"),74991.4115128737)</f>
        <v>74991.41151</v>
      </c>
      <c r="F11" s="25">
        <f>IFERROR(__xludf.DUMMYFUNCTION("SUMPRODUCT((IMPORTRANGE(""17XjIPGwafStTRf_8bPPaoi2EFjHVy10_rRJ0uvy6YcU"",""M:M"")=B11)*1, IMPORTRANGE(""17XjIPGwafStTRf_8bPPaoi2EFjHVy10_rRJ0uvy6YcU"",""X:X""))"),62.0)</f>
        <v>62</v>
      </c>
      <c r="G11" s="26">
        <f>IFERROR(__xludf.DUMMYFUNCTION("COUNTIF(IMPORTRANGE(""17XjIPGwafStTRf_8bPPaoi2EFjHVy10_rRJ0uvy6YcU"",""M:M""), B11)"),23.0)</f>
        <v>23</v>
      </c>
      <c r="H11" s="27">
        <f t="shared" si="1"/>
        <v>2.695652174</v>
      </c>
      <c r="I11" s="28">
        <f t="shared" si="2"/>
        <v>0.1866976658</v>
      </c>
      <c r="J11" s="29">
        <f t="shared" si="3"/>
        <v>0.2483130084</v>
      </c>
      <c r="K11" s="30"/>
      <c r="L11" s="31" t="str">
        <f t="shared" si="4"/>
        <v/>
      </c>
      <c r="M11" s="31" t="str">
        <f t="shared" si="5"/>
        <v/>
      </c>
      <c r="N11" s="4"/>
    </row>
    <row r="12">
      <c r="A12" s="1"/>
      <c r="B12" s="23">
        <f t="shared" si="6"/>
        <v>44446</v>
      </c>
      <c r="C12" s="24">
        <f>IFERROR(__xludf.DUMMYFUNCTION("SUMPRODUCT((IMPORTRANGE(""17XjIPGwafStTRf_8bPPaoi2EFjHVy10_rRJ0uvy6YcU"",""M:M"")=B12)*1, IMPORTRANGE(""17XjIPGwafStTRf_8bPPaoi2EFjHVy10_rRJ0uvy6YcU"",""X:X""), IMPORTRANGE(""17XjIPGwafStTRf_8bPPaoi2EFjHVy10_rRJ0uvy6YcU"",""AK:AK"")) - SUMPRODUCT((IMPORTR"&amp;"ANGE(""17XjIPGwafStTRf_8bPPaoi2EFjHVy10_rRJ0uvy6YcU"",""M:M"")=B12)*1, IMPORTRANGE(""17XjIPGwafStTRf_8bPPaoi2EFjHVy10_rRJ0uvy6YcU"",""X:X""), IMPORTRANGE(""17XjIPGwafStTRf_8bPPaoi2EFjHVy10_rRJ0uvy6YcU"",""AL:AL""))"),15684.0)</f>
        <v>15684</v>
      </c>
      <c r="D12" s="24">
        <f>IFERROR(__xludf.DUMMYFUNCTION("SUMPRODUCT((IMPORTRANGE(""17XjIPGwafStTRf_8bPPaoi2EFjHVy10_rRJ0uvy6YcU"",""M:M"")=B12)*1, IMPORTRANGE(""17XjIPGwafStTRf_8bPPaoi2EFjHVy10_rRJ0uvy6YcU"",""X:X""), IMPORTRANGE(""17XjIPGwafStTRf_8bPPaoi2EFjHVy10_rRJ0uvy6YcU"",""AA:AA"")) + SUMPRODUCT((IMPORTR"&amp;"ANGE(""17XjIPGwafStTRf_8bPPaoi2EFjHVy10_rRJ0uvy6YcU"",""M:M"")=B12)*1, IMPORTRANGE(""17XjIPGwafStTRf_8bPPaoi2EFjHVy10_rRJ0uvy6YcU"",""X:X""), IMPORTRANGE(""17XjIPGwafStTRf_8bPPaoi2EFjHVy10_rRJ0uvy6YcU"",""AE:AE"")) + SUMPRODUCT((IMPORTRANGE(""17XjIPGwafSt"&amp;"TRf_8bPPaoi2EFjHVy10_rRJ0uvy6YcU"",""M:M"")=B12)*1, IMPORTRANGE(""17XjIPGwafStTRf_8bPPaoi2EFjHVy10_rRJ0uvy6YcU"",""X:X""), IMPORTRANGE(""17XjIPGwafStTRf_8bPPaoi2EFjHVy10_rRJ0uvy6YcU"",""AF:AF""))"),8554.877582873767)</f>
        <v>8554.877583</v>
      </c>
      <c r="E12" s="24">
        <f>IFERROR(__xludf.DUMMYFUNCTION("SUMPRODUCT((IMPORTRANGE(""17XjIPGwafStTRf_8bPPaoi2EFjHVy10_rRJ0uvy6YcU"",""M:M"")=B12)*1, IMPORTRANGE(""17XjIPGwafStTRf_8bPPaoi2EFjHVy10_rRJ0uvy6YcU"",""X:X""), IMPORTRANGE(""17XjIPGwafStTRf_8bPPaoi2EFjHVy10_rRJ0uvy6YcU"",""AO:AO""))"),4981.122417126235)</f>
        <v>4981.122417</v>
      </c>
      <c r="F12" s="25">
        <f>IFERROR(__xludf.DUMMYFUNCTION("SUMPRODUCT((IMPORTRANGE(""17XjIPGwafStTRf_8bPPaoi2EFjHVy10_rRJ0uvy6YcU"",""M:M"")=B12)*1, IMPORTRANGE(""17XjIPGwafStTRf_8bPPaoi2EFjHVy10_rRJ0uvy6YcU"",""X:X""))"),2.0)</f>
        <v>2</v>
      </c>
      <c r="G12" s="26">
        <f>IFERROR(__xludf.DUMMYFUNCTION("COUNTIF(IMPORTRANGE(""17XjIPGwafStTRf_8bPPaoi2EFjHVy10_rRJ0uvy6YcU"",""M:M""), B12)"),1.0)</f>
        <v>1</v>
      </c>
      <c r="H12" s="27">
        <f t="shared" si="1"/>
        <v>2</v>
      </c>
      <c r="I12" s="28">
        <f t="shared" si="2"/>
        <v>0.317592605</v>
      </c>
      <c r="J12" s="29">
        <f t="shared" si="3"/>
        <v>0.5822552537</v>
      </c>
      <c r="K12" s="32"/>
      <c r="L12" s="31" t="str">
        <f t="shared" si="4"/>
        <v/>
      </c>
      <c r="M12" s="31" t="str">
        <f t="shared" si="5"/>
        <v/>
      </c>
      <c r="N12" s="4"/>
    </row>
    <row r="13">
      <c r="A13" s="1"/>
      <c r="B13" s="23">
        <f t="shared" si="6"/>
        <v>44447</v>
      </c>
      <c r="C13" s="24">
        <f>IFERROR(__xludf.DUMMYFUNCTION("SUMPRODUCT((IMPORTRANGE(""17XjIPGwafStTRf_8bPPaoi2EFjHVy10_rRJ0uvy6YcU"",""M:M"")=B13)*1, IMPORTRANGE(""17XjIPGwafStTRf_8bPPaoi2EFjHVy10_rRJ0uvy6YcU"",""X:X""), IMPORTRANGE(""17XjIPGwafStTRf_8bPPaoi2EFjHVy10_rRJ0uvy6YcU"",""AK:AK"")) - SUMPRODUCT((IMPORTR"&amp;"ANGE(""17XjIPGwafStTRf_8bPPaoi2EFjHVy10_rRJ0uvy6YcU"",""M:M"")=B13)*1, IMPORTRANGE(""17XjIPGwafStTRf_8bPPaoi2EFjHVy10_rRJ0uvy6YcU"",""X:X""), IMPORTRANGE(""17XjIPGwafStTRf_8bPPaoi2EFjHVy10_rRJ0uvy6YcU"",""AL:AL""))"),443532.0)</f>
        <v>443532</v>
      </c>
      <c r="D13" s="24">
        <f>IFERROR(__xludf.DUMMYFUNCTION("SUMPRODUCT((IMPORTRANGE(""17XjIPGwafStTRf_8bPPaoi2EFjHVy10_rRJ0uvy6YcU"",""M:M"")=B13)*1, IMPORTRANGE(""17XjIPGwafStTRf_8bPPaoi2EFjHVy10_rRJ0uvy6YcU"",""X:X""), IMPORTRANGE(""17XjIPGwafStTRf_8bPPaoi2EFjHVy10_rRJ0uvy6YcU"",""AA:AA"")) + SUMPRODUCT((IMPORTR"&amp;"ANGE(""17XjIPGwafStTRf_8bPPaoi2EFjHVy10_rRJ0uvy6YcU"",""M:M"")=B13)*1, IMPORTRANGE(""17XjIPGwafStTRf_8bPPaoi2EFjHVy10_rRJ0uvy6YcU"",""X:X""), IMPORTRANGE(""17XjIPGwafStTRf_8bPPaoi2EFjHVy10_rRJ0uvy6YcU"",""AE:AE"")) + SUMPRODUCT((IMPORTRANGE(""17XjIPGwafSt"&amp;"TRf_8bPPaoi2EFjHVy10_rRJ0uvy6YcU"",""M:M"")=B13)*1, IMPORTRANGE(""17XjIPGwafStTRf_8bPPaoi2EFjHVy10_rRJ0uvy6YcU"",""X:X""), IMPORTRANGE(""17XjIPGwafStTRf_8bPPaoi2EFjHVy10_rRJ0uvy6YcU"",""AF:AF""))"),323860.158812628)</f>
        <v>323860.1588</v>
      </c>
      <c r="E13" s="24">
        <f>IFERROR(__xludf.DUMMYFUNCTION("SUMPRODUCT((IMPORTRANGE(""17XjIPGwafStTRf_8bPPaoi2EFjHVy10_rRJ0uvy6YcU"",""M:M"")=B13)*1, IMPORTRANGE(""17XjIPGwafStTRf_8bPPaoi2EFjHVy10_rRJ0uvy6YcU"",""X:X""), IMPORTRANGE(""17XjIPGwafStTRf_8bPPaoi2EFjHVy10_rRJ0uvy6YcU"",""AO:AO""))"),60427.341187372025)</f>
        <v>60427.34119</v>
      </c>
      <c r="F13" s="25">
        <f>IFERROR(__xludf.DUMMYFUNCTION("SUMPRODUCT((IMPORTRANGE(""17XjIPGwafStTRf_8bPPaoi2EFjHVy10_rRJ0uvy6YcU"",""M:M"")=B13)*1, IMPORTRANGE(""17XjIPGwafStTRf_8bPPaoi2EFjHVy10_rRJ0uvy6YcU"",""X:X""))"),57.0)</f>
        <v>57</v>
      </c>
      <c r="G13" s="26">
        <f>IFERROR(__xludf.DUMMYFUNCTION("COUNTIF(IMPORTRANGE(""17XjIPGwafStTRf_8bPPaoi2EFjHVy10_rRJ0uvy6YcU"",""M:M""), B13)"),27.0)</f>
        <v>27</v>
      </c>
      <c r="H13" s="27">
        <f t="shared" si="1"/>
        <v>2.111111111</v>
      </c>
      <c r="I13" s="28">
        <f t="shared" si="2"/>
        <v>0.1362412209</v>
      </c>
      <c r="J13" s="29">
        <f t="shared" si="3"/>
        <v>0.186584671</v>
      </c>
      <c r="K13" s="32"/>
      <c r="L13" s="31" t="str">
        <f t="shared" si="4"/>
        <v/>
      </c>
      <c r="M13" s="31" t="str">
        <f t="shared" si="5"/>
        <v/>
      </c>
      <c r="N13" s="4"/>
    </row>
    <row r="14">
      <c r="A14" s="1"/>
      <c r="B14" s="23">
        <f t="shared" si="6"/>
        <v>44448</v>
      </c>
      <c r="C14" s="24">
        <f>IFERROR(__xludf.DUMMYFUNCTION("SUMPRODUCT((IMPORTRANGE(""17XjIPGwafStTRf_8bPPaoi2EFjHVy10_rRJ0uvy6YcU"",""M:M"")=B14)*1, IMPORTRANGE(""17XjIPGwafStTRf_8bPPaoi2EFjHVy10_rRJ0uvy6YcU"",""X:X""), IMPORTRANGE(""17XjIPGwafStTRf_8bPPaoi2EFjHVy10_rRJ0uvy6YcU"",""AK:AK"")) - SUMPRODUCT((IMPORTR"&amp;"ANGE(""17XjIPGwafStTRf_8bPPaoi2EFjHVy10_rRJ0uvy6YcU"",""M:M"")=B14)*1, IMPORTRANGE(""17XjIPGwafStTRf_8bPPaoi2EFjHVy10_rRJ0uvy6YcU"",""X:X""), IMPORTRANGE(""17XjIPGwafStTRf_8bPPaoi2EFjHVy10_rRJ0uvy6YcU"",""AL:AL""))"),513783.81)</f>
        <v>513783.81</v>
      </c>
      <c r="D14" s="24">
        <f>IFERROR(__xludf.DUMMYFUNCTION("SUMPRODUCT((IMPORTRANGE(""17XjIPGwafStTRf_8bPPaoi2EFjHVy10_rRJ0uvy6YcU"",""M:M"")=B14)*1, IMPORTRANGE(""17XjIPGwafStTRf_8bPPaoi2EFjHVy10_rRJ0uvy6YcU"",""X:X""), IMPORTRANGE(""17XjIPGwafStTRf_8bPPaoi2EFjHVy10_rRJ0uvy6YcU"",""AA:AA"")) + SUMPRODUCT((IMPORTR"&amp;"ANGE(""17XjIPGwafStTRf_8bPPaoi2EFjHVy10_rRJ0uvy6YcU"",""M:M"")=B14)*1, IMPORTRANGE(""17XjIPGwafStTRf_8bPPaoi2EFjHVy10_rRJ0uvy6YcU"",""X:X""), IMPORTRANGE(""17XjIPGwafStTRf_8bPPaoi2EFjHVy10_rRJ0uvy6YcU"",""AE:AE"")) + SUMPRODUCT((IMPORTRANGE(""17XjIPGwafSt"&amp;"TRf_8bPPaoi2EFjHVy10_rRJ0uvy6YcU"",""M:M"")=B14)*1, IMPORTRANGE(""17XjIPGwafStTRf_8bPPaoi2EFjHVy10_rRJ0uvy6YcU"",""X:X""), IMPORTRANGE(""17XjIPGwafStTRf_8bPPaoi2EFjHVy10_rRJ0uvy6YcU"",""AF:AF""))"),367745.8504452251)</f>
        <v>367745.8504</v>
      </c>
      <c r="E14" s="24">
        <f>IFERROR(__xludf.DUMMYFUNCTION("SUMPRODUCT((IMPORTRANGE(""17XjIPGwafStTRf_8bPPaoi2EFjHVy10_rRJ0uvy6YcU"",""M:M"")=B14)*1, IMPORTRANGE(""17XjIPGwafStTRf_8bPPaoi2EFjHVy10_rRJ0uvy6YcU"",""X:X""), IMPORTRANGE(""17XjIPGwafStTRf_8bPPaoi2EFjHVy10_rRJ0uvy6YcU"",""AO:AO""))"),81005.54271853772)</f>
        <v>81005.54272</v>
      </c>
      <c r="F14" s="25">
        <f>IFERROR(__xludf.DUMMYFUNCTION("SUMPRODUCT((IMPORTRANGE(""17XjIPGwafStTRf_8bPPaoi2EFjHVy10_rRJ0uvy6YcU"",""M:M"")=B14)*1, IMPORTRANGE(""17XjIPGwafStTRf_8bPPaoi2EFjHVy10_rRJ0uvy6YcU"",""X:X""))"),69.0)</f>
        <v>69</v>
      </c>
      <c r="G14" s="26">
        <f>IFERROR(__xludf.DUMMYFUNCTION("COUNTIF(IMPORTRANGE(""17XjIPGwafStTRf_8bPPaoi2EFjHVy10_rRJ0uvy6YcU"",""M:M""), B14)"),33.0)</f>
        <v>33</v>
      </c>
      <c r="H14" s="27">
        <f t="shared" si="1"/>
        <v>2.090909091</v>
      </c>
      <c r="I14" s="28">
        <f t="shared" si="2"/>
        <v>0.1576646464</v>
      </c>
      <c r="J14" s="29">
        <f t="shared" si="3"/>
        <v>0.2202758852</v>
      </c>
      <c r="K14" s="32"/>
      <c r="L14" s="31" t="str">
        <f t="shared" si="4"/>
        <v/>
      </c>
      <c r="M14" s="31" t="str">
        <f t="shared" si="5"/>
        <v/>
      </c>
      <c r="N14" s="4"/>
    </row>
    <row r="15">
      <c r="A15" s="1"/>
      <c r="B15" s="23">
        <f t="shared" si="6"/>
        <v>44449</v>
      </c>
      <c r="C15" s="24">
        <f>IFERROR(__xludf.DUMMYFUNCTION("SUMPRODUCT((IMPORTRANGE(""17XjIPGwafStTRf_8bPPaoi2EFjHVy10_rRJ0uvy6YcU"",""M:M"")=B15)*1, IMPORTRANGE(""17XjIPGwafStTRf_8bPPaoi2EFjHVy10_rRJ0uvy6YcU"",""X:X""), IMPORTRANGE(""17XjIPGwafStTRf_8bPPaoi2EFjHVy10_rRJ0uvy6YcU"",""AK:AK"")) - SUMPRODUCT((IMPORTR"&amp;"ANGE(""17XjIPGwafStTRf_8bPPaoi2EFjHVy10_rRJ0uvy6YcU"",""M:M"")=B15)*1, IMPORTRANGE(""17XjIPGwafStTRf_8bPPaoi2EFjHVy10_rRJ0uvy6YcU"",""X:X""), IMPORTRANGE(""17XjIPGwafStTRf_8bPPaoi2EFjHVy10_rRJ0uvy6YcU"",""AL:AL""))"),17098.0)</f>
        <v>17098</v>
      </c>
      <c r="D15" s="24">
        <f>IFERROR(__xludf.DUMMYFUNCTION("SUMPRODUCT((IMPORTRANGE(""17XjIPGwafStTRf_8bPPaoi2EFjHVy10_rRJ0uvy6YcU"",""M:M"")=B15)*1, IMPORTRANGE(""17XjIPGwafStTRf_8bPPaoi2EFjHVy10_rRJ0uvy6YcU"",""X:X""), IMPORTRANGE(""17XjIPGwafStTRf_8bPPaoi2EFjHVy10_rRJ0uvy6YcU"",""AA:AA"")) + SUMPRODUCT((IMPORTR"&amp;"ANGE(""17XjIPGwafStTRf_8bPPaoi2EFjHVy10_rRJ0uvy6YcU"",""M:M"")=B15)*1, IMPORTRANGE(""17XjIPGwafStTRf_8bPPaoi2EFjHVy10_rRJ0uvy6YcU"",""X:X""), IMPORTRANGE(""17XjIPGwafStTRf_8bPPaoi2EFjHVy10_rRJ0uvy6YcU"",""AE:AE"")) + SUMPRODUCT((IMPORTRANGE(""17XjIPGwafSt"&amp;"TRf_8bPPaoi2EFjHVy10_rRJ0uvy6YcU"",""M:M"")=B15)*1, IMPORTRANGE(""17XjIPGwafStTRf_8bPPaoi2EFjHVy10_rRJ0uvy6YcU"",""X:X""), IMPORTRANGE(""17XjIPGwafStTRf_8bPPaoi2EFjHVy10_rRJ0uvy6YcU"",""AF:AF""))"),13026.105654669593)</f>
        <v>13026.10565</v>
      </c>
      <c r="E15" s="24">
        <f>IFERROR(__xludf.DUMMYFUNCTION("SUMPRODUCT((IMPORTRANGE(""17XjIPGwafStTRf_8bPPaoi2EFjHVy10_rRJ0uvy6YcU"",""M:M"")=B15)*1, IMPORTRANGE(""17XjIPGwafStTRf_8bPPaoi2EFjHVy10_rRJ0uvy6YcU"",""X:X""), IMPORTRANGE(""17XjIPGwafStTRf_8bPPaoi2EFjHVy10_rRJ0uvy6YcU"",""AO:AO""))"),350.8943453304055)</f>
        <v>350.8943453</v>
      </c>
      <c r="F15" s="25">
        <f>IFERROR(__xludf.DUMMYFUNCTION("SUMPRODUCT((IMPORTRANGE(""17XjIPGwafStTRf_8bPPaoi2EFjHVy10_rRJ0uvy6YcU"",""M:M"")=B15)*1, IMPORTRANGE(""17XjIPGwafStTRf_8bPPaoi2EFjHVy10_rRJ0uvy6YcU"",""X:X""))"),1.0)</f>
        <v>1</v>
      </c>
      <c r="G15" s="26">
        <f>IFERROR(__xludf.DUMMYFUNCTION("COUNTIF(IMPORTRANGE(""17XjIPGwafStTRf_8bPPaoi2EFjHVy10_rRJ0uvy6YcU"",""M:M""), B15)"),1.0)</f>
        <v>1</v>
      </c>
      <c r="H15" s="27">
        <f t="shared" si="1"/>
        <v>1</v>
      </c>
      <c r="I15" s="28">
        <f t="shared" si="2"/>
        <v>0.02052253745</v>
      </c>
      <c r="J15" s="29">
        <f t="shared" si="3"/>
        <v>0.02693777823</v>
      </c>
      <c r="K15" s="30"/>
      <c r="L15" s="31" t="str">
        <f t="shared" si="4"/>
        <v/>
      </c>
      <c r="M15" s="31" t="str">
        <f t="shared" si="5"/>
        <v/>
      </c>
      <c r="N15" s="4"/>
    </row>
    <row r="16">
      <c r="A16" s="1"/>
      <c r="B16" s="23">
        <f t="shared" si="6"/>
        <v>44450</v>
      </c>
      <c r="C16" s="24">
        <f>IFERROR(__xludf.DUMMYFUNCTION("SUMPRODUCT((IMPORTRANGE(""17XjIPGwafStTRf_8bPPaoi2EFjHVy10_rRJ0uvy6YcU"",""M:M"")=B16)*1, IMPORTRANGE(""17XjIPGwafStTRf_8bPPaoi2EFjHVy10_rRJ0uvy6YcU"",""X:X""), IMPORTRANGE(""17XjIPGwafStTRf_8bPPaoi2EFjHVy10_rRJ0uvy6YcU"",""AK:AK"")) - SUMPRODUCT((IMPORTR"&amp;"ANGE(""17XjIPGwafStTRf_8bPPaoi2EFjHVy10_rRJ0uvy6YcU"",""M:M"")=B16)*1, IMPORTRANGE(""17XjIPGwafStTRf_8bPPaoi2EFjHVy10_rRJ0uvy6YcU"",""X:X""), IMPORTRANGE(""17XjIPGwafStTRf_8bPPaoi2EFjHVy10_rRJ0uvy6YcU"",""AL:AL""))"),447980.0)</f>
        <v>447980</v>
      </c>
      <c r="D16" s="24">
        <f>IFERROR(__xludf.DUMMYFUNCTION("SUMPRODUCT((IMPORTRANGE(""17XjIPGwafStTRf_8bPPaoi2EFjHVy10_rRJ0uvy6YcU"",""M:M"")=B16)*1, IMPORTRANGE(""17XjIPGwafStTRf_8bPPaoi2EFjHVy10_rRJ0uvy6YcU"",""X:X""), IMPORTRANGE(""17XjIPGwafStTRf_8bPPaoi2EFjHVy10_rRJ0uvy6YcU"",""AA:AA"")) + SUMPRODUCT((IMPORTR"&amp;"ANGE(""17XjIPGwafStTRf_8bPPaoi2EFjHVy10_rRJ0uvy6YcU"",""M:M"")=B16)*1, IMPORTRANGE(""17XjIPGwafStTRf_8bPPaoi2EFjHVy10_rRJ0uvy6YcU"",""X:X""), IMPORTRANGE(""17XjIPGwafStTRf_8bPPaoi2EFjHVy10_rRJ0uvy6YcU"",""AE:AE"")) + SUMPRODUCT((IMPORTRANGE(""17XjIPGwafSt"&amp;"TRf_8bPPaoi2EFjHVy10_rRJ0uvy6YcU"",""M:M"")=B16)*1, IMPORTRANGE(""17XjIPGwafStTRf_8bPPaoi2EFjHVy10_rRJ0uvy6YcU"",""X:X""), IMPORTRANGE(""17XjIPGwafStTRf_8bPPaoi2EFjHVy10_rRJ0uvy6YcU"",""AF:AF""))"),301517.858158605)</f>
        <v>301517.8582</v>
      </c>
      <c r="E16" s="24">
        <f>IFERROR(__xludf.DUMMYFUNCTION("SUMPRODUCT((IMPORTRANGE(""17XjIPGwafStTRf_8bPPaoi2EFjHVy10_rRJ0uvy6YcU"",""M:M"")=B16)*1, IMPORTRANGE(""17XjIPGwafStTRf_8bPPaoi2EFjHVy10_rRJ0uvy6YcU"",""X:X""), IMPORTRANGE(""17XjIPGwafStTRf_8bPPaoi2EFjHVy10_rRJ0uvy6YcU"",""AO:AO""))"),68069.85158199506)</f>
        <v>68069.85158</v>
      </c>
      <c r="F16" s="25">
        <f>IFERROR(__xludf.DUMMYFUNCTION("SUMPRODUCT((IMPORTRANGE(""17XjIPGwafStTRf_8bPPaoi2EFjHVy10_rRJ0uvy6YcU"",""M:M"")=B16)*1, IMPORTRANGE(""17XjIPGwafStTRf_8bPPaoi2EFjHVy10_rRJ0uvy6YcU"",""X:X""))"),71.0)</f>
        <v>71</v>
      </c>
      <c r="G16" s="26">
        <f>IFERROR(__xludf.DUMMYFUNCTION("COUNTIF(IMPORTRANGE(""17XjIPGwafStTRf_8bPPaoi2EFjHVy10_rRJ0uvy6YcU"",""M:M""), B16)"),33.0)</f>
        <v>33</v>
      </c>
      <c r="H16" s="27">
        <f t="shared" si="1"/>
        <v>2.151515152</v>
      </c>
      <c r="I16" s="28">
        <f t="shared" si="2"/>
        <v>0.1519484164</v>
      </c>
      <c r="J16" s="29">
        <f t="shared" si="3"/>
        <v>0.2257572802</v>
      </c>
      <c r="K16" s="32"/>
      <c r="L16" s="31" t="str">
        <f t="shared" si="4"/>
        <v/>
      </c>
      <c r="M16" s="31" t="str">
        <f t="shared" si="5"/>
        <v/>
      </c>
      <c r="N16" s="4"/>
    </row>
    <row r="17">
      <c r="A17" s="1"/>
      <c r="B17" s="23">
        <f t="shared" si="6"/>
        <v>44451</v>
      </c>
      <c r="C17" s="24">
        <f>IFERROR(__xludf.DUMMYFUNCTION("SUMPRODUCT((IMPORTRANGE(""17XjIPGwafStTRf_8bPPaoi2EFjHVy10_rRJ0uvy6YcU"",""M:M"")=B17)*1, IMPORTRANGE(""17XjIPGwafStTRf_8bPPaoi2EFjHVy10_rRJ0uvy6YcU"",""X:X""), IMPORTRANGE(""17XjIPGwafStTRf_8bPPaoi2EFjHVy10_rRJ0uvy6YcU"",""AK:AK"")) - SUMPRODUCT((IMPORTR"&amp;"ANGE(""17XjIPGwafStTRf_8bPPaoi2EFjHVy10_rRJ0uvy6YcU"",""M:M"")=B17)*1, IMPORTRANGE(""17XjIPGwafStTRf_8bPPaoi2EFjHVy10_rRJ0uvy6YcU"",""X:X""), IMPORTRANGE(""17XjIPGwafStTRf_8bPPaoi2EFjHVy10_rRJ0uvy6YcU"",""AL:AL""))"),715780.0)</f>
        <v>715780</v>
      </c>
      <c r="D17" s="24">
        <f>IFERROR(__xludf.DUMMYFUNCTION("SUMPRODUCT((IMPORTRANGE(""17XjIPGwafStTRf_8bPPaoi2EFjHVy10_rRJ0uvy6YcU"",""M:M"")=B17)*1, IMPORTRANGE(""17XjIPGwafStTRf_8bPPaoi2EFjHVy10_rRJ0uvy6YcU"",""X:X""), IMPORTRANGE(""17XjIPGwafStTRf_8bPPaoi2EFjHVy10_rRJ0uvy6YcU"",""AA:AA"")) + SUMPRODUCT((IMPORTR"&amp;"ANGE(""17XjIPGwafStTRf_8bPPaoi2EFjHVy10_rRJ0uvy6YcU"",""M:M"")=B17)*1, IMPORTRANGE(""17XjIPGwafStTRf_8bPPaoi2EFjHVy10_rRJ0uvy6YcU"",""X:X""), IMPORTRANGE(""17XjIPGwafStTRf_8bPPaoi2EFjHVy10_rRJ0uvy6YcU"",""AE:AE"")) + SUMPRODUCT((IMPORTRANGE(""17XjIPGwafSt"&amp;"TRf_8bPPaoi2EFjHVy10_rRJ0uvy6YcU"",""M:M"")=B17)*1, IMPORTRANGE(""17XjIPGwafStTRf_8bPPaoi2EFjHVy10_rRJ0uvy6YcU"",""X:X""), IMPORTRANGE(""17XjIPGwafStTRf_8bPPaoi2EFjHVy10_rRJ0uvy6YcU"",""AF:AF""))"),454743.8515377708)</f>
        <v>454743.8515</v>
      </c>
      <c r="E17" s="24">
        <f>IFERROR(__xludf.DUMMYFUNCTION("SUMPRODUCT((IMPORTRANGE(""17XjIPGwafStTRf_8bPPaoi2EFjHVy10_rRJ0uvy6YcU"",""M:M"")=B17)*1, IMPORTRANGE(""17XjIPGwafStTRf_8bPPaoi2EFjHVy10_rRJ0uvy6YcU"",""X:X""), IMPORTRANGE(""17XjIPGwafStTRf_8bPPaoi2EFjHVy10_rRJ0uvy6YcU"",""AO:AO""))"),161465.89782206097)</f>
        <v>161465.8978</v>
      </c>
      <c r="F17" s="25">
        <f>IFERROR(__xludf.DUMMYFUNCTION("SUMPRODUCT((IMPORTRANGE(""17XjIPGwafStTRf_8bPPaoi2EFjHVy10_rRJ0uvy6YcU"",""M:M"")=B17)*1, IMPORTRANGE(""17XjIPGwafStTRf_8bPPaoi2EFjHVy10_rRJ0uvy6YcU"",""X:X""))"),104.0)</f>
        <v>104</v>
      </c>
      <c r="G17" s="26">
        <f>IFERROR(__xludf.DUMMYFUNCTION("COUNTIF(IMPORTRANGE(""17XjIPGwafStTRf_8bPPaoi2EFjHVy10_rRJ0uvy6YcU"",""M:M""), B17)"),42.0)</f>
        <v>42</v>
      </c>
      <c r="H17" s="27">
        <f t="shared" si="1"/>
        <v>2.476190476</v>
      </c>
      <c r="I17" s="28">
        <f t="shared" si="2"/>
        <v>0.2255803429</v>
      </c>
      <c r="J17" s="29">
        <f t="shared" si="3"/>
        <v>0.3550699966</v>
      </c>
      <c r="K17" s="32"/>
      <c r="L17" s="31" t="str">
        <f t="shared" si="4"/>
        <v/>
      </c>
      <c r="M17" s="31" t="str">
        <f t="shared" si="5"/>
        <v/>
      </c>
      <c r="N17" s="4"/>
    </row>
    <row r="18">
      <c r="A18" s="1"/>
      <c r="B18" s="23">
        <f t="shared" si="6"/>
        <v>44452</v>
      </c>
      <c r="C18" s="24">
        <f>IFERROR(__xludf.DUMMYFUNCTION("SUMPRODUCT((IMPORTRANGE(""17XjIPGwafStTRf_8bPPaoi2EFjHVy10_rRJ0uvy6YcU"",""M:M"")=B18)*1, IMPORTRANGE(""17XjIPGwafStTRf_8bPPaoi2EFjHVy10_rRJ0uvy6YcU"",""X:X""), IMPORTRANGE(""17XjIPGwafStTRf_8bPPaoi2EFjHVy10_rRJ0uvy6YcU"",""AK:AK"")) - SUMPRODUCT((IMPORTR"&amp;"ANGE(""17XjIPGwafStTRf_8bPPaoi2EFjHVy10_rRJ0uvy6YcU"",""M:M"")=B18)*1, IMPORTRANGE(""17XjIPGwafStTRf_8bPPaoi2EFjHVy10_rRJ0uvy6YcU"",""X:X""), IMPORTRANGE(""17XjIPGwafStTRf_8bPPaoi2EFjHVy10_rRJ0uvy6YcU"",""AL:AL""))"),745354.0)</f>
        <v>745354</v>
      </c>
      <c r="D18" s="24">
        <f>IFERROR(__xludf.DUMMYFUNCTION("SUMPRODUCT((IMPORTRANGE(""17XjIPGwafStTRf_8bPPaoi2EFjHVy10_rRJ0uvy6YcU"",""M:M"")=B18)*1, IMPORTRANGE(""17XjIPGwafStTRf_8bPPaoi2EFjHVy10_rRJ0uvy6YcU"",""X:X""), IMPORTRANGE(""17XjIPGwafStTRf_8bPPaoi2EFjHVy10_rRJ0uvy6YcU"",""AA:AA"")) + SUMPRODUCT((IMPORTR"&amp;"ANGE(""17XjIPGwafStTRf_8bPPaoi2EFjHVy10_rRJ0uvy6YcU"",""M:M"")=B18)*1, IMPORTRANGE(""17XjIPGwafStTRf_8bPPaoi2EFjHVy10_rRJ0uvy6YcU"",""X:X""), IMPORTRANGE(""17XjIPGwafStTRf_8bPPaoi2EFjHVy10_rRJ0uvy6YcU"",""AE:AE"")) + SUMPRODUCT((IMPORTRANGE(""17XjIPGwafSt"&amp;"TRf_8bPPaoi2EFjHVy10_rRJ0uvy6YcU"",""M:M"")=B18)*1, IMPORTRANGE(""17XjIPGwafStTRf_8bPPaoi2EFjHVy10_rRJ0uvy6YcU"",""X:X""), IMPORTRANGE(""17XjIPGwafStTRf_8bPPaoi2EFjHVy10_rRJ0uvy6YcU"",""AF:AF""))"),523258.22668830765)</f>
        <v>523258.2267</v>
      </c>
      <c r="E18" s="24">
        <f>IFERROR(__xludf.DUMMYFUNCTION("SUMPRODUCT((IMPORTRANGE(""17XjIPGwafStTRf_8bPPaoi2EFjHVy10_rRJ0uvy6YcU"",""M:M"")=B18)*1, IMPORTRANGE(""17XjIPGwafStTRf_8bPPaoi2EFjHVy10_rRJ0uvy6YcU"",""X:X""), IMPORTRANGE(""17XjIPGwafStTRf_8bPPaoi2EFjHVy10_rRJ0uvy6YcU"",""AO:AO""))"),109475.26698896551)</f>
        <v>109475.267</v>
      </c>
      <c r="F18" s="25">
        <f>IFERROR(__xludf.DUMMYFUNCTION("SUMPRODUCT((IMPORTRANGE(""17XjIPGwafStTRf_8bPPaoi2EFjHVy10_rRJ0uvy6YcU"",""M:M"")=B18)*1, IMPORTRANGE(""17XjIPGwafStTRf_8bPPaoi2EFjHVy10_rRJ0uvy6YcU"",""X:X""))"),101.0)</f>
        <v>101</v>
      </c>
      <c r="G18" s="26">
        <f>IFERROR(__xludf.DUMMYFUNCTION("COUNTIF(IMPORTRANGE(""17XjIPGwafStTRf_8bPPaoi2EFjHVy10_rRJ0uvy6YcU"",""M:M""), B18)"),29.0)</f>
        <v>29</v>
      </c>
      <c r="H18" s="27">
        <f t="shared" si="1"/>
        <v>3.482758621</v>
      </c>
      <c r="I18" s="28">
        <f t="shared" si="2"/>
        <v>0.1468768759</v>
      </c>
      <c r="J18" s="29">
        <f t="shared" si="3"/>
        <v>0.2092184344</v>
      </c>
      <c r="K18" s="32"/>
      <c r="L18" s="31" t="str">
        <f t="shared" si="4"/>
        <v/>
      </c>
      <c r="M18" s="31" t="str">
        <f t="shared" si="5"/>
        <v/>
      </c>
      <c r="N18" s="4"/>
    </row>
    <row r="19">
      <c r="A19" s="1"/>
      <c r="B19" s="23">
        <f t="shared" si="6"/>
        <v>44453</v>
      </c>
      <c r="C19" s="24">
        <f>IFERROR(__xludf.DUMMYFUNCTION("SUMPRODUCT((IMPORTRANGE(""17XjIPGwafStTRf_8bPPaoi2EFjHVy10_rRJ0uvy6YcU"",""M:M"")=B19)*1, IMPORTRANGE(""17XjIPGwafStTRf_8bPPaoi2EFjHVy10_rRJ0uvy6YcU"",""X:X""), IMPORTRANGE(""17XjIPGwafStTRf_8bPPaoi2EFjHVy10_rRJ0uvy6YcU"",""AK:AK"")) - SUMPRODUCT((IMPORTR"&amp;"ANGE(""17XjIPGwafStTRf_8bPPaoi2EFjHVy10_rRJ0uvy6YcU"",""M:M"")=B19)*1, IMPORTRANGE(""17XjIPGwafStTRf_8bPPaoi2EFjHVy10_rRJ0uvy6YcU"",""X:X""), IMPORTRANGE(""17XjIPGwafStTRf_8bPPaoi2EFjHVy10_rRJ0uvy6YcU"",""AL:AL""))"),514015.0)</f>
        <v>514015</v>
      </c>
      <c r="D19" s="24">
        <f>IFERROR(__xludf.DUMMYFUNCTION("SUMPRODUCT((IMPORTRANGE(""17XjIPGwafStTRf_8bPPaoi2EFjHVy10_rRJ0uvy6YcU"",""M:M"")=B19)*1, IMPORTRANGE(""17XjIPGwafStTRf_8bPPaoi2EFjHVy10_rRJ0uvy6YcU"",""X:X""), IMPORTRANGE(""17XjIPGwafStTRf_8bPPaoi2EFjHVy10_rRJ0uvy6YcU"",""AA:AA"")) + SUMPRODUCT((IMPORTR"&amp;"ANGE(""17XjIPGwafStTRf_8bPPaoi2EFjHVy10_rRJ0uvy6YcU"",""M:M"")=B19)*1, IMPORTRANGE(""17XjIPGwafStTRf_8bPPaoi2EFjHVy10_rRJ0uvy6YcU"",""X:X""), IMPORTRANGE(""17XjIPGwafStTRf_8bPPaoi2EFjHVy10_rRJ0uvy6YcU"",""AE:AE"")) + SUMPRODUCT((IMPORTRANGE(""17XjIPGwafSt"&amp;"TRf_8bPPaoi2EFjHVy10_rRJ0uvy6YcU"",""M:M"")=B19)*1, IMPORTRANGE(""17XjIPGwafStTRf_8bPPaoi2EFjHVy10_rRJ0uvy6YcU"",""X:X""), IMPORTRANGE(""17XjIPGwafStTRf_8bPPaoi2EFjHVy10_rRJ0uvy6YcU"",""AF:AF""))"),327961.5110225272)</f>
        <v>327961.511</v>
      </c>
      <c r="E19" s="24">
        <f>IFERROR(__xludf.DUMMYFUNCTION("SUMPRODUCT((IMPORTRANGE(""17XjIPGwafStTRf_8bPPaoi2EFjHVy10_rRJ0uvy6YcU"",""M:M"")=B19)*1, IMPORTRANGE(""17XjIPGwafStTRf_8bPPaoi2EFjHVy10_rRJ0uvy6YcU"",""X:X""), IMPORTRANGE(""17XjIPGwafStTRf_8bPPaoi2EFjHVy10_rRJ0uvy6YcU"",""AO:AO""))"),77194.91719036028)</f>
        <v>77194.91719</v>
      </c>
      <c r="F19" s="25">
        <f>IFERROR(__xludf.DUMMYFUNCTION("SUMPRODUCT((IMPORTRANGE(""17XjIPGwafStTRf_8bPPaoi2EFjHVy10_rRJ0uvy6YcU"",""M:M"")=B19)*1, IMPORTRANGE(""17XjIPGwafStTRf_8bPPaoi2EFjHVy10_rRJ0uvy6YcU"",""X:X""))"),92.0)</f>
        <v>92</v>
      </c>
      <c r="G19" s="26">
        <f>IFERROR(__xludf.DUMMYFUNCTION("COUNTIF(IMPORTRANGE(""17XjIPGwafStTRf_8bPPaoi2EFjHVy10_rRJ0uvy6YcU"",""M:M""), B19)"),36.0)</f>
        <v>36</v>
      </c>
      <c r="H19" s="27">
        <f t="shared" si="1"/>
        <v>2.555555556</v>
      </c>
      <c r="I19" s="28">
        <f t="shared" si="2"/>
        <v>0.1501802811</v>
      </c>
      <c r="J19" s="29">
        <f t="shared" si="3"/>
        <v>0.2353779776</v>
      </c>
      <c r="K19" s="32"/>
      <c r="L19" s="31" t="str">
        <f t="shared" si="4"/>
        <v/>
      </c>
      <c r="M19" s="31" t="str">
        <f t="shared" si="5"/>
        <v/>
      </c>
      <c r="N19" s="4"/>
    </row>
    <row r="20">
      <c r="A20" s="1"/>
      <c r="B20" s="23">
        <f t="shared" si="6"/>
        <v>44454</v>
      </c>
      <c r="C20" s="24">
        <f>IFERROR(__xludf.DUMMYFUNCTION("SUMPRODUCT((IMPORTRANGE(""17XjIPGwafStTRf_8bPPaoi2EFjHVy10_rRJ0uvy6YcU"",""M:M"")=B20)*1, IMPORTRANGE(""17XjIPGwafStTRf_8bPPaoi2EFjHVy10_rRJ0uvy6YcU"",""X:X""), IMPORTRANGE(""17XjIPGwafStTRf_8bPPaoi2EFjHVy10_rRJ0uvy6YcU"",""AK:AK"")) - SUMPRODUCT((IMPORTR"&amp;"ANGE(""17XjIPGwafStTRf_8bPPaoi2EFjHVy10_rRJ0uvy6YcU"",""M:M"")=B20)*1, IMPORTRANGE(""17XjIPGwafStTRf_8bPPaoi2EFjHVy10_rRJ0uvy6YcU"",""X:X""), IMPORTRANGE(""17XjIPGwafStTRf_8bPPaoi2EFjHVy10_rRJ0uvy6YcU"",""AL:AL""))"),490285.0)</f>
        <v>490285</v>
      </c>
      <c r="D20" s="24">
        <f>IFERROR(__xludf.DUMMYFUNCTION("SUMPRODUCT((IMPORTRANGE(""17XjIPGwafStTRf_8bPPaoi2EFjHVy10_rRJ0uvy6YcU"",""M:M"")=B20)*1, IMPORTRANGE(""17XjIPGwafStTRf_8bPPaoi2EFjHVy10_rRJ0uvy6YcU"",""X:X""), IMPORTRANGE(""17XjIPGwafStTRf_8bPPaoi2EFjHVy10_rRJ0uvy6YcU"",""AA:AA"")) + SUMPRODUCT((IMPORTR"&amp;"ANGE(""17XjIPGwafStTRf_8bPPaoi2EFjHVy10_rRJ0uvy6YcU"",""M:M"")=B20)*1, IMPORTRANGE(""17XjIPGwafStTRf_8bPPaoi2EFjHVy10_rRJ0uvy6YcU"",""X:X""), IMPORTRANGE(""17XjIPGwafStTRf_8bPPaoi2EFjHVy10_rRJ0uvy6YcU"",""AE:AE"")) + SUMPRODUCT((IMPORTRANGE(""17XjIPGwafSt"&amp;"TRf_8bPPaoi2EFjHVy10_rRJ0uvy6YcU"",""M:M"")=B20)*1, IMPORTRANGE(""17XjIPGwafStTRf_8bPPaoi2EFjHVy10_rRJ0uvy6YcU"",""X:X""), IMPORTRANGE(""17XjIPGwafStTRf_8bPPaoi2EFjHVy10_rRJ0uvy6YcU"",""AF:AF""))"),309615.99991220277)</f>
        <v>309615.9999</v>
      </c>
      <c r="E20" s="24">
        <f>IFERROR(__xludf.DUMMYFUNCTION("SUMPRODUCT((IMPORTRANGE(""17XjIPGwafStTRf_8bPPaoi2EFjHVy10_rRJ0uvy6YcU"",""M:M"")=B20)*1, IMPORTRANGE(""17XjIPGwafStTRf_8bPPaoi2EFjHVy10_rRJ0uvy6YcU"",""X:X""), IMPORTRANGE(""17XjIPGwafStTRf_8bPPaoi2EFjHVy10_rRJ0uvy6YcU"",""AO:AO""))"),94510.6274967157)</f>
        <v>94510.6275</v>
      </c>
      <c r="F20" s="25">
        <f>IFERROR(__xludf.DUMMYFUNCTION("SUMPRODUCT((IMPORTRANGE(""17XjIPGwafStTRf_8bPPaoi2EFjHVy10_rRJ0uvy6YcU"",""M:M"")=B20)*1, IMPORTRANGE(""17XjIPGwafStTRf_8bPPaoi2EFjHVy10_rRJ0uvy6YcU"",""X:X""))"),85.0)</f>
        <v>85</v>
      </c>
      <c r="G20" s="26">
        <f>IFERROR(__xludf.DUMMYFUNCTION("COUNTIF(IMPORTRANGE(""17XjIPGwafStTRf_8bPPaoi2EFjHVy10_rRJ0uvy6YcU"",""M:M""), B20)"),27.0)</f>
        <v>27</v>
      </c>
      <c r="H20" s="27">
        <f t="shared" si="1"/>
        <v>3.148148148</v>
      </c>
      <c r="I20" s="28">
        <f t="shared" si="2"/>
        <v>0.1927667122</v>
      </c>
      <c r="J20" s="29">
        <f t="shared" si="3"/>
        <v>0.3052511095</v>
      </c>
      <c r="K20" s="32"/>
      <c r="L20" s="31" t="str">
        <f t="shared" si="4"/>
        <v/>
      </c>
      <c r="M20" s="31" t="str">
        <f t="shared" si="5"/>
        <v/>
      </c>
      <c r="N20" s="4"/>
    </row>
    <row r="21">
      <c r="A21" s="1"/>
      <c r="B21" s="23">
        <f t="shared" si="6"/>
        <v>44455</v>
      </c>
      <c r="C21" s="24">
        <f>IFERROR(__xludf.DUMMYFUNCTION("SUMPRODUCT((IMPORTRANGE(""17XjIPGwafStTRf_8bPPaoi2EFjHVy10_rRJ0uvy6YcU"",""M:M"")=B21)*1, IMPORTRANGE(""17XjIPGwafStTRf_8bPPaoi2EFjHVy10_rRJ0uvy6YcU"",""X:X""), IMPORTRANGE(""17XjIPGwafStTRf_8bPPaoi2EFjHVy10_rRJ0uvy6YcU"",""AK:AK"")) - SUMPRODUCT((IMPORTR"&amp;"ANGE(""17XjIPGwafStTRf_8bPPaoi2EFjHVy10_rRJ0uvy6YcU"",""M:M"")=B21)*1, IMPORTRANGE(""17XjIPGwafStTRf_8bPPaoi2EFjHVy10_rRJ0uvy6YcU"",""X:X""), IMPORTRANGE(""17XjIPGwafStTRf_8bPPaoi2EFjHVy10_rRJ0uvy6YcU"",""AL:AL""))"),899569.0)</f>
        <v>899569</v>
      </c>
      <c r="D21" s="24">
        <f>IFERROR(__xludf.DUMMYFUNCTION("SUMPRODUCT((IMPORTRANGE(""17XjIPGwafStTRf_8bPPaoi2EFjHVy10_rRJ0uvy6YcU"",""M:M"")=B21)*1, IMPORTRANGE(""17XjIPGwafStTRf_8bPPaoi2EFjHVy10_rRJ0uvy6YcU"",""X:X""), IMPORTRANGE(""17XjIPGwafStTRf_8bPPaoi2EFjHVy10_rRJ0uvy6YcU"",""AA:AA"")) + SUMPRODUCT((IMPORTR"&amp;"ANGE(""17XjIPGwafStTRf_8bPPaoi2EFjHVy10_rRJ0uvy6YcU"",""M:M"")=B21)*1, IMPORTRANGE(""17XjIPGwafStTRf_8bPPaoi2EFjHVy10_rRJ0uvy6YcU"",""X:X""), IMPORTRANGE(""17XjIPGwafStTRf_8bPPaoi2EFjHVy10_rRJ0uvy6YcU"",""AE:AE"")) + SUMPRODUCT((IMPORTRANGE(""17XjIPGwafSt"&amp;"TRf_8bPPaoi2EFjHVy10_rRJ0uvy6YcU"",""M:M"")=B21)*1, IMPORTRANGE(""17XjIPGwafStTRf_8bPPaoi2EFjHVy10_rRJ0uvy6YcU"",""X:X""), IMPORTRANGE(""17XjIPGwafStTRf_8bPPaoi2EFjHVy10_rRJ0uvy6YcU"",""AF:AF""))"),555394.3515867695)</f>
        <v>555394.3516</v>
      </c>
      <c r="E21" s="24">
        <f>IFERROR(__xludf.DUMMYFUNCTION("SUMPRODUCT((IMPORTRANGE(""17XjIPGwafStTRf_8bPPaoi2EFjHVy10_rRJ0uvy6YcU"",""M:M"")=B21)*1, IMPORTRANGE(""17XjIPGwafStTRf_8bPPaoi2EFjHVy10_rRJ0uvy6YcU"",""X:X""), IMPORTRANGE(""17XjIPGwafStTRf_8bPPaoi2EFjHVy10_rRJ0uvy6YcU"",""AO:AO""))"),175307.01289313773)</f>
        <v>175307.0129</v>
      </c>
      <c r="F21" s="25">
        <f>IFERROR(__xludf.DUMMYFUNCTION("SUMPRODUCT((IMPORTRANGE(""17XjIPGwafStTRf_8bPPaoi2EFjHVy10_rRJ0uvy6YcU"",""M:M"")=B21)*1, IMPORTRANGE(""17XjIPGwafStTRf_8bPPaoi2EFjHVy10_rRJ0uvy6YcU"",""X:X""))"),219.0)</f>
        <v>219</v>
      </c>
      <c r="G21" s="26">
        <f>IFERROR(__xludf.DUMMYFUNCTION("COUNTIF(IMPORTRANGE(""17XjIPGwafStTRf_8bPPaoi2EFjHVy10_rRJ0uvy6YcU"",""M:M""), B21)"),61.0)</f>
        <v>61</v>
      </c>
      <c r="H21" s="27">
        <f t="shared" si="1"/>
        <v>3.590163934</v>
      </c>
      <c r="I21" s="28">
        <f t="shared" si="2"/>
        <v>0.1948788952</v>
      </c>
      <c r="J21" s="29">
        <f t="shared" si="3"/>
        <v>0.3156442128</v>
      </c>
      <c r="K21" s="32"/>
      <c r="L21" s="31" t="str">
        <f t="shared" si="4"/>
        <v/>
      </c>
      <c r="M21" s="31" t="str">
        <f t="shared" si="5"/>
        <v/>
      </c>
      <c r="N21" s="4"/>
    </row>
    <row r="22">
      <c r="A22" s="1"/>
      <c r="B22" s="23">
        <f t="shared" si="6"/>
        <v>44456</v>
      </c>
      <c r="C22" s="24">
        <f>IFERROR(__xludf.DUMMYFUNCTION("SUMPRODUCT((IMPORTRANGE(""17XjIPGwafStTRf_8bPPaoi2EFjHVy10_rRJ0uvy6YcU"",""M:M"")=B22)*1, IMPORTRANGE(""17XjIPGwafStTRf_8bPPaoi2EFjHVy10_rRJ0uvy6YcU"",""X:X""), IMPORTRANGE(""17XjIPGwafStTRf_8bPPaoi2EFjHVy10_rRJ0uvy6YcU"",""AK:AK"")) - SUMPRODUCT((IMPORTR"&amp;"ANGE(""17XjIPGwafStTRf_8bPPaoi2EFjHVy10_rRJ0uvy6YcU"",""M:M"")=B22)*1, IMPORTRANGE(""17XjIPGwafStTRf_8bPPaoi2EFjHVy10_rRJ0uvy6YcU"",""X:X""), IMPORTRANGE(""17XjIPGwafStTRf_8bPPaoi2EFjHVy10_rRJ0uvy6YcU"",""AL:AL""))"),484051.0)</f>
        <v>484051</v>
      </c>
      <c r="D22" s="24">
        <f>IFERROR(__xludf.DUMMYFUNCTION("SUMPRODUCT((IMPORTRANGE(""17XjIPGwafStTRf_8bPPaoi2EFjHVy10_rRJ0uvy6YcU"",""M:M"")=B22)*1, IMPORTRANGE(""17XjIPGwafStTRf_8bPPaoi2EFjHVy10_rRJ0uvy6YcU"",""X:X""), IMPORTRANGE(""17XjIPGwafStTRf_8bPPaoi2EFjHVy10_rRJ0uvy6YcU"",""AA:AA"")) + SUMPRODUCT((IMPORTR"&amp;"ANGE(""17XjIPGwafStTRf_8bPPaoi2EFjHVy10_rRJ0uvy6YcU"",""M:M"")=B22)*1, IMPORTRANGE(""17XjIPGwafStTRf_8bPPaoi2EFjHVy10_rRJ0uvy6YcU"",""X:X""), IMPORTRANGE(""17XjIPGwafStTRf_8bPPaoi2EFjHVy10_rRJ0uvy6YcU"",""AE:AE"")) + SUMPRODUCT((IMPORTRANGE(""17XjIPGwafSt"&amp;"TRf_8bPPaoi2EFjHVy10_rRJ0uvy6YcU"",""M:M"")=B22)*1, IMPORTRANGE(""17XjIPGwafStTRf_8bPPaoi2EFjHVy10_rRJ0uvy6YcU"",""X:X""), IMPORTRANGE(""17XjIPGwafStTRf_8bPPaoi2EFjHVy10_rRJ0uvy6YcU"",""AF:AF""))"),329511.46614184364)</f>
        <v>329511.4661</v>
      </c>
      <c r="E22" s="24">
        <f>IFERROR(__xludf.DUMMYFUNCTION("SUMPRODUCT((IMPORTRANGE(""17XjIPGwafStTRf_8bPPaoi2EFjHVy10_rRJ0uvy6YcU"",""M:M"")=B22)*1, IMPORTRANGE(""17XjIPGwafStTRf_8bPPaoi2EFjHVy10_rRJ0uvy6YcU"",""X:X""), IMPORTRANGE(""17XjIPGwafStTRf_8bPPaoi2EFjHVy10_rRJ0uvy6YcU"",""AO:AO""))"),70127.5473091982)</f>
        <v>70127.54731</v>
      </c>
      <c r="F22" s="25">
        <f>IFERROR(__xludf.DUMMYFUNCTION("SUMPRODUCT((IMPORTRANGE(""17XjIPGwafStTRf_8bPPaoi2EFjHVy10_rRJ0uvy6YcU"",""M:M"")=B22)*1, IMPORTRANGE(""17XjIPGwafStTRf_8bPPaoi2EFjHVy10_rRJ0uvy6YcU"",""X:X""))"),77.0)</f>
        <v>77</v>
      </c>
      <c r="G22" s="26">
        <f>IFERROR(__xludf.DUMMYFUNCTION("COUNTIF(IMPORTRANGE(""17XjIPGwafStTRf_8bPPaoi2EFjHVy10_rRJ0uvy6YcU"",""M:M""), B22)"),28.0)</f>
        <v>28</v>
      </c>
      <c r="H22" s="27">
        <f t="shared" si="1"/>
        <v>2.75</v>
      </c>
      <c r="I22" s="28">
        <f t="shared" si="2"/>
        <v>0.1448763608</v>
      </c>
      <c r="J22" s="29">
        <f t="shared" si="3"/>
        <v>0.2128227832</v>
      </c>
      <c r="K22" s="32"/>
      <c r="L22" s="31" t="str">
        <f t="shared" si="4"/>
        <v/>
      </c>
      <c r="M22" s="31" t="str">
        <f t="shared" si="5"/>
        <v/>
      </c>
      <c r="N22" s="4"/>
    </row>
    <row r="23">
      <c r="A23" s="1"/>
      <c r="B23" s="23">
        <f t="shared" si="6"/>
        <v>44457</v>
      </c>
      <c r="C23" s="24">
        <f>IFERROR(__xludf.DUMMYFUNCTION("SUMPRODUCT((IMPORTRANGE(""17XjIPGwafStTRf_8bPPaoi2EFjHVy10_rRJ0uvy6YcU"",""M:M"")=B23)*1, IMPORTRANGE(""17XjIPGwafStTRf_8bPPaoi2EFjHVy10_rRJ0uvy6YcU"",""X:X""), IMPORTRANGE(""17XjIPGwafStTRf_8bPPaoi2EFjHVy10_rRJ0uvy6YcU"",""AK:AK"")) - SUMPRODUCT((IMPORTR"&amp;"ANGE(""17XjIPGwafStTRf_8bPPaoi2EFjHVy10_rRJ0uvy6YcU"",""M:M"")=B23)*1, IMPORTRANGE(""17XjIPGwafStTRf_8bPPaoi2EFjHVy10_rRJ0uvy6YcU"",""X:X""), IMPORTRANGE(""17XjIPGwafStTRf_8bPPaoi2EFjHVy10_rRJ0uvy6YcU"",""AL:AL""))"),0.0)</f>
        <v>0</v>
      </c>
      <c r="D23" s="24">
        <f>IFERROR(__xludf.DUMMYFUNCTION("SUMPRODUCT((IMPORTRANGE(""17XjIPGwafStTRf_8bPPaoi2EFjHVy10_rRJ0uvy6YcU"",""M:M"")=B23)*1, IMPORTRANGE(""17XjIPGwafStTRf_8bPPaoi2EFjHVy10_rRJ0uvy6YcU"",""X:X""), IMPORTRANGE(""17XjIPGwafStTRf_8bPPaoi2EFjHVy10_rRJ0uvy6YcU"",""AA:AA"")) + SUMPRODUCT((IMPORTR"&amp;"ANGE(""17XjIPGwafStTRf_8bPPaoi2EFjHVy10_rRJ0uvy6YcU"",""M:M"")=B23)*1, IMPORTRANGE(""17XjIPGwafStTRf_8bPPaoi2EFjHVy10_rRJ0uvy6YcU"",""X:X""), IMPORTRANGE(""17XjIPGwafStTRf_8bPPaoi2EFjHVy10_rRJ0uvy6YcU"",""AE:AE"")) + SUMPRODUCT((IMPORTRANGE(""17XjIPGwafSt"&amp;"TRf_8bPPaoi2EFjHVy10_rRJ0uvy6YcU"",""M:M"")=B23)*1, IMPORTRANGE(""17XjIPGwafStTRf_8bPPaoi2EFjHVy10_rRJ0uvy6YcU"",""X:X""), IMPORTRANGE(""17XjIPGwafStTRf_8bPPaoi2EFjHVy10_rRJ0uvy6YcU"",""AF:AF""))"),0.0)</f>
        <v>0</v>
      </c>
      <c r="E23" s="24">
        <f>IFERROR(__xludf.DUMMYFUNCTION("SUMPRODUCT((IMPORTRANGE(""17XjIPGwafStTRf_8bPPaoi2EFjHVy10_rRJ0uvy6YcU"",""M:M"")=B23)*1, IMPORTRANGE(""17XjIPGwafStTRf_8bPPaoi2EFjHVy10_rRJ0uvy6YcU"",""X:X""), IMPORTRANGE(""17XjIPGwafStTRf_8bPPaoi2EFjHVy10_rRJ0uvy6YcU"",""AO:AO""))"),0.0)</f>
        <v>0</v>
      </c>
      <c r="F23" s="25">
        <f>IFERROR(__xludf.DUMMYFUNCTION("SUMPRODUCT((IMPORTRANGE(""17XjIPGwafStTRf_8bPPaoi2EFjHVy10_rRJ0uvy6YcU"",""M:M"")=B23)*1, IMPORTRANGE(""17XjIPGwafStTRf_8bPPaoi2EFjHVy10_rRJ0uvy6YcU"",""X:X""))"),0.0)</f>
        <v>0</v>
      </c>
      <c r="G23" s="26">
        <f>IFERROR(__xludf.DUMMYFUNCTION("COUNTIF(IMPORTRANGE(""17XjIPGwafStTRf_8bPPaoi2EFjHVy10_rRJ0uvy6YcU"",""M:M""), B23)"),0.0)</f>
        <v>0</v>
      </c>
      <c r="H23" s="27" t="str">
        <f t="shared" si="1"/>
        <v/>
      </c>
      <c r="I23" s="28" t="str">
        <f t="shared" si="2"/>
        <v/>
      </c>
      <c r="J23" s="29" t="str">
        <f t="shared" si="3"/>
        <v/>
      </c>
      <c r="K23" s="32"/>
      <c r="L23" s="31" t="str">
        <f t="shared" si="4"/>
        <v/>
      </c>
      <c r="M23" s="31" t="str">
        <f t="shared" si="5"/>
        <v/>
      </c>
      <c r="N23" s="4"/>
    </row>
    <row r="24">
      <c r="A24" s="1"/>
      <c r="B24" s="23">
        <f t="shared" si="6"/>
        <v>44458</v>
      </c>
      <c r="C24" s="24">
        <f>IFERROR(__xludf.DUMMYFUNCTION("SUMPRODUCT((IMPORTRANGE(""17XjIPGwafStTRf_8bPPaoi2EFjHVy10_rRJ0uvy6YcU"",""M:M"")=B24)*1, IMPORTRANGE(""17XjIPGwafStTRf_8bPPaoi2EFjHVy10_rRJ0uvy6YcU"",""X:X""), IMPORTRANGE(""17XjIPGwafStTRf_8bPPaoi2EFjHVy10_rRJ0uvy6YcU"",""AK:AK"")) - SUMPRODUCT((IMPORTR"&amp;"ANGE(""17XjIPGwafStTRf_8bPPaoi2EFjHVy10_rRJ0uvy6YcU"",""M:M"")=B24)*1, IMPORTRANGE(""17XjIPGwafStTRf_8bPPaoi2EFjHVy10_rRJ0uvy6YcU"",""X:X""), IMPORTRANGE(""17XjIPGwafStTRf_8bPPaoi2EFjHVy10_rRJ0uvy6YcU"",""AL:AL""))"),850178.0)</f>
        <v>850178</v>
      </c>
      <c r="D24" s="24">
        <f>IFERROR(__xludf.DUMMYFUNCTION("SUMPRODUCT((IMPORTRANGE(""17XjIPGwafStTRf_8bPPaoi2EFjHVy10_rRJ0uvy6YcU"",""M:M"")=B24)*1, IMPORTRANGE(""17XjIPGwafStTRf_8bPPaoi2EFjHVy10_rRJ0uvy6YcU"",""X:X""), IMPORTRANGE(""17XjIPGwafStTRf_8bPPaoi2EFjHVy10_rRJ0uvy6YcU"",""AA:AA"")) + SUMPRODUCT((IMPORTR"&amp;"ANGE(""17XjIPGwafStTRf_8bPPaoi2EFjHVy10_rRJ0uvy6YcU"",""M:M"")=B24)*1, IMPORTRANGE(""17XjIPGwafStTRf_8bPPaoi2EFjHVy10_rRJ0uvy6YcU"",""X:X""), IMPORTRANGE(""17XjIPGwafStTRf_8bPPaoi2EFjHVy10_rRJ0uvy6YcU"",""AE:AE"")) + SUMPRODUCT((IMPORTRANGE(""17XjIPGwafSt"&amp;"TRf_8bPPaoi2EFjHVy10_rRJ0uvy6YcU"",""M:M"")=B24)*1, IMPORTRANGE(""17XjIPGwafStTRf_8bPPaoi2EFjHVy10_rRJ0uvy6YcU"",""X:X""), IMPORTRANGE(""17XjIPGwafStTRf_8bPPaoi2EFjHVy10_rRJ0uvy6YcU"",""AF:AF""))"),581346.6016919459)</f>
        <v>581346.6017</v>
      </c>
      <c r="E24" s="24">
        <f>IFERROR(__xludf.DUMMYFUNCTION("SUMPRODUCT((IMPORTRANGE(""17XjIPGwafStTRf_8bPPaoi2EFjHVy10_rRJ0uvy6YcU"",""M:M"")=B24)*1, IMPORTRANGE(""17XjIPGwafStTRf_8bPPaoi2EFjHVy10_rRJ0uvy6YcU"",""X:X""), IMPORTRANGE(""17XjIPGwafStTRf_8bPPaoi2EFjHVy10_rRJ0uvy6YcU"",""AO:AO""))"),167962.23113921328)</f>
        <v>167962.2311</v>
      </c>
      <c r="F24" s="25">
        <f>IFERROR(__xludf.DUMMYFUNCTION("SUMPRODUCT((IMPORTRANGE(""17XjIPGwafStTRf_8bPPaoi2EFjHVy10_rRJ0uvy6YcU"",""M:M"")=B24)*1, IMPORTRANGE(""17XjIPGwafStTRf_8bPPaoi2EFjHVy10_rRJ0uvy6YcU"",""X:X""))"),148.0)</f>
        <v>148</v>
      </c>
      <c r="G24" s="26">
        <f>IFERROR(__xludf.DUMMYFUNCTION("COUNTIF(IMPORTRANGE(""17XjIPGwafStTRf_8bPPaoi2EFjHVy10_rRJ0uvy6YcU"",""M:M""), B24)"),57.0)</f>
        <v>57</v>
      </c>
      <c r="H24" s="27">
        <f t="shared" si="1"/>
        <v>2.596491228</v>
      </c>
      <c r="I24" s="28">
        <f t="shared" si="2"/>
        <v>0.1975612532</v>
      </c>
      <c r="J24" s="29">
        <f t="shared" si="3"/>
        <v>0.288919262</v>
      </c>
      <c r="K24" s="30"/>
      <c r="L24" s="31" t="str">
        <f t="shared" si="4"/>
        <v/>
      </c>
      <c r="M24" s="31" t="str">
        <f t="shared" si="5"/>
        <v/>
      </c>
      <c r="N24" s="4"/>
    </row>
    <row r="25">
      <c r="A25" s="1"/>
      <c r="B25" s="23">
        <f t="shared" si="6"/>
        <v>44459</v>
      </c>
      <c r="C25" s="24">
        <f>IFERROR(__xludf.DUMMYFUNCTION("SUMPRODUCT((IMPORTRANGE(""17XjIPGwafStTRf_8bPPaoi2EFjHVy10_rRJ0uvy6YcU"",""M:M"")=B25)*1, IMPORTRANGE(""17XjIPGwafStTRf_8bPPaoi2EFjHVy10_rRJ0uvy6YcU"",""X:X""), IMPORTRANGE(""17XjIPGwafStTRf_8bPPaoi2EFjHVy10_rRJ0uvy6YcU"",""AK:AK"")) - SUMPRODUCT((IMPORTR"&amp;"ANGE(""17XjIPGwafStTRf_8bPPaoi2EFjHVy10_rRJ0uvy6YcU"",""M:M"")=B25)*1, IMPORTRANGE(""17XjIPGwafStTRf_8bPPaoi2EFjHVy10_rRJ0uvy6YcU"",""X:X""), IMPORTRANGE(""17XjIPGwafStTRf_8bPPaoi2EFjHVy10_rRJ0uvy6YcU"",""AL:AL""))"),201501.0)</f>
        <v>201501</v>
      </c>
      <c r="D25" s="24">
        <f>IFERROR(__xludf.DUMMYFUNCTION("SUMPRODUCT((IMPORTRANGE(""17XjIPGwafStTRf_8bPPaoi2EFjHVy10_rRJ0uvy6YcU"",""M:M"")=B25)*1, IMPORTRANGE(""17XjIPGwafStTRf_8bPPaoi2EFjHVy10_rRJ0uvy6YcU"",""X:X""), IMPORTRANGE(""17XjIPGwafStTRf_8bPPaoi2EFjHVy10_rRJ0uvy6YcU"",""AA:AA"")) + SUMPRODUCT((IMPORTR"&amp;"ANGE(""17XjIPGwafStTRf_8bPPaoi2EFjHVy10_rRJ0uvy6YcU"",""M:M"")=B25)*1, IMPORTRANGE(""17XjIPGwafStTRf_8bPPaoi2EFjHVy10_rRJ0uvy6YcU"",""X:X""), IMPORTRANGE(""17XjIPGwafStTRf_8bPPaoi2EFjHVy10_rRJ0uvy6YcU"",""AE:AE"")) + SUMPRODUCT((IMPORTRANGE(""17XjIPGwafSt"&amp;"TRf_8bPPaoi2EFjHVy10_rRJ0uvy6YcU"",""M:M"")=B25)*1, IMPORTRANGE(""17XjIPGwafStTRf_8bPPaoi2EFjHVy10_rRJ0uvy6YcU"",""X:X""), IMPORTRANGE(""17XjIPGwafStTRf_8bPPaoi2EFjHVy10_rRJ0uvy6YcU"",""AF:AF""))"),142934.740172472)</f>
        <v>142934.7402</v>
      </c>
      <c r="E25" s="24">
        <f>IFERROR(__xludf.DUMMYFUNCTION("SUMPRODUCT((IMPORTRANGE(""17XjIPGwafStTRf_8bPPaoi2EFjHVy10_rRJ0uvy6YcU"",""M:M"")=B25)*1, IMPORTRANGE(""17XjIPGwafStTRf_8bPPaoi2EFjHVy10_rRJ0uvy6YcU"",""X:X""), IMPORTRANGE(""17XjIPGwafStTRf_8bPPaoi2EFjHVy10_rRJ0uvy6YcU"",""AO:AO""))"),54012.65982752799)</f>
        <v>54012.65983</v>
      </c>
      <c r="F25" s="25">
        <f>IFERROR(__xludf.DUMMYFUNCTION("SUMPRODUCT((IMPORTRANGE(""17XjIPGwafStTRf_8bPPaoi2EFjHVy10_rRJ0uvy6YcU"",""M:M"")=B25)*1, IMPORTRANGE(""17XjIPGwafStTRf_8bPPaoi2EFjHVy10_rRJ0uvy6YcU"",""X:X""))"),37.0)</f>
        <v>37</v>
      </c>
      <c r="G25" s="26">
        <f>IFERROR(__xludf.DUMMYFUNCTION("COUNTIF(IMPORTRANGE(""17XjIPGwafStTRf_8bPPaoi2EFjHVy10_rRJ0uvy6YcU"",""M:M""), B25)"),14.0)</f>
        <v>14</v>
      </c>
      <c r="H25" s="27">
        <f t="shared" si="1"/>
        <v>2.642857143</v>
      </c>
      <c r="I25" s="28">
        <f t="shared" si="2"/>
        <v>0.2680515721</v>
      </c>
      <c r="J25" s="29">
        <f t="shared" si="3"/>
        <v>0.3778833597</v>
      </c>
      <c r="K25" s="32"/>
      <c r="L25" s="31" t="str">
        <f t="shared" si="4"/>
        <v/>
      </c>
      <c r="M25" s="31" t="str">
        <f t="shared" si="5"/>
        <v/>
      </c>
      <c r="N25" s="4"/>
    </row>
    <row r="26">
      <c r="A26" s="1"/>
      <c r="B26" s="23">
        <f t="shared" si="6"/>
        <v>44460</v>
      </c>
      <c r="C26" s="24">
        <f>IFERROR(__xludf.DUMMYFUNCTION("SUMPRODUCT((IMPORTRANGE(""17XjIPGwafStTRf_8bPPaoi2EFjHVy10_rRJ0uvy6YcU"",""M:M"")=B26)*1, IMPORTRANGE(""17XjIPGwafStTRf_8bPPaoi2EFjHVy10_rRJ0uvy6YcU"",""X:X""), IMPORTRANGE(""17XjIPGwafStTRf_8bPPaoi2EFjHVy10_rRJ0uvy6YcU"",""AK:AK"")) - SUMPRODUCT((IMPORTR"&amp;"ANGE(""17XjIPGwafStTRf_8bPPaoi2EFjHVy10_rRJ0uvy6YcU"",""M:M"")=B26)*1, IMPORTRANGE(""17XjIPGwafStTRf_8bPPaoi2EFjHVy10_rRJ0uvy6YcU"",""X:X""), IMPORTRANGE(""17XjIPGwafStTRf_8bPPaoi2EFjHVy10_rRJ0uvy6YcU"",""AL:AL""))"),1986172.0)</f>
        <v>1986172</v>
      </c>
      <c r="D26" s="24">
        <f>IFERROR(__xludf.DUMMYFUNCTION("SUMPRODUCT((IMPORTRANGE(""17XjIPGwafStTRf_8bPPaoi2EFjHVy10_rRJ0uvy6YcU"",""M:M"")=B26)*1, IMPORTRANGE(""17XjIPGwafStTRf_8bPPaoi2EFjHVy10_rRJ0uvy6YcU"",""X:X""), IMPORTRANGE(""17XjIPGwafStTRf_8bPPaoi2EFjHVy10_rRJ0uvy6YcU"",""AA:AA"")) + SUMPRODUCT((IMPORTR"&amp;"ANGE(""17XjIPGwafStTRf_8bPPaoi2EFjHVy10_rRJ0uvy6YcU"",""M:M"")=B26)*1, IMPORTRANGE(""17XjIPGwafStTRf_8bPPaoi2EFjHVy10_rRJ0uvy6YcU"",""X:X""), IMPORTRANGE(""17XjIPGwafStTRf_8bPPaoi2EFjHVy10_rRJ0uvy6YcU"",""AE:AE"")) + SUMPRODUCT((IMPORTRANGE(""17XjIPGwafSt"&amp;"TRf_8bPPaoi2EFjHVy10_rRJ0uvy6YcU"",""M:M"")=B26)*1, IMPORTRANGE(""17XjIPGwafStTRf_8bPPaoi2EFjHVy10_rRJ0uvy6YcU"",""X:X""), IMPORTRANGE(""17XjIPGwafStTRf_8bPPaoi2EFjHVy10_rRJ0uvy6YcU"",""AF:AF""))"),1257454.2558061278)</f>
        <v>1257454.256</v>
      </c>
      <c r="E26" s="24">
        <f>IFERROR(__xludf.DUMMYFUNCTION("SUMPRODUCT((IMPORTRANGE(""17XjIPGwafStTRf_8bPPaoi2EFjHVy10_rRJ0uvy6YcU"",""M:M"")=B26)*1, IMPORTRANGE(""17XjIPGwafStTRf_8bPPaoi2EFjHVy10_rRJ0uvy6YcU"",""X:X""), IMPORTRANGE(""17XjIPGwafStTRf_8bPPaoi2EFjHVy10_rRJ0uvy6YcU"",""AO:AO""))"),183320.5441938722)</f>
        <v>183320.5442</v>
      </c>
      <c r="F26" s="25">
        <f>IFERROR(__xludf.DUMMYFUNCTION("SUMPRODUCT((IMPORTRANGE(""17XjIPGwafStTRf_8bPPaoi2EFjHVy10_rRJ0uvy6YcU"",""M:M"")=B26)*1, IMPORTRANGE(""17XjIPGwafStTRf_8bPPaoi2EFjHVy10_rRJ0uvy6YcU"",""X:X""))"),507.0)</f>
        <v>507</v>
      </c>
      <c r="G26" s="26">
        <f>IFERROR(__xludf.DUMMYFUNCTION("COUNTIF(IMPORTRANGE(""17XjIPGwafStTRf_8bPPaoi2EFjHVy10_rRJ0uvy6YcU"",""M:M""), B26)"),9.0)</f>
        <v>9</v>
      </c>
      <c r="H26" s="27">
        <f t="shared" si="1"/>
        <v>56.33333333</v>
      </c>
      <c r="I26" s="28">
        <f t="shared" si="2"/>
        <v>0.0922984234</v>
      </c>
      <c r="J26" s="29">
        <f t="shared" si="3"/>
        <v>0.1457870482</v>
      </c>
      <c r="K26" s="30"/>
      <c r="L26" s="31" t="str">
        <f t="shared" si="4"/>
        <v/>
      </c>
      <c r="M26" s="31" t="str">
        <f t="shared" si="5"/>
        <v/>
      </c>
      <c r="N26" s="4"/>
    </row>
    <row r="27">
      <c r="A27" s="1"/>
      <c r="B27" s="23">
        <f t="shared" si="6"/>
        <v>44461</v>
      </c>
      <c r="C27" s="24">
        <f>IFERROR(__xludf.DUMMYFUNCTION("SUMPRODUCT((IMPORTRANGE(""17XjIPGwafStTRf_8bPPaoi2EFjHVy10_rRJ0uvy6YcU"",""M:M"")=B27)*1, IMPORTRANGE(""17XjIPGwafStTRf_8bPPaoi2EFjHVy10_rRJ0uvy6YcU"",""X:X""), IMPORTRANGE(""17XjIPGwafStTRf_8bPPaoi2EFjHVy10_rRJ0uvy6YcU"",""AK:AK"")) - SUMPRODUCT((IMPORTR"&amp;"ANGE(""17XjIPGwafStTRf_8bPPaoi2EFjHVy10_rRJ0uvy6YcU"",""M:M"")=B27)*1, IMPORTRANGE(""17XjIPGwafStTRf_8bPPaoi2EFjHVy10_rRJ0uvy6YcU"",""X:X""), IMPORTRANGE(""17XjIPGwafStTRf_8bPPaoi2EFjHVy10_rRJ0uvy6YcU"",""AL:AL""))"),379050.0)</f>
        <v>379050</v>
      </c>
      <c r="D27" s="24">
        <f>IFERROR(__xludf.DUMMYFUNCTION("SUMPRODUCT((IMPORTRANGE(""17XjIPGwafStTRf_8bPPaoi2EFjHVy10_rRJ0uvy6YcU"",""M:M"")=B27)*1, IMPORTRANGE(""17XjIPGwafStTRf_8bPPaoi2EFjHVy10_rRJ0uvy6YcU"",""X:X""), IMPORTRANGE(""17XjIPGwafStTRf_8bPPaoi2EFjHVy10_rRJ0uvy6YcU"",""AA:AA"")) + SUMPRODUCT((IMPORTR"&amp;"ANGE(""17XjIPGwafStTRf_8bPPaoi2EFjHVy10_rRJ0uvy6YcU"",""M:M"")=B27)*1, IMPORTRANGE(""17XjIPGwafStTRf_8bPPaoi2EFjHVy10_rRJ0uvy6YcU"",""X:X""), IMPORTRANGE(""17XjIPGwafStTRf_8bPPaoi2EFjHVy10_rRJ0uvy6YcU"",""AE:AE"")) + SUMPRODUCT((IMPORTRANGE(""17XjIPGwafSt"&amp;"TRf_8bPPaoi2EFjHVy10_rRJ0uvy6YcU"",""M:M"")=B27)*1, IMPORTRANGE(""17XjIPGwafStTRf_8bPPaoi2EFjHVy10_rRJ0uvy6YcU"",""X:X""), IMPORTRANGE(""17XjIPGwafStTRf_8bPPaoi2EFjHVy10_rRJ0uvy6YcU"",""AF:AF""))"),252488.0304077635)</f>
        <v>252488.0304</v>
      </c>
      <c r="E27" s="24">
        <f>IFERROR(__xludf.DUMMYFUNCTION("SUMPRODUCT((IMPORTRANGE(""17XjIPGwafStTRf_8bPPaoi2EFjHVy10_rRJ0uvy6YcU"",""M:M"")=B27)*1, IMPORTRANGE(""17XjIPGwafStTRf_8bPPaoi2EFjHVy10_rRJ0uvy6YcU"",""X:X""), IMPORTRANGE(""17XjIPGwafStTRf_8bPPaoi2EFjHVy10_rRJ0uvy6YcU"",""AO:AO""))"),68638.60930571989)</f>
        <v>68638.60931</v>
      </c>
      <c r="F27" s="25">
        <f>IFERROR(__xludf.DUMMYFUNCTION("SUMPRODUCT((IMPORTRANGE(""17XjIPGwafStTRf_8bPPaoi2EFjHVy10_rRJ0uvy6YcU"",""M:M"")=B27)*1, IMPORTRANGE(""17XjIPGwafStTRf_8bPPaoi2EFjHVy10_rRJ0uvy6YcU"",""X:X""))"),42.0)</f>
        <v>42</v>
      </c>
      <c r="G27" s="26">
        <f>IFERROR(__xludf.DUMMYFUNCTION("COUNTIF(IMPORTRANGE(""17XjIPGwafStTRf_8bPPaoi2EFjHVy10_rRJ0uvy6YcU"",""M:M""), B27)"),17.0)</f>
        <v>17</v>
      </c>
      <c r="H27" s="27">
        <f t="shared" si="1"/>
        <v>2.470588235</v>
      </c>
      <c r="I27" s="28">
        <f t="shared" si="2"/>
        <v>0.1810806208</v>
      </c>
      <c r="J27" s="29">
        <f t="shared" si="3"/>
        <v>0.2718489633</v>
      </c>
      <c r="K27" s="32"/>
      <c r="L27" s="31" t="str">
        <f t="shared" si="4"/>
        <v/>
      </c>
      <c r="M27" s="31" t="str">
        <f t="shared" si="5"/>
        <v/>
      </c>
      <c r="N27" s="4"/>
    </row>
    <row r="28">
      <c r="A28" s="1"/>
      <c r="B28" s="23">
        <f t="shared" si="6"/>
        <v>44462</v>
      </c>
      <c r="C28" s="24">
        <f>IFERROR(__xludf.DUMMYFUNCTION("SUMPRODUCT((IMPORTRANGE(""17XjIPGwafStTRf_8bPPaoi2EFjHVy10_rRJ0uvy6YcU"",""M:M"")=B28)*1, IMPORTRANGE(""17XjIPGwafStTRf_8bPPaoi2EFjHVy10_rRJ0uvy6YcU"",""X:X""), IMPORTRANGE(""17XjIPGwafStTRf_8bPPaoi2EFjHVy10_rRJ0uvy6YcU"",""AK:AK"")) - SUMPRODUCT((IMPORTR"&amp;"ANGE(""17XjIPGwafStTRf_8bPPaoi2EFjHVy10_rRJ0uvy6YcU"",""M:M"")=B28)*1, IMPORTRANGE(""17XjIPGwafStTRf_8bPPaoi2EFjHVy10_rRJ0uvy6YcU"",""X:X""), IMPORTRANGE(""17XjIPGwafStTRf_8bPPaoi2EFjHVy10_rRJ0uvy6YcU"",""AL:AL""))"),0.0)</f>
        <v>0</v>
      </c>
      <c r="D28" s="24">
        <f>IFERROR(__xludf.DUMMYFUNCTION("SUMPRODUCT((IMPORTRANGE(""17XjIPGwafStTRf_8bPPaoi2EFjHVy10_rRJ0uvy6YcU"",""M:M"")=B28)*1, IMPORTRANGE(""17XjIPGwafStTRf_8bPPaoi2EFjHVy10_rRJ0uvy6YcU"",""X:X""), IMPORTRANGE(""17XjIPGwafStTRf_8bPPaoi2EFjHVy10_rRJ0uvy6YcU"",""AA:AA"")) + SUMPRODUCT((IMPORTR"&amp;"ANGE(""17XjIPGwafStTRf_8bPPaoi2EFjHVy10_rRJ0uvy6YcU"",""M:M"")=B28)*1, IMPORTRANGE(""17XjIPGwafStTRf_8bPPaoi2EFjHVy10_rRJ0uvy6YcU"",""X:X""), IMPORTRANGE(""17XjIPGwafStTRf_8bPPaoi2EFjHVy10_rRJ0uvy6YcU"",""AE:AE"")) + SUMPRODUCT((IMPORTRANGE(""17XjIPGwafSt"&amp;"TRf_8bPPaoi2EFjHVy10_rRJ0uvy6YcU"",""M:M"")=B28)*1, IMPORTRANGE(""17XjIPGwafStTRf_8bPPaoi2EFjHVy10_rRJ0uvy6YcU"",""X:X""), IMPORTRANGE(""17XjIPGwafStTRf_8bPPaoi2EFjHVy10_rRJ0uvy6YcU"",""AF:AF""))"),0.0)</f>
        <v>0</v>
      </c>
      <c r="E28" s="24">
        <f>IFERROR(__xludf.DUMMYFUNCTION("SUMPRODUCT((IMPORTRANGE(""17XjIPGwafStTRf_8bPPaoi2EFjHVy10_rRJ0uvy6YcU"",""M:M"")=B28)*1, IMPORTRANGE(""17XjIPGwafStTRf_8bPPaoi2EFjHVy10_rRJ0uvy6YcU"",""X:X""), IMPORTRANGE(""17XjIPGwafStTRf_8bPPaoi2EFjHVy10_rRJ0uvy6YcU"",""AO:AO""))"),0.0)</f>
        <v>0</v>
      </c>
      <c r="F28" s="25">
        <f>IFERROR(__xludf.DUMMYFUNCTION("SUMPRODUCT((IMPORTRANGE(""17XjIPGwafStTRf_8bPPaoi2EFjHVy10_rRJ0uvy6YcU"",""M:M"")=B28)*1, IMPORTRANGE(""17XjIPGwafStTRf_8bPPaoi2EFjHVy10_rRJ0uvy6YcU"",""X:X""))"),0.0)</f>
        <v>0</v>
      </c>
      <c r="G28" s="26">
        <f>IFERROR(__xludf.DUMMYFUNCTION("COUNTIF(IMPORTRANGE(""17XjIPGwafStTRf_8bPPaoi2EFjHVy10_rRJ0uvy6YcU"",""M:M""), B28)"),0.0)</f>
        <v>0</v>
      </c>
      <c r="H28" s="27" t="str">
        <f t="shared" si="1"/>
        <v/>
      </c>
      <c r="I28" s="28" t="str">
        <f t="shared" si="2"/>
        <v/>
      </c>
      <c r="J28" s="29" t="str">
        <f t="shared" si="3"/>
        <v/>
      </c>
      <c r="K28" s="32"/>
      <c r="L28" s="31" t="str">
        <f t="shared" si="4"/>
        <v/>
      </c>
      <c r="M28" s="31" t="str">
        <f t="shared" si="5"/>
        <v/>
      </c>
      <c r="N28" s="4"/>
    </row>
    <row r="29">
      <c r="A29" s="1"/>
      <c r="B29" s="23">
        <f t="shared" si="6"/>
        <v>44463</v>
      </c>
      <c r="C29" s="24">
        <f>IFERROR(__xludf.DUMMYFUNCTION("SUMPRODUCT((IMPORTRANGE(""17XjIPGwafStTRf_8bPPaoi2EFjHVy10_rRJ0uvy6YcU"",""M:M"")=B29)*1, IMPORTRANGE(""17XjIPGwafStTRf_8bPPaoi2EFjHVy10_rRJ0uvy6YcU"",""X:X""), IMPORTRANGE(""17XjIPGwafStTRf_8bPPaoi2EFjHVy10_rRJ0uvy6YcU"",""AK:AK"")) - SUMPRODUCT((IMPORTR"&amp;"ANGE(""17XjIPGwafStTRf_8bPPaoi2EFjHVy10_rRJ0uvy6YcU"",""M:M"")=B29)*1, IMPORTRANGE(""17XjIPGwafStTRf_8bPPaoi2EFjHVy10_rRJ0uvy6YcU"",""X:X""), IMPORTRANGE(""17XjIPGwafStTRf_8bPPaoi2EFjHVy10_rRJ0uvy6YcU"",""AL:AL""))"),922992.0)</f>
        <v>922992</v>
      </c>
      <c r="D29" s="24">
        <f>IFERROR(__xludf.DUMMYFUNCTION("SUMPRODUCT((IMPORTRANGE(""17XjIPGwafStTRf_8bPPaoi2EFjHVy10_rRJ0uvy6YcU"",""M:M"")=B29)*1, IMPORTRANGE(""17XjIPGwafStTRf_8bPPaoi2EFjHVy10_rRJ0uvy6YcU"",""X:X""), IMPORTRANGE(""17XjIPGwafStTRf_8bPPaoi2EFjHVy10_rRJ0uvy6YcU"",""AA:AA"")) + SUMPRODUCT((IMPORTR"&amp;"ANGE(""17XjIPGwafStTRf_8bPPaoi2EFjHVy10_rRJ0uvy6YcU"",""M:M"")=B29)*1, IMPORTRANGE(""17XjIPGwafStTRf_8bPPaoi2EFjHVy10_rRJ0uvy6YcU"",""X:X""), IMPORTRANGE(""17XjIPGwafStTRf_8bPPaoi2EFjHVy10_rRJ0uvy6YcU"",""AE:AE"")) + SUMPRODUCT((IMPORTRANGE(""17XjIPGwafSt"&amp;"TRf_8bPPaoi2EFjHVy10_rRJ0uvy6YcU"",""M:M"")=B29)*1, IMPORTRANGE(""17XjIPGwafStTRf_8bPPaoi2EFjHVy10_rRJ0uvy6YcU"",""X:X""), IMPORTRANGE(""17XjIPGwafStTRf_8bPPaoi2EFjHVy10_rRJ0uvy6YcU"",""AF:AF""))"),640201.7456884332)</f>
        <v>640201.7457</v>
      </c>
      <c r="E29" s="24">
        <f>IFERROR(__xludf.DUMMYFUNCTION("SUMPRODUCT((IMPORTRANGE(""17XjIPGwafStTRf_8bPPaoi2EFjHVy10_rRJ0uvy6YcU"",""M:M"")=B29)*1, IMPORTRANGE(""17XjIPGwafStTRf_8bPPaoi2EFjHVy10_rRJ0uvy6YcU"",""X:X""), IMPORTRANGE(""17XjIPGwafStTRf_8bPPaoi2EFjHVy10_rRJ0uvy6YcU"",""AO:AO""))"),168122.42725753202)</f>
        <v>168122.4273</v>
      </c>
      <c r="F29" s="25">
        <f>IFERROR(__xludf.DUMMYFUNCTION("SUMPRODUCT((IMPORTRANGE(""17XjIPGwafStTRf_8bPPaoi2EFjHVy10_rRJ0uvy6YcU"",""M:M"")=B29)*1, IMPORTRANGE(""17XjIPGwafStTRf_8bPPaoi2EFjHVy10_rRJ0uvy6YcU"",""X:X""))"),172.0)</f>
        <v>172</v>
      </c>
      <c r="G29" s="26">
        <f>IFERROR(__xludf.DUMMYFUNCTION("COUNTIF(IMPORTRANGE(""17XjIPGwafStTRf_8bPPaoi2EFjHVy10_rRJ0uvy6YcU"",""M:M""), B29)"),56.0)</f>
        <v>56</v>
      </c>
      <c r="H29" s="27">
        <f t="shared" si="1"/>
        <v>3.071428571</v>
      </c>
      <c r="I29" s="28">
        <f t="shared" si="2"/>
        <v>0.1821493873</v>
      </c>
      <c r="J29" s="29">
        <f t="shared" si="3"/>
        <v>0.2626085111</v>
      </c>
      <c r="K29" s="32"/>
      <c r="L29" s="31" t="str">
        <f t="shared" si="4"/>
        <v/>
      </c>
      <c r="M29" s="31" t="str">
        <f t="shared" si="5"/>
        <v/>
      </c>
      <c r="N29" s="4"/>
    </row>
    <row r="30">
      <c r="A30" s="1"/>
      <c r="B30" s="23">
        <f t="shared" si="6"/>
        <v>44464</v>
      </c>
      <c r="C30" s="24">
        <f>IFERROR(__xludf.DUMMYFUNCTION("SUMPRODUCT((IMPORTRANGE(""17XjIPGwafStTRf_8bPPaoi2EFjHVy10_rRJ0uvy6YcU"",""M:M"")=B30)*1, IMPORTRANGE(""17XjIPGwafStTRf_8bPPaoi2EFjHVy10_rRJ0uvy6YcU"",""X:X""), IMPORTRANGE(""17XjIPGwafStTRf_8bPPaoi2EFjHVy10_rRJ0uvy6YcU"",""AK:AK"")) - SUMPRODUCT((IMPORTR"&amp;"ANGE(""17XjIPGwafStTRf_8bPPaoi2EFjHVy10_rRJ0uvy6YcU"",""M:M"")=B30)*1, IMPORTRANGE(""17XjIPGwafStTRf_8bPPaoi2EFjHVy10_rRJ0uvy6YcU"",""X:X""), IMPORTRANGE(""17XjIPGwafStTRf_8bPPaoi2EFjHVy10_rRJ0uvy6YcU"",""AL:AL""))"),881789.0)</f>
        <v>881789</v>
      </c>
      <c r="D30" s="24">
        <f>IFERROR(__xludf.DUMMYFUNCTION("SUMPRODUCT((IMPORTRANGE(""17XjIPGwafStTRf_8bPPaoi2EFjHVy10_rRJ0uvy6YcU"",""M:M"")=B30)*1, IMPORTRANGE(""17XjIPGwafStTRf_8bPPaoi2EFjHVy10_rRJ0uvy6YcU"",""X:X""), IMPORTRANGE(""17XjIPGwafStTRf_8bPPaoi2EFjHVy10_rRJ0uvy6YcU"",""AA:AA"")) + SUMPRODUCT((IMPORTR"&amp;"ANGE(""17XjIPGwafStTRf_8bPPaoi2EFjHVy10_rRJ0uvy6YcU"",""M:M"")=B30)*1, IMPORTRANGE(""17XjIPGwafStTRf_8bPPaoi2EFjHVy10_rRJ0uvy6YcU"",""X:X""), IMPORTRANGE(""17XjIPGwafStTRf_8bPPaoi2EFjHVy10_rRJ0uvy6YcU"",""AE:AE"")) + SUMPRODUCT((IMPORTRANGE(""17XjIPGwafSt"&amp;"TRf_8bPPaoi2EFjHVy10_rRJ0uvy6YcU"",""M:M"")=B30)*1, IMPORTRANGE(""17XjIPGwafStTRf_8bPPaoi2EFjHVy10_rRJ0uvy6YcU"",""X:X""), IMPORTRANGE(""17XjIPGwafStTRf_8bPPaoi2EFjHVy10_rRJ0uvy6YcU"",""AF:AF""))"),559363.1382738809)</f>
        <v>559363.1383</v>
      </c>
      <c r="E30" s="24">
        <f>IFERROR(__xludf.DUMMYFUNCTION("SUMPRODUCT((IMPORTRANGE(""17XjIPGwafStTRf_8bPPaoi2EFjHVy10_rRJ0uvy6YcU"",""M:M"")=B30)*1, IMPORTRANGE(""17XjIPGwafStTRf_8bPPaoi2EFjHVy10_rRJ0uvy6YcU"",""X:X""), IMPORTRANGE(""17XjIPGwafStTRf_8bPPaoi2EFjHVy10_rRJ0uvy6YcU"",""AO:AO""))"),212108.72243735535)</f>
        <v>212108.7224</v>
      </c>
      <c r="F30" s="25">
        <f>IFERROR(__xludf.DUMMYFUNCTION("SUMPRODUCT((IMPORTRANGE(""17XjIPGwafStTRf_8bPPaoi2EFjHVy10_rRJ0uvy6YcU"",""M:M"")=B30)*1, IMPORTRANGE(""17XjIPGwafStTRf_8bPPaoi2EFjHVy10_rRJ0uvy6YcU"",""X:X""))"),99.0)</f>
        <v>99</v>
      </c>
      <c r="G30" s="26">
        <f>IFERROR(__xludf.DUMMYFUNCTION("COUNTIF(IMPORTRANGE(""17XjIPGwafStTRf_8bPPaoi2EFjHVy10_rRJ0uvy6YcU"",""M:M""), B30)"),30.0)</f>
        <v>30</v>
      </c>
      <c r="H30" s="27">
        <f t="shared" si="1"/>
        <v>3.3</v>
      </c>
      <c r="I30" s="28">
        <f t="shared" si="2"/>
        <v>0.2405436249</v>
      </c>
      <c r="J30" s="29">
        <f t="shared" si="3"/>
        <v>0.3791968185</v>
      </c>
      <c r="K30" s="30"/>
      <c r="L30" s="31" t="str">
        <f t="shared" si="4"/>
        <v/>
      </c>
      <c r="M30" s="31" t="str">
        <f t="shared" si="5"/>
        <v/>
      </c>
      <c r="N30" s="4"/>
    </row>
    <row r="31">
      <c r="A31" s="1"/>
      <c r="B31" s="23">
        <f t="shared" si="6"/>
        <v>44465</v>
      </c>
      <c r="C31" s="24">
        <f>IFERROR(__xludf.DUMMYFUNCTION("SUMPRODUCT((IMPORTRANGE(""17XjIPGwafStTRf_8bPPaoi2EFjHVy10_rRJ0uvy6YcU"",""M:M"")=B31)*1, IMPORTRANGE(""17XjIPGwafStTRf_8bPPaoi2EFjHVy10_rRJ0uvy6YcU"",""X:X""), IMPORTRANGE(""17XjIPGwafStTRf_8bPPaoi2EFjHVy10_rRJ0uvy6YcU"",""AK:AK"")) - SUMPRODUCT((IMPORTR"&amp;"ANGE(""17XjIPGwafStTRf_8bPPaoi2EFjHVy10_rRJ0uvy6YcU"",""M:M"")=B31)*1, IMPORTRANGE(""17XjIPGwafStTRf_8bPPaoi2EFjHVy10_rRJ0uvy6YcU"",""X:X""), IMPORTRANGE(""17XjIPGwafStTRf_8bPPaoi2EFjHVy10_rRJ0uvy6YcU"",""AL:AL""))"),935498.0)</f>
        <v>935498</v>
      </c>
      <c r="D31" s="24">
        <f>IFERROR(__xludf.DUMMYFUNCTION("SUMPRODUCT((IMPORTRANGE(""17XjIPGwafStTRf_8bPPaoi2EFjHVy10_rRJ0uvy6YcU"",""M:M"")=B31)*1, IMPORTRANGE(""17XjIPGwafStTRf_8bPPaoi2EFjHVy10_rRJ0uvy6YcU"",""X:X""), IMPORTRANGE(""17XjIPGwafStTRf_8bPPaoi2EFjHVy10_rRJ0uvy6YcU"",""AA:AA"")) + SUMPRODUCT((IMPORTR"&amp;"ANGE(""17XjIPGwafStTRf_8bPPaoi2EFjHVy10_rRJ0uvy6YcU"",""M:M"")=B31)*1, IMPORTRANGE(""17XjIPGwafStTRf_8bPPaoi2EFjHVy10_rRJ0uvy6YcU"",""X:X""), IMPORTRANGE(""17XjIPGwafStTRf_8bPPaoi2EFjHVy10_rRJ0uvy6YcU"",""AE:AE"")) + SUMPRODUCT((IMPORTRANGE(""17XjIPGwafSt"&amp;"TRf_8bPPaoi2EFjHVy10_rRJ0uvy6YcU"",""M:M"")=B31)*1, IMPORTRANGE(""17XjIPGwafStTRf_8bPPaoi2EFjHVy10_rRJ0uvy6YcU"",""X:X""), IMPORTRANGE(""17XjIPGwafStTRf_8bPPaoi2EFjHVy10_rRJ0uvy6YcU"",""AF:AF""))"),594385.1914301328)</f>
        <v>594385.1914</v>
      </c>
      <c r="E31" s="24">
        <f>IFERROR(__xludf.DUMMYFUNCTION("SUMPRODUCT((IMPORTRANGE(""17XjIPGwafStTRf_8bPPaoi2EFjHVy10_rRJ0uvy6YcU"",""M:M"")=B31)*1, IMPORTRANGE(""17XjIPGwafStTRf_8bPPaoi2EFjHVy10_rRJ0uvy6YcU"",""X:X""), IMPORTRANGE(""17XjIPGwafStTRf_8bPPaoi2EFjHVy10_rRJ0uvy6YcU"",""AO:AO""))"),169701.31730040046)</f>
        <v>169701.3173</v>
      </c>
      <c r="F31" s="25">
        <f>IFERROR(__xludf.DUMMYFUNCTION("SUMPRODUCT((IMPORTRANGE(""17XjIPGwafStTRf_8bPPaoi2EFjHVy10_rRJ0uvy6YcU"",""M:M"")=B31)*1, IMPORTRANGE(""17XjIPGwafStTRf_8bPPaoi2EFjHVy10_rRJ0uvy6YcU"",""X:X""))"),122.0)</f>
        <v>122</v>
      </c>
      <c r="G31" s="26">
        <f>IFERROR(__xludf.DUMMYFUNCTION("COUNTIF(IMPORTRANGE(""17XjIPGwafStTRf_8bPPaoi2EFjHVy10_rRJ0uvy6YcU"",""M:M""), B31)"),38.0)</f>
        <v>38</v>
      </c>
      <c r="H31" s="27">
        <f t="shared" si="1"/>
        <v>3.210526316</v>
      </c>
      <c r="I31" s="28">
        <f t="shared" si="2"/>
        <v>0.1814021166</v>
      </c>
      <c r="J31" s="29">
        <f t="shared" si="3"/>
        <v>0.2855073103</v>
      </c>
      <c r="K31" s="30"/>
      <c r="L31" s="31" t="str">
        <f t="shared" si="4"/>
        <v/>
      </c>
      <c r="M31" s="31" t="str">
        <f t="shared" si="5"/>
        <v/>
      </c>
      <c r="N31" s="4"/>
    </row>
    <row r="32">
      <c r="A32" s="1"/>
      <c r="B32" s="23">
        <f t="shared" si="6"/>
        <v>44466</v>
      </c>
      <c r="C32" s="24">
        <f>IFERROR(__xludf.DUMMYFUNCTION("SUMPRODUCT((IMPORTRANGE(""17XjIPGwafStTRf_8bPPaoi2EFjHVy10_rRJ0uvy6YcU"",""M:M"")=B32)*1, IMPORTRANGE(""17XjIPGwafStTRf_8bPPaoi2EFjHVy10_rRJ0uvy6YcU"",""X:X""), IMPORTRANGE(""17XjIPGwafStTRf_8bPPaoi2EFjHVy10_rRJ0uvy6YcU"",""AK:AK"")) - SUMPRODUCT((IMPORTR"&amp;"ANGE(""17XjIPGwafStTRf_8bPPaoi2EFjHVy10_rRJ0uvy6YcU"",""M:M"")=B32)*1, IMPORTRANGE(""17XjIPGwafStTRf_8bPPaoi2EFjHVy10_rRJ0uvy6YcU"",""X:X""), IMPORTRANGE(""17XjIPGwafStTRf_8bPPaoi2EFjHVy10_rRJ0uvy6YcU"",""AL:AL""))"),0.0)</f>
        <v>0</v>
      </c>
      <c r="D32" s="24">
        <f>IFERROR(__xludf.DUMMYFUNCTION("SUMPRODUCT((IMPORTRANGE(""17XjIPGwafStTRf_8bPPaoi2EFjHVy10_rRJ0uvy6YcU"",""M:M"")=B32)*1, IMPORTRANGE(""17XjIPGwafStTRf_8bPPaoi2EFjHVy10_rRJ0uvy6YcU"",""X:X""), IMPORTRANGE(""17XjIPGwafStTRf_8bPPaoi2EFjHVy10_rRJ0uvy6YcU"",""AA:AA"")) + SUMPRODUCT((IMPORTR"&amp;"ANGE(""17XjIPGwafStTRf_8bPPaoi2EFjHVy10_rRJ0uvy6YcU"",""M:M"")=B32)*1, IMPORTRANGE(""17XjIPGwafStTRf_8bPPaoi2EFjHVy10_rRJ0uvy6YcU"",""X:X""), IMPORTRANGE(""17XjIPGwafStTRf_8bPPaoi2EFjHVy10_rRJ0uvy6YcU"",""AE:AE"")) + SUMPRODUCT((IMPORTRANGE(""17XjIPGwafSt"&amp;"TRf_8bPPaoi2EFjHVy10_rRJ0uvy6YcU"",""M:M"")=B32)*1, IMPORTRANGE(""17XjIPGwafStTRf_8bPPaoi2EFjHVy10_rRJ0uvy6YcU"",""X:X""), IMPORTRANGE(""17XjIPGwafStTRf_8bPPaoi2EFjHVy10_rRJ0uvy6YcU"",""AF:AF""))"),0.0)</f>
        <v>0</v>
      </c>
      <c r="E32" s="24">
        <f>IFERROR(__xludf.DUMMYFUNCTION("SUMPRODUCT((IMPORTRANGE(""17XjIPGwafStTRf_8bPPaoi2EFjHVy10_rRJ0uvy6YcU"",""M:M"")=B32)*1, IMPORTRANGE(""17XjIPGwafStTRf_8bPPaoi2EFjHVy10_rRJ0uvy6YcU"",""X:X""), IMPORTRANGE(""17XjIPGwafStTRf_8bPPaoi2EFjHVy10_rRJ0uvy6YcU"",""AO:AO""))"),0.0)</f>
        <v>0</v>
      </c>
      <c r="F32" s="25">
        <f>IFERROR(__xludf.DUMMYFUNCTION("SUMPRODUCT((IMPORTRANGE(""17XjIPGwafStTRf_8bPPaoi2EFjHVy10_rRJ0uvy6YcU"",""M:M"")=B32)*1, IMPORTRANGE(""17XjIPGwafStTRf_8bPPaoi2EFjHVy10_rRJ0uvy6YcU"",""X:X""))"),0.0)</f>
        <v>0</v>
      </c>
      <c r="G32" s="26">
        <f>IFERROR(__xludf.DUMMYFUNCTION("COUNTIF(IMPORTRANGE(""17XjIPGwafStTRf_8bPPaoi2EFjHVy10_rRJ0uvy6YcU"",""M:M""), B32)"),0.0)</f>
        <v>0</v>
      </c>
      <c r="H32" s="27" t="str">
        <f t="shared" si="1"/>
        <v/>
      </c>
      <c r="I32" s="28" t="str">
        <f t="shared" si="2"/>
        <v/>
      </c>
      <c r="J32" s="29" t="str">
        <f t="shared" si="3"/>
        <v/>
      </c>
      <c r="K32" s="32"/>
      <c r="L32" s="31" t="str">
        <f t="shared" si="4"/>
        <v/>
      </c>
      <c r="M32" s="31" t="str">
        <f t="shared" si="5"/>
        <v/>
      </c>
      <c r="N32" s="4"/>
    </row>
    <row r="33">
      <c r="A33" s="1"/>
      <c r="B33" s="23">
        <f t="shared" si="6"/>
        <v>44467</v>
      </c>
      <c r="C33" s="24">
        <f>IFERROR(__xludf.DUMMYFUNCTION("SUMPRODUCT((IMPORTRANGE(""17XjIPGwafStTRf_8bPPaoi2EFjHVy10_rRJ0uvy6YcU"",""M:M"")=B33)*1, IMPORTRANGE(""17XjIPGwafStTRf_8bPPaoi2EFjHVy10_rRJ0uvy6YcU"",""X:X""), IMPORTRANGE(""17XjIPGwafStTRf_8bPPaoi2EFjHVy10_rRJ0uvy6YcU"",""AK:AK"")) - SUMPRODUCT((IMPORTR"&amp;"ANGE(""17XjIPGwafStTRf_8bPPaoi2EFjHVy10_rRJ0uvy6YcU"",""M:M"")=B33)*1, IMPORTRANGE(""17XjIPGwafStTRf_8bPPaoi2EFjHVy10_rRJ0uvy6YcU"",""X:X""), IMPORTRANGE(""17XjIPGwafStTRf_8bPPaoi2EFjHVy10_rRJ0uvy6YcU"",""AL:AL""))"),671571.0)</f>
        <v>671571</v>
      </c>
      <c r="D33" s="24">
        <f>IFERROR(__xludf.DUMMYFUNCTION("SUMPRODUCT((IMPORTRANGE(""17XjIPGwafStTRf_8bPPaoi2EFjHVy10_rRJ0uvy6YcU"",""M:M"")=B33)*1, IMPORTRANGE(""17XjIPGwafStTRf_8bPPaoi2EFjHVy10_rRJ0uvy6YcU"",""X:X""), IMPORTRANGE(""17XjIPGwafStTRf_8bPPaoi2EFjHVy10_rRJ0uvy6YcU"",""AA:AA"")) + SUMPRODUCT((IMPORTR"&amp;"ANGE(""17XjIPGwafStTRf_8bPPaoi2EFjHVy10_rRJ0uvy6YcU"",""M:M"")=B33)*1, IMPORTRANGE(""17XjIPGwafStTRf_8bPPaoi2EFjHVy10_rRJ0uvy6YcU"",""X:X""), IMPORTRANGE(""17XjIPGwafStTRf_8bPPaoi2EFjHVy10_rRJ0uvy6YcU"",""AE:AE"")) + SUMPRODUCT((IMPORTRANGE(""17XjIPGwafSt"&amp;"TRf_8bPPaoi2EFjHVy10_rRJ0uvy6YcU"",""M:M"")=B33)*1, IMPORTRANGE(""17XjIPGwafStTRf_8bPPaoi2EFjHVy10_rRJ0uvy6YcU"",""X:X""), IMPORTRANGE(""17XjIPGwafStTRf_8bPPaoi2EFjHVy10_rRJ0uvy6YcU"",""AF:AF""))"),421449.6185705086)</f>
        <v>421449.6186</v>
      </c>
      <c r="E33" s="24">
        <f>IFERROR(__xludf.DUMMYFUNCTION("SUMPRODUCT((IMPORTRANGE(""17XjIPGwafStTRf_8bPPaoi2EFjHVy10_rRJ0uvy6YcU"",""M:M"")=B33)*1, IMPORTRANGE(""17XjIPGwafStTRf_8bPPaoi2EFjHVy10_rRJ0uvy6YcU"",""X:X""), IMPORTRANGE(""17XjIPGwafStTRf_8bPPaoi2EFjHVy10_rRJ0uvy6YcU"",""AO:AO""))"),72333.70481435493)</f>
        <v>72333.70481</v>
      </c>
      <c r="F33" s="25">
        <f>IFERROR(__xludf.DUMMYFUNCTION("SUMPRODUCT((IMPORTRANGE(""17XjIPGwafStTRf_8bPPaoi2EFjHVy10_rRJ0uvy6YcU"",""M:M"")=B33)*1, IMPORTRANGE(""17XjIPGwafStTRf_8bPPaoi2EFjHVy10_rRJ0uvy6YcU"",""X:X""))"),120.0)</f>
        <v>120</v>
      </c>
      <c r="G33" s="26">
        <f>IFERROR(__xludf.DUMMYFUNCTION("COUNTIF(IMPORTRANGE(""17XjIPGwafStTRf_8bPPaoi2EFjHVy10_rRJ0uvy6YcU"",""M:M""), B33)"),38.0)</f>
        <v>38</v>
      </c>
      <c r="H33" s="27">
        <f t="shared" si="1"/>
        <v>3.157894737</v>
      </c>
      <c r="I33" s="28">
        <f t="shared" si="2"/>
        <v>0.1077082018</v>
      </c>
      <c r="J33" s="29">
        <f t="shared" si="3"/>
        <v>0.1716307279</v>
      </c>
      <c r="K33" s="30"/>
      <c r="L33" s="31" t="str">
        <f t="shared" si="4"/>
        <v/>
      </c>
      <c r="M33" s="31" t="str">
        <f t="shared" si="5"/>
        <v/>
      </c>
      <c r="N33" s="4"/>
    </row>
    <row r="34">
      <c r="A34" s="1"/>
      <c r="B34" s="23">
        <f t="shared" ref="B34:B36" si="7">IFERROR(IF(MONTH(B33)=MONTH(B33+1),B33+1,"--"),"--")</f>
        <v>44468</v>
      </c>
      <c r="C34" s="24">
        <f>IFERROR(__xludf.DUMMYFUNCTION("SUMPRODUCT((IMPORTRANGE(""17XjIPGwafStTRf_8bPPaoi2EFjHVy10_rRJ0uvy6YcU"",""M:M"")=B34)*1, IMPORTRANGE(""17XjIPGwafStTRf_8bPPaoi2EFjHVy10_rRJ0uvy6YcU"",""X:X""), IMPORTRANGE(""17XjIPGwafStTRf_8bPPaoi2EFjHVy10_rRJ0uvy6YcU"",""AK:AK"")) - SUMPRODUCT((IMPORTR"&amp;"ANGE(""17XjIPGwafStTRf_8bPPaoi2EFjHVy10_rRJ0uvy6YcU"",""M:M"")=B34)*1, IMPORTRANGE(""17XjIPGwafStTRf_8bPPaoi2EFjHVy10_rRJ0uvy6YcU"",""X:X""), IMPORTRANGE(""17XjIPGwafStTRf_8bPPaoi2EFjHVy10_rRJ0uvy6YcU"",""AL:AL""))"),668701.0)</f>
        <v>668701</v>
      </c>
      <c r="D34" s="24">
        <f>IFERROR(__xludf.DUMMYFUNCTION("SUMPRODUCT((IMPORTRANGE(""17XjIPGwafStTRf_8bPPaoi2EFjHVy10_rRJ0uvy6YcU"",""M:M"")=B34)*1, IMPORTRANGE(""17XjIPGwafStTRf_8bPPaoi2EFjHVy10_rRJ0uvy6YcU"",""X:X""), IMPORTRANGE(""17XjIPGwafStTRf_8bPPaoi2EFjHVy10_rRJ0uvy6YcU"",""AA:AA"")) + SUMPRODUCT((IMPORTR"&amp;"ANGE(""17XjIPGwafStTRf_8bPPaoi2EFjHVy10_rRJ0uvy6YcU"",""M:M"")=B34)*1, IMPORTRANGE(""17XjIPGwafStTRf_8bPPaoi2EFjHVy10_rRJ0uvy6YcU"",""X:X""), IMPORTRANGE(""17XjIPGwafStTRf_8bPPaoi2EFjHVy10_rRJ0uvy6YcU"",""AE:AE"")) + SUMPRODUCT((IMPORTRANGE(""17XjIPGwafSt"&amp;"TRf_8bPPaoi2EFjHVy10_rRJ0uvy6YcU"",""M:M"")=B34)*1, IMPORTRANGE(""17XjIPGwafStTRf_8bPPaoi2EFjHVy10_rRJ0uvy6YcU"",""X:X""), IMPORTRANGE(""17XjIPGwafStTRf_8bPPaoi2EFjHVy10_rRJ0uvy6YcU"",""AF:AF""))"),438884.41702829243)</f>
        <v>438884.417</v>
      </c>
      <c r="E34" s="24">
        <f>IFERROR(__xludf.DUMMYFUNCTION("SUMPRODUCT((IMPORTRANGE(""17XjIPGwafStTRf_8bPPaoi2EFjHVy10_rRJ0uvy6YcU"",""M:M"")=B34)*1, IMPORTRANGE(""17XjIPGwafStTRf_8bPPaoi2EFjHVy10_rRJ0uvy6YcU"",""X:X""), IMPORTRANGE(""17XjIPGwafStTRf_8bPPaoi2EFjHVy10_rRJ0uvy6YcU"",""AO:AO""))"),137591.69667988835)</f>
        <v>137591.6967</v>
      </c>
      <c r="F34" s="25">
        <f>IFERROR(__xludf.DUMMYFUNCTION("SUMPRODUCT((IMPORTRANGE(""17XjIPGwafStTRf_8bPPaoi2EFjHVy10_rRJ0uvy6YcU"",""M:M"")=B34)*1, IMPORTRANGE(""17XjIPGwafStTRf_8bPPaoi2EFjHVy10_rRJ0uvy6YcU"",""X:X""))"),94.0)</f>
        <v>94</v>
      </c>
      <c r="G34" s="26">
        <f>IFERROR(__xludf.DUMMYFUNCTION("COUNTIF(IMPORTRANGE(""17XjIPGwafStTRf_8bPPaoi2EFjHVy10_rRJ0uvy6YcU"",""M:M""), B34)"),40.0)</f>
        <v>40</v>
      </c>
      <c r="H34" s="27">
        <f t="shared" si="1"/>
        <v>2.35</v>
      </c>
      <c r="I34" s="28">
        <f t="shared" si="2"/>
        <v>0.2057596694</v>
      </c>
      <c r="J34" s="29">
        <f t="shared" si="3"/>
        <v>0.3135032627</v>
      </c>
      <c r="K34" s="30"/>
      <c r="L34" s="31" t="str">
        <f t="shared" si="4"/>
        <v/>
      </c>
      <c r="M34" s="31" t="str">
        <f t="shared" si="5"/>
        <v/>
      </c>
      <c r="N34" s="4"/>
    </row>
    <row r="35">
      <c r="A35" s="1"/>
      <c r="B35" s="23">
        <f t="shared" si="7"/>
        <v>44469</v>
      </c>
      <c r="C35" s="24">
        <f>IFERROR(__xludf.DUMMYFUNCTION("SUMPRODUCT((IMPORTRANGE(""17XjIPGwafStTRf_8bPPaoi2EFjHVy10_rRJ0uvy6YcU"",""M:M"")=B35)*1, IMPORTRANGE(""17XjIPGwafStTRf_8bPPaoi2EFjHVy10_rRJ0uvy6YcU"",""X:X""), IMPORTRANGE(""17XjIPGwafStTRf_8bPPaoi2EFjHVy10_rRJ0uvy6YcU"",""AK:AK"")) - SUMPRODUCT((IMPORTR"&amp;"ANGE(""17XjIPGwafStTRf_8bPPaoi2EFjHVy10_rRJ0uvy6YcU"",""M:M"")=B35)*1, IMPORTRANGE(""17XjIPGwafStTRf_8bPPaoi2EFjHVy10_rRJ0uvy6YcU"",""X:X""), IMPORTRANGE(""17XjIPGwafStTRf_8bPPaoi2EFjHVy10_rRJ0uvy6YcU"",""AL:AL""))"),587552.0)</f>
        <v>587552</v>
      </c>
      <c r="D35" s="24">
        <f>IFERROR(__xludf.DUMMYFUNCTION("SUMPRODUCT((IMPORTRANGE(""17XjIPGwafStTRf_8bPPaoi2EFjHVy10_rRJ0uvy6YcU"",""M:M"")=B35)*1, IMPORTRANGE(""17XjIPGwafStTRf_8bPPaoi2EFjHVy10_rRJ0uvy6YcU"",""X:X""), IMPORTRANGE(""17XjIPGwafStTRf_8bPPaoi2EFjHVy10_rRJ0uvy6YcU"",""AA:AA"")) + SUMPRODUCT((IMPORTR"&amp;"ANGE(""17XjIPGwafStTRf_8bPPaoi2EFjHVy10_rRJ0uvy6YcU"",""M:M"")=B35)*1, IMPORTRANGE(""17XjIPGwafStTRf_8bPPaoi2EFjHVy10_rRJ0uvy6YcU"",""X:X""), IMPORTRANGE(""17XjIPGwafStTRf_8bPPaoi2EFjHVy10_rRJ0uvy6YcU"",""AE:AE"")) + SUMPRODUCT((IMPORTRANGE(""17XjIPGwafSt"&amp;"TRf_8bPPaoi2EFjHVy10_rRJ0uvy6YcU"",""M:M"")=B35)*1, IMPORTRANGE(""17XjIPGwafStTRf_8bPPaoi2EFjHVy10_rRJ0uvy6YcU"",""X:X""), IMPORTRANGE(""17XjIPGwafStTRf_8bPPaoi2EFjHVy10_rRJ0uvy6YcU"",""AF:AF""))"),386213.95810846286)</f>
        <v>386213.9581</v>
      </c>
      <c r="E35" s="24">
        <f>IFERROR(__xludf.DUMMYFUNCTION("SUMPRODUCT((IMPORTRANGE(""17XjIPGwafStTRf_8bPPaoi2EFjHVy10_rRJ0uvy6YcU"",""M:M"")=B35)*1, IMPORTRANGE(""17XjIPGwafStTRf_8bPPaoi2EFjHVy10_rRJ0uvy6YcU"",""X:X""), IMPORTRANGE(""17XjIPGwafStTRf_8bPPaoi2EFjHVy10_rRJ0uvy6YcU"",""AO:AO""))"),114840.39316831455)</f>
        <v>114840.3932</v>
      </c>
      <c r="F35" s="25">
        <f>IFERROR(__xludf.DUMMYFUNCTION("SUMPRODUCT((IMPORTRANGE(""17XjIPGwafStTRf_8bPPaoi2EFjHVy10_rRJ0uvy6YcU"",""M:M"")=B35)*1, IMPORTRANGE(""17XjIPGwafStTRf_8bPPaoi2EFjHVy10_rRJ0uvy6YcU"",""X:X""))"),67.0)</f>
        <v>67</v>
      </c>
      <c r="G35" s="26">
        <f>IFERROR(__xludf.DUMMYFUNCTION("COUNTIF(IMPORTRANGE(""17XjIPGwafStTRf_8bPPaoi2EFjHVy10_rRJ0uvy6YcU"",""M:M""), B35)"),33.0)</f>
        <v>33</v>
      </c>
      <c r="H35" s="27">
        <f t="shared" si="1"/>
        <v>2.03030303</v>
      </c>
      <c r="I35" s="28">
        <f t="shared" si="2"/>
        <v>0.1954557097</v>
      </c>
      <c r="J35" s="29">
        <f t="shared" si="3"/>
        <v>0.2973491526</v>
      </c>
      <c r="K35" s="32"/>
      <c r="L35" s="31" t="str">
        <f t="shared" si="4"/>
        <v/>
      </c>
      <c r="M35" s="31" t="str">
        <f t="shared" si="5"/>
        <v/>
      </c>
      <c r="N35" s="4"/>
    </row>
    <row r="36">
      <c r="A36" s="1"/>
      <c r="B36" s="23" t="str">
        <f t="shared" si="7"/>
        <v>--</v>
      </c>
      <c r="C36" s="24">
        <f>IFERROR(__xludf.DUMMYFUNCTION("SUMPRODUCT((IMPORTRANGE(""17XjIPGwafStTRf_8bPPaoi2EFjHVy10_rRJ0uvy6YcU"",""M:M"")=B36)*1, IMPORTRANGE(""17XjIPGwafStTRf_8bPPaoi2EFjHVy10_rRJ0uvy6YcU"",""X:X""), IMPORTRANGE(""17XjIPGwafStTRf_8bPPaoi2EFjHVy10_rRJ0uvy6YcU"",""AK:AK"")) - SUMPRODUCT((IMPORTR"&amp;"ANGE(""17XjIPGwafStTRf_8bPPaoi2EFjHVy10_rRJ0uvy6YcU"",""M:M"")=B36)*1, IMPORTRANGE(""17XjIPGwafStTRf_8bPPaoi2EFjHVy10_rRJ0uvy6YcU"",""X:X""), IMPORTRANGE(""17XjIPGwafStTRf_8bPPaoi2EFjHVy10_rRJ0uvy6YcU"",""AL:AL""))"),0.0)</f>
        <v>0</v>
      </c>
      <c r="D36" s="24">
        <f>IFERROR(__xludf.DUMMYFUNCTION("SUMPRODUCT((IMPORTRANGE(""17XjIPGwafStTRf_8bPPaoi2EFjHVy10_rRJ0uvy6YcU"",""M:M"")=B36)*1, IMPORTRANGE(""17XjIPGwafStTRf_8bPPaoi2EFjHVy10_rRJ0uvy6YcU"",""X:X""), IMPORTRANGE(""17XjIPGwafStTRf_8bPPaoi2EFjHVy10_rRJ0uvy6YcU"",""AA:AA"")) + SUMPRODUCT((IMPORTR"&amp;"ANGE(""17XjIPGwafStTRf_8bPPaoi2EFjHVy10_rRJ0uvy6YcU"",""M:M"")=B36)*1, IMPORTRANGE(""17XjIPGwafStTRf_8bPPaoi2EFjHVy10_rRJ0uvy6YcU"",""X:X""), IMPORTRANGE(""17XjIPGwafStTRf_8bPPaoi2EFjHVy10_rRJ0uvy6YcU"",""AE:AE"")) + SUMPRODUCT((IMPORTRANGE(""17XjIPGwafSt"&amp;"TRf_8bPPaoi2EFjHVy10_rRJ0uvy6YcU"",""M:M"")=B36)*1, IMPORTRANGE(""17XjIPGwafStTRf_8bPPaoi2EFjHVy10_rRJ0uvy6YcU"",""X:X""), IMPORTRANGE(""17XjIPGwafStTRf_8bPPaoi2EFjHVy10_rRJ0uvy6YcU"",""AF:AF""))"),0.0)</f>
        <v>0</v>
      </c>
      <c r="E36" s="24">
        <f>IFERROR(__xludf.DUMMYFUNCTION("SUMPRODUCT((IMPORTRANGE(""17XjIPGwafStTRf_8bPPaoi2EFjHVy10_rRJ0uvy6YcU"",""M:M"")=B36)*1, IMPORTRANGE(""17XjIPGwafStTRf_8bPPaoi2EFjHVy10_rRJ0uvy6YcU"",""X:X""), IMPORTRANGE(""17XjIPGwafStTRf_8bPPaoi2EFjHVy10_rRJ0uvy6YcU"",""AO:AO""))"),0.0)</f>
        <v>0</v>
      </c>
      <c r="F36" s="25">
        <f>IFERROR(__xludf.DUMMYFUNCTION("SUMPRODUCT((IMPORTRANGE(""17XjIPGwafStTRf_8bPPaoi2EFjHVy10_rRJ0uvy6YcU"",""M:M"")=B36)*1, IMPORTRANGE(""17XjIPGwafStTRf_8bPPaoi2EFjHVy10_rRJ0uvy6YcU"",""X:X""))"),0.0)</f>
        <v>0</v>
      </c>
      <c r="G36" s="26">
        <f>IFERROR(__xludf.DUMMYFUNCTION("COUNTIF(IMPORTRANGE(""17XjIPGwafStTRf_8bPPaoi2EFjHVy10_rRJ0uvy6YcU"",""M:M""), B36)"),0.0)</f>
        <v>0</v>
      </c>
      <c r="H36" s="27" t="str">
        <f t="shared" si="1"/>
        <v/>
      </c>
      <c r="I36" s="28" t="str">
        <f t="shared" si="2"/>
        <v/>
      </c>
      <c r="J36" s="29" t="str">
        <f t="shared" si="3"/>
        <v/>
      </c>
      <c r="K36" s="30"/>
      <c r="L36" s="31" t="str">
        <f>if(B36="","",IF(K36="","",E36/K36))</f>
        <v/>
      </c>
      <c r="M36" s="31" t="str">
        <f>if(B36="","",IF(K36="","",D36/K36))</f>
        <v/>
      </c>
      <c r="N36" s="4"/>
    </row>
    <row r="37">
      <c r="A37" s="4"/>
      <c r="B37" s="33" t="s">
        <v>16</v>
      </c>
      <c r="C37" s="34">
        <f t="shared" ref="C37:H37" si="8">SUM(C6:C36)</f>
        <v>16016018.81</v>
      </c>
      <c r="D37" s="34">
        <f t="shared" si="8"/>
        <v>10526081.2</v>
      </c>
      <c r="E37" s="34">
        <f t="shared" si="8"/>
        <v>2685529.355</v>
      </c>
      <c r="F37" s="34">
        <f t="shared" si="8"/>
        <v>2791</v>
      </c>
      <c r="G37" s="34">
        <f t="shared" si="8"/>
        <v>823</v>
      </c>
      <c r="H37" s="34">
        <f t="shared" si="8"/>
        <v>125.5635559</v>
      </c>
      <c r="I37" s="35">
        <f t="shared" si="2"/>
        <v>0.1676777098</v>
      </c>
      <c r="J37" s="35">
        <f t="shared" si="3"/>
        <v>0.2551309744</v>
      </c>
      <c r="K37" s="33">
        <f>SUM(K6:K36)</f>
        <v>0</v>
      </c>
      <c r="L37" s="34" t="str">
        <f>iferror(IF(K37="","",E37/K37),"")</f>
        <v/>
      </c>
      <c r="M37" s="34" t="str">
        <f>iferror(IF(K37="","",D37/K37),"")</f>
        <v/>
      </c>
      <c r="N37" s="4"/>
    </row>
    <row r="38">
      <c r="A38" s="4"/>
      <c r="B38" s="4"/>
      <c r="C38" s="4"/>
      <c r="D38" s="36" t="s">
        <v>17</v>
      </c>
      <c r="E38" s="4"/>
      <c r="F38" s="4"/>
      <c r="G38" s="4"/>
      <c r="H38" s="4"/>
      <c r="I38" s="4"/>
      <c r="J38" s="4"/>
      <c r="K38" s="4"/>
      <c r="L38" s="4"/>
      <c r="M38" s="4"/>
      <c r="N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2" max="2" width="7.38"/>
    <col customWidth="1" min="3" max="5" width="11.38"/>
    <col customWidth="1" min="6" max="8" width="5.75"/>
    <col customWidth="1" min="9" max="11" width="8.88"/>
    <col customWidth="1" min="12" max="13" width="11.38"/>
    <col customWidth="1" min="14" max="14" width="2.38"/>
  </cols>
  <sheetData>
    <row r="1" ht="7.5" customHeight="1">
      <c r="A1" s="37">
        <v>59582.0</v>
      </c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</row>
    <row r="2">
      <c r="A2" s="1"/>
      <c r="B2" s="5">
        <v>44409.0</v>
      </c>
      <c r="C2" s="6"/>
      <c r="D2" s="3"/>
      <c r="E2" s="4"/>
      <c r="F2" s="4"/>
      <c r="G2" s="4"/>
      <c r="H2" s="4"/>
      <c r="I2" s="4"/>
      <c r="J2" s="4"/>
      <c r="K2" s="4"/>
      <c r="L2" s="7" t="s">
        <v>0</v>
      </c>
      <c r="M2" s="8">
        <v>1.5</v>
      </c>
      <c r="N2" s="4"/>
    </row>
    <row r="3">
      <c r="A3" s="4"/>
      <c r="B3" s="9" t="s">
        <v>1</v>
      </c>
      <c r="C3" s="10">
        <f>iferror((E3*M2)/I37,"")</f>
        <v>15525427.33</v>
      </c>
      <c r="D3" s="11" t="s">
        <v>2</v>
      </c>
      <c r="E3" s="12">
        <v>2000000.0</v>
      </c>
      <c r="F3" s="13"/>
      <c r="G3" s="4"/>
      <c r="H3" s="4"/>
      <c r="I3" s="4"/>
      <c r="J3" s="4"/>
      <c r="K3" s="4"/>
      <c r="L3" s="14"/>
      <c r="M3" s="15"/>
      <c r="N3" s="13"/>
    </row>
    <row r="4">
      <c r="A4" s="4"/>
      <c r="B4" s="9" t="s">
        <v>3</v>
      </c>
      <c r="C4" s="16">
        <f>iferror(C37/C3,"")</f>
        <v>0.6492621935</v>
      </c>
      <c r="D4" s="9"/>
      <c r="E4" s="16"/>
      <c r="F4" s="4"/>
      <c r="G4" s="4"/>
      <c r="H4" s="4"/>
      <c r="I4" s="4"/>
      <c r="J4" s="4"/>
      <c r="K4" s="17"/>
      <c r="L4" s="4"/>
      <c r="M4" s="4"/>
      <c r="N4" s="4"/>
    </row>
    <row r="5" ht="28.5" customHeight="1">
      <c r="A5" s="18"/>
      <c r="B5" s="19" t="s">
        <v>4</v>
      </c>
      <c r="C5" s="20" t="s">
        <v>5</v>
      </c>
      <c r="D5" s="20" t="s">
        <v>6</v>
      </c>
      <c r="E5" s="20" t="s">
        <v>7</v>
      </c>
      <c r="F5" s="21" t="s">
        <v>8</v>
      </c>
      <c r="G5" s="22" t="s">
        <v>9</v>
      </c>
      <c r="H5" s="22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18"/>
    </row>
    <row r="6">
      <c r="A6" s="1"/>
      <c r="B6" s="23">
        <f>B2</f>
        <v>44409</v>
      </c>
      <c r="C6" s="24">
        <f>IFERROR(__xludf.DUMMYFUNCTION("SUMPRODUCT((IMPORTRANGE(""17XjIPGwafStTRf_8bPPaoi2EFjHVy10_rRJ0uvy6YcU"",""M:M"")=B6)*1, IMPORTRANGE(""17XjIPGwafStTRf_8bPPaoi2EFjHVy10_rRJ0uvy6YcU"",""X:X""), IMPORTRANGE(""17XjIPGwafStTRf_8bPPaoi2EFjHVy10_rRJ0uvy6YcU"",""AK:AK"")) - SUMPRODUCT((IMPORTRA"&amp;"NGE(""17XjIPGwafStTRf_8bPPaoi2EFjHVy10_rRJ0uvy6YcU"",""M:M"")=B6)*1, IMPORTRANGE(""17XjIPGwafStTRf_8bPPaoi2EFjHVy10_rRJ0uvy6YcU"",""X:X""), IMPORTRANGE(""17XjIPGwafStTRf_8bPPaoi2EFjHVy10_rRJ0uvy6YcU"",""AL:AL""))"),110002.0)</f>
        <v>110002</v>
      </c>
      <c r="D6" s="24">
        <f>IFERROR(__xludf.DUMMYFUNCTION("SUMPRODUCT((IMPORTRANGE(""17XjIPGwafStTRf_8bPPaoi2EFjHVy10_rRJ0uvy6YcU"",""M:M"")=B6)*1, IMPORTRANGE(""17XjIPGwafStTRf_8bPPaoi2EFjHVy10_rRJ0uvy6YcU"",""X:X""), IMPORTRANGE(""17XjIPGwafStTRf_8bPPaoi2EFjHVy10_rRJ0uvy6YcU"",""AA:AA"")) + SUMPRODUCT((IMPORTRA"&amp;"NGE(""17XjIPGwafStTRf_8bPPaoi2EFjHVy10_rRJ0uvy6YcU"",""M:M"")=B6)*1, IMPORTRANGE(""17XjIPGwafStTRf_8bPPaoi2EFjHVy10_rRJ0uvy6YcU"",""X:X""), IMPORTRANGE(""17XjIPGwafStTRf_8bPPaoi2EFjHVy10_rRJ0uvy6YcU"",""AE:AE"")) + SUMPRODUCT((IMPORTRANGE(""17XjIPGwafStTR"&amp;"f_8bPPaoi2EFjHVy10_rRJ0uvy6YcU"",""M:M"")=B6)*1, IMPORTRANGE(""17XjIPGwafStTRf_8bPPaoi2EFjHVy10_rRJ0uvy6YcU"",""X:X""), IMPORTRANGE(""17XjIPGwafStTRf_8bPPaoi2EFjHVy10_rRJ0uvy6YcU"",""AF:AF""))"),72569.69033516888)</f>
        <v>72569.69034</v>
      </c>
      <c r="E6" s="24">
        <f>IFERROR(__xludf.DUMMYFUNCTION("SUMPRODUCT((IMPORTRANGE(""17XjIPGwafStTRf_8bPPaoi2EFjHVy10_rRJ0uvy6YcU"",""M:M"")=B6)*1, IMPORTRANGE(""17XjIPGwafStTRf_8bPPaoi2EFjHVy10_rRJ0uvy6YcU"",""X:X""), IMPORTRANGE(""17XjIPGwafStTRf_8bPPaoi2EFjHVy10_rRJ0uvy6YcU"",""AO:AO""))"),13905.109664831121)</f>
        <v>13905.10966</v>
      </c>
      <c r="F6" s="25">
        <f>IFERROR(__xludf.DUMMYFUNCTION("SUMPRODUCT((IMPORTRANGE(""17XjIPGwafStTRf_8bPPaoi2EFjHVy10_rRJ0uvy6YcU"",""M:M"")=B6)*1, IMPORTRANGE(""17XjIPGwafStTRf_8bPPaoi2EFjHVy10_rRJ0uvy6YcU"",""X:X""))"),21.0)</f>
        <v>21</v>
      </c>
      <c r="G6" s="26">
        <f>IFERROR(__xludf.DUMMYFUNCTION("COUNTIF(IMPORTRANGE(""17XjIPGwafStTRf_8bPPaoi2EFjHVy10_rRJ0uvy6YcU"",""M:M""), B6)"),9.0)</f>
        <v>9</v>
      </c>
      <c r="H6" s="27">
        <f t="shared" ref="H6:H36" si="1">IF(F6=0,"",F6/G6)</f>
        <v>2.333333333</v>
      </c>
      <c r="I6" s="28">
        <f t="shared" ref="I6:I37" si="2">IF(C6=0,"",E6/C6)</f>
        <v>0.1264077895</v>
      </c>
      <c r="J6" s="29">
        <f t="shared" ref="J6:J37" si="3">IF(D6=0,"",E6/D6)</f>
        <v>0.1916104313</v>
      </c>
      <c r="K6" s="30"/>
      <c r="L6" s="31" t="str">
        <f t="shared" ref="L6:L35" si="4">IF(K6="","",E6/K6)</f>
        <v/>
      </c>
      <c r="M6" s="31" t="str">
        <f t="shared" ref="M6:M35" si="5">IF(K6="","",D6/K6)</f>
        <v/>
      </c>
      <c r="N6" s="4"/>
    </row>
    <row r="7">
      <c r="A7" s="1"/>
      <c r="B7" s="23">
        <f t="shared" ref="B7:B33" si="6">B6+1</f>
        <v>44410</v>
      </c>
      <c r="C7" s="24">
        <f>IFERROR(__xludf.DUMMYFUNCTION("SUMPRODUCT((IMPORTRANGE(""17XjIPGwafStTRf_8bPPaoi2EFjHVy10_rRJ0uvy6YcU"",""M:M"")=B7)*1, IMPORTRANGE(""17XjIPGwafStTRf_8bPPaoi2EFjHVy10_rRJ0uvy6YcU"",""X:X""), IMPORTRANGE(""17XjIPGwafStTRf_8bPPaoi2EFjHVy10_rRJ0uvy6YcU"",""AK:AK"")) - SUMPRODUCT((IMPORTRA"&amp;"NGE(""17XjIPGwafStTRf_8bPPaoi2EFjHVy10_rRJ0uvy6YcU"",""M:M"")=B7)*1, IMPORTRANGE(""17XjIPGwafStTRf_8bPPaoi2EFjHVy10_rRJ0uvy6YcU"",""X:X""), IMPORTRANGE(""17XjIPGwafStTRf_8bPPaoi2EFjHVy10_rRJ0uvy6YcU"",""AL:AL""))"),215832.0)</f>
        <v>215832</v>
      </c>
      <c r="D7" s="24">
        <f>IFERROR(__xludf.DUMMYFUNCTION("SUMPRODUCT((IMPORTRANGE(""17XjIPGwafStTRf_8bPPaoi2EFjHVy10_rRJ0uvy6YcU"",""M:M"")=B7)*1, IMPORTRANGE(""17XjIPGwafStTRf_8bPPaoi2EFjHVy10_rRJ0uvy6YcU"",""X:X""), IMPORTRANGE(""17XjIPGwafStTRf_8bPPaoi2EFjHVy10_rRJ0uvy6YcU"",""AA:AA"")) + SUMPRODUCT((IMPORTRA"&amp;"NGE(""17XjIPGwafStTRf_8bPPaoi2EFjHVy10_rRJ0uvy6YcU"",""M:M"")=B7)*1, IMPORTRANGE(""17XjIPGwafStTRf_8bPPaoi2EFjHVy10_rRJ0uvy6YcU"",""X:X""), IMPORTRANGE(""17XjIPGwafStTRf_8bPPaoi2EFjHVy10_rRJ0uvy6YcU"",""AE:AE"")) + SUMPRODUCT((IMPORTRANGE(""17XjIPGwafStTR"&amp;"f_8bPPaoi2EFjHVy10_rRJ0uvy6YcU"",""M:M"")=B7)*1, IMPORTRANGE(""17XjIPGwafStTRf_8bPPaoi2EFjHVy10_rRJ0uvy6YcU"",""X:X""), IMPORTRANGE(""17XjIPGwafStTRf_8bPPaoi2EFjHVy10_rRJ0uvy6YcU"",""AF:AF""))"),164498.4774795346)</f>
        <v>164498.4775</v>
      </c>
      <c r="E7" s="24">
        <f>IFERROR(__xludf.DUMMYFUNCTION("SUMPRODUCT((IMPORTRANGE(""17XjIPGwafStTRf_8bPPaoi2EFjHVy10_rRJ0uvy6YcU"",""M:M"")=B7)*1, IMPORTRANGE(""17XjIPGwafStTRf_8bPPaoi2EFjHVy10_rRJ0uvy6YcU"",""X:X""), IMPORTRANGE(""17XjIPGwafStTRf_8bPPaoi2EFjHVy10_rRJ0uvy6YcU"",""AO:AO""))"),23375.253849898498)</f>
        <v>23375.25385</v>
      </c>
      <c r="F7" s="25">
        <f>IFERROR(__xludf.DUMMYFUNCTION("SUMPRODUCT((IMPORTRANGE(""17XjIPGwafStTRf_8bPPaoi2EFjHVy10_rRJ0uvy6YcU"",""M:M"")=B7)*1, IMPORTRANGE(""17XjIPGwafStTRf_8bPPaoi2EFjHVy10_rRJ0uvy6YcU"",""X:X""))"),42.0)</f>
        <v>42</v>
      </c>
      <c r="G7" s="26">
        <f>IFERROR(__xludf.DUMMYFUNCTION("COUNTIF(IMPORTRANGE(""17XjIPGwafStTRf_8bPPaoi2EFjHVy10_rRJ0uvy6YcU"",""M:M""), B7)"),26.0)</f>
        <v>26</v>
      </c>
      <c r="H7" s="27">
        <f t="shared" si="1"/>
        <v>1.615384615</v>
      </c>
      <c r="I7" s="28">
        <f t="shared" si="2"/>
        <v>0.1083030035</v>
      </c>
      <c r="J7" s="29">
        <f t="shared" si="3"/>
        <v>0.1421001228</v>
      </c>
      <c r="K7" s="30"/>
      <c r="L7" s="31" t="str">
        <f t="shared" si="4"/>
        <v/>
      </c>
      <c r="M7" s="31" t="str">
        <f t="shared" si="5"/>
        <v/>
      </c>
      <c r="N7" s="4"/>
    </row>
    <row r="8">
      <c r="A8" s="1"/>
      <c r="B8" s="23">
        <f t="shared" si="6"/>
        <v>44411</v>
      </c>
      <c r="C8" s="24">
        <f>IFERROR(__xludf.DUMMYFUNCTION("SUMPRODUCT((IMPORTRANGE(""17XjIPGwafStTRf_8bPPaoi2EFjHVy10_rRJ0uvy6YcU"",""M:M"")=B8)*1, IMPORTRANGE(""17XjIPGwafStTRf_8bPPaoi2EFjHVy10_rRJ0uvy6YcU"",""X:X""), IMPORTRANGE(""17XjIPGwafStTRf_8bPPaoi2EFjHVy10_rRJ0uvy6YcU"",""AK:AK"")) - SUMPRODUCT((IMPORTRA"&amp;"NGE(""17XjIPGwafStTRf_8bPPaoi2EFjHVy10_rRJ0uvy6YcU"",""M:M"")=B8)*1, IMPORTRANGE(""17XjIPGwafStTRf_8bPPaoi2EFjHVy10_rRJ0uvy6YcU"",""X:X""), IMPORTRANGE(""17XjIPGwafStTRf_8bPPaoi2EFjHVy10_rRJ0uvy6YcU"",""AL:AL""))"),0.0)</f>
        <v>0</v>
      </c>
      <c r="D8" s="24">
        <f>IFERROR(__xludf.DUMMYFUNCTION("SUMPRODUCT((IMPORTRANGE(""17XjIPGwafStTRf_8bPPaoi2EFjHVy10_rRJ0uvy6YcU"",""M:M"")=B8)*1, IMPORTRANGE(""17XjIPGwafStTRf_8bPPaoi2EFjHVy10_rRJ0uvy6YcU"",""X:X""), IMPORTRANGE(""17XjIPGwafStTRf_8bPPaoi2EFjHVy10_rRJ0uvy6YcU"",""AA:AA"")) + SUMPRODUCT((IMPORTRA"&amp;"NGE(""17XjIPGwafStTRf_8bPPaoi2EFjHVy10_rRJ0uvy6YcU"",""M:M"")=B8)*1, IMPORTRANGE(""17XjIPGwafStTRf_8bPPaoi2EFjHVy10_rRJ0uvy6YcU"",""X:X""), IMPORTRANGE(""17XjIPGwafStTRf_8bPPaoi2EFjHVy10_rRJ0uvy6YcU"",""AE:AE"")) + SUMPRODUCT((IMPORTRANGE(""17XjIPGwafStTR"&amp;"f_8bPPaoi2EFjHVy10_rRJ0uvy6YcU"",""M:M"")=B8)*1, IMPORTRANGE(""17XjIPGwafStTRf_8bPPaoi2EFjHVy10_rRJ0uvy6YcU"",""X:X""), IMPORTRANGE(""17XjIPGwafStTRf_8bPPaoi2EFjHVy10_rRJ0uvy6YcU"",""AF:AF""))"),0.0)</f>
        <v>0</v>
      </c>
      <c r="E8" s="24">
        <f>IFERROR(__xludf.DUMMYFUNCTION("SUMPRODUCT((IMPORTRANGE(""17XjIPGwafStTRf_8bPPaoi2EFjHVy10_rRJ0uvy6YcU"",""M:M"")=B8)*1, IMPORTRANGE(""17XjIPGwafStTRf_8bPPaoi2EFjHVy10_rRJ0uvy6YcU"",""X:X""), IMPORTRANGE(""17XjIPGwafStTRf_8bPPaoi2EFjHVy10_rRJ0uvy6YcU"",""AO:AO""))"),0.0)</f>
        <v>0</v>
      </c>
      <c r="F8" s="25">
        <f>IFERROR(__xludf.DUMMYFUNCTION("SUMPRODUCT((IMPORTRANGE(""17XjIPGwafStTRf_8bPPaoi2EFjHVy10_rRJ0uvy6YcU"",""M:M"")=B8)*1, IMPORTRANGE(""17XjIPGwafStTRf_8bPPaoi2EFjHVy10_rRJ0uvy6YcU"",""X:X""))"),0.0)</f>
        <v>0</v>
      </c>
      <c r="G8" s="26">
        <f>IFERROR(__xludf.DUMMYFUNCTION("COUNTIF(IMPORTRANGE(""17XjIPGwafStTRf_8bPPaoi2EFjHVy10_rRJ0uvy6YcU"",""M:M""), B8)"),0.0)</f>
        <v>0</v>
      </c>
      <c r="H8" s="27" t="str">
        <f t="shared" si="1"/>
        <v/>
      </c>
      <c r="I8" s="28" t="str">
        <f t="shared" si="2"/>
        <v/>
      </c>
      <c r="J8" s="29" t="str">
        <f t="shared" si="3"/>
        <v/>
      </c>
      <c r="K8" s="30"/>
      <c r="L8" s="31" t="str">
        <f t="shared" si="4"/>
        <v/>
      </c>
      <c r="M8" s="31" t="str">
        <f t="shared" si="5"/>
        <v/>
      </c>
      <c r="N8" s="4"/>
    </row>
    <row r="9">
      <c r="A9" s="1"/>
      <c r="B9" s="23">
        <f t="shared" si="6"/>
        <v>44412</v>
      </c>
      <c r="C9" s="24">
        <f>IFERROR(__xludf.DUMMYFUNCTION("SUMPRODUCT((IMPORTRANGE(""17XjIPGwafStTRf_8bPPaoi2EFjHVy10_rRJ0uvy6YcU"",""M:M"")=B9)*1, IMPORTRANGE(""17XjIPGwafStTRf_8bPPaoi2EFjHVy10_rRJ0uvy6YcU"",""X:X""), IMPORTRANGE(""17XjIPGwafStTRf_8bPPaoi2EFjHVy10_rRJ0uvy6YcU"",""AK:AK"")) - SUMPRODUCT((IMPORTRA"&amp;"NGE(""17XjIPGwafStTRf_8bPPaoi2EFjHVy10_rRJ0uvy6YcU"",""M:M"")=B9)*1, IMPORTRANGE(""17XjIPGwafStTRf_8bPPaoi2EFjHVy10_rRJ0uvy6YcU"",""X:X""), IMPORTRANGE(""17XjIPGwafStTRf_8bPPaoi2EFjHVy10_rRJ0uvy6YcU"",""AL:AL""))"),480176.0)</f>
        <v>480176</v>
      </c>
      <c r="D9" s="24">
        <f>IFERROR(__xludf.DUMMYFUNCTION("SUMPRODUCT((IMPORTRANGE(""17XjIPGwafStTRf_8bPPaoi2EFjHVy10_rRJ0uvy6YcU"",""M:M"")=B9)*1, IMPORTRANGE(""17XjIPGwafStTRf_8bPPaoi2EFjHVy10_rRJ0uvy6YcU"",""X:X""), IMPORTRANGE(""17XjIPGwafStTRf_8bPPaoi2EFjHVy10_rRJ0uvy6YcU"",""AA:AA"")) + SUMPRODUCT((IMPORTRA"&amp;"NGE(""17XjIPGwafStTRf_8bPPaoi2EFjHVy10_rRJ0uvy6YcU"",""M:M"")=B9)*1, IMPORTRANGE(""17XjIPGwafStTRf_8bPPaoi2EFjHVy10_rRJ0uvy6YcU"",""X:X""), IMPORTRANGE(""17XjIPGwafStTRf_8bPPaoi2EFjHVy10_rRJ0uvy6YcU"",""AE:AE"")) + SUMPRODUCT((IMPORTRANGE(""17XjIPGwafStTR"&amp;"f_8bPPaoi2EFjHVy10_rRJ0uvy6YcU"",""M:M"")=B9)*1, IMPORTRANGE(""17XjIPGwafStTRf_8bPPaoi2EFjHVy10_rRJ0uvy6YcU"",""X:X""), IMPORTRANGE(""17XjIPGwafStTRf_8bPPaoi2EFjHVy10_rRJ0uvy6YcU"",""AF:AF""))"),320960.8046974973)</f>
        <v>320960.8047</v>
      </c>
      <c r="E9" s="24">
        <f>IFERROR(__xludf.DUMMYFUNCTION("SUMPRODUCT((IMPORTRANGE(""17XjIPGwafStTRf_8bPPaoi2EFjHVy10_rRJ0uvy6YcU"",""M:M"")=B9)*1, IMPORTRANGE(""17XjIPGwafStTRf_8bPPaoi2EFjHVy10_rRJ0uvy6YcU"",""X:X""), IMPORTRANGE(""17XjIPGwafStTRf_8bPPaoi2EFjHVy10_rRJ0uvy6YcU"",""AO:AO""))"),70809.91578535398)</f>
        <v>70809.91579</v>
      </c>
      <c r="F9" s="25">
        <f>IFERROR(__xludf.DUMMYFUNCTION("SUMPRODUCT((IMPORTRANGE(""17XjIPGwafStTRf_8bPPaoi2EFjHVy10_rRJ0uvy6YcU"",""M:M"")=B9)*1, IMPORTRANGE(""17XjIPGwafStTRf_8bPPaoi2EFjHVy10_rRJ0uvy6YcU"",""X:X""))"),81.0)</f>
        <v>81</v>
      </c>
      <c r="G9" s="26">
        <f>IFERROR(__xludf.DUMMYFUNCTION("COUNTIF(IMPORTRANGE(""17XjIPGwafStTRf_8bPPaoi2EFjHVy10_rRJ0uvy6YcU"",""M:M""), B9)"),45.0)</f>
        <v>45</v>
      </c>
      <c r="H9" s="27">
        <f t="shared" si="1"/>
        <v>1.8</v>
      </c>
      <c r="I9" s="28">
        <f t="shared" si="2"/>
        <v>0.1474665868</v>
      </c>
      <c r="J9" s="29">
        <f t="shared" si="3"/>
        <v>0.2206185763</v>
      </c>
      <c r="K9" s="32"/>
      <c r="L9" s="31" t="str">
        <f t="shared" si="4"/>
        <v/>
      </c>
      <c r="M9" s="31" t="str">
        <f t="shared" si="5"/>
        <v/>
      </c>
      <c r="N9" s="4"/>
    </row>
    <row r="10">
      <c r="A10" s="1"/>
      <c r="B10" s="23">
        <f t="shared" si="6"/>
        <v>44413</v>
      </c>
      <c r="C10" s="24">
        <f>IFERROR(__xludf.DUMMYFUNCTION("SUMPRODUCT((IMPORTRANGE(""17XjIPGwafStTRf_8bPPaoi2EFjHVy10_rRJ0uvy6YcU"",""M:M"")=B10)*1, IMPORTRANGE(""17XjIPGwafStTRf_8bPPaoi2EFjHVy10_rRJ0uvy6YcU"",""X:X""), IMPORTRANGE(""17XjIPGwafStTRf_8bPPaoi2EFjHVy10_rRJ0uvy6YcU"",""AK:AK"")) - SUMPRODUCT((IMPORTR"&amp;"ANGE(""17XjIPGwafStTRf_8bPPaoi2EFjHVy10_rRJ0uvy6YcU"",""M:M"")=B10)*1, IMPORTRANGE(""17XjIPGwafStTRf_8bPPaoi2EFjHVy10_rRJ0uvy6YcU"",""X:X""), IMPORTRANGE(""17XjIPGwafStTRf_8bPPaoi2EFjHVy10_rRJ0uvy6YcU"",""AL:AL""))"),69784.0)</f>
        <v>69784</v>
      </c>
      <c r="D10" s="24">
        <f>IFERROR(__xludf.DUMMYFUNCTION("SUMPRODUCT((IMPORTRANGE(""17XjIPGwafStTRf_8bPPaoi2EFjHVy10_rRJ0uvy6YcU"",""M:M"")=B10)*1, IMPORTRANGE(""17XjIPGwafStTRf_8bPPaoi2EFjHVy10_rRJ0uvy6YcU"",""X:X""), IMPORTRANGE(""17XjIPGwafStTRf_8bPPaoi2EFjHVy10_rRJ0uvy6YcU"",""AA:AA"")) + SUMPRODUCT((IMPORTR"&amp;"ANGE(""17XjIPGwafStTRf_8bPPaoi2EFjHVy10_rRJ0uvy6YcU"",""M:M"")=B10)*1, IMPORTRANGE(""17XjIPGwafStTRf_8bPPaoi2EFjHVy10_rRJ0uvy6YcU"",""X:X""), IMPORTRANGE(""17XjIPGwafStTRf_8bPPaoi2EFjHVy10_rRJ0uvy6YcU"",""AE:AE"")) + SUMPRODUCT((IMPORTRANGE(""17XjIPGwafSt"&amp;"TRf_8bPPaoi2EFjHVy10_rRJ0uvy6YcU"",""M:M"")=B10)*1, IMPORTRANGE(""17XjIPGwafStTRf_8bPPaoi2EFjHVy10_rRJ0uvy6YcU"",""X:X""), IMPORTRANGE(""17XjIPGwafStTRf_8bPPaoi2EFjHVy10_rRJ0uvy6YcU"",""AF:AF""))"),45996.039808580885)</f>
        <v>45996.03981</v>
      </c>
      <c r="E10" s="24">
        <f>IFERROR(__xludf.DUMMYFUNCTION("SUMPRODUCT((IMPORTRANGE(""17XjIPGwafStTRf_8bPPaoi2EFjHVy10_rRJ0uvy6YcU"",""M:M"")=B10)*1, IMPORTRANGE(""17XjIPGwafStTRf_8bPPaoi2EFjHVy10_rRJ0uvy6YcU"",""X:X""), IMPORTRANGE(""17XjIPGwafStTRf_8bPPaoi2EFjHVy10_rRJ0uvy6YcU"",""AO:AO""))"),9979.484405122621)</f>
        <v>9979.484405</v>
      </c>
      <c r="F10" s="25">
        <f>IFERROR(__xludf.DUMMYFUNCTION("SUMPRODUCT((IMPORTRANGE(""17XjIPGwafStTRf_8bPPaoi2EFjHVy10_rRJ0uvy6YcU"",""M:M"")=B10)*1, IMPORTRANGE(""17XjIPGwafStTRf_8bPPaoi2EFjHVy10_rRJ0uvy6YcU"",""X:X""))"),14.0)</f>
        <v>14</v>
      </c>
      <c r="G10" s="26">
        <f>IFERROR(__xludf.DUMMYFUNCTION("COUNTIF(IMPORTRANGE(""17XjIPGwafStTRf_8bPPaoi2EFjHVy10_rRJ0uvy6YcU"",""M:M""), B10)"),10.0)</f>
        <v>10</v>
      </c>
      <c r="H10" s="27">
        <f t="shared" si="1"/>
        <v>1.4</v>
      </c>
      <c r="I10" s="28">
        <f t="shared" si="2"/>
        <v>0.1430053365</v>
      </c>
      <c r="J10" s="29">
        <f t="shared" si="3"/>
        <v>0.2169639918</v>
      </c>
      <c r="K10" s="32"/>
      <c r="L10" s="31" t="str">
        <f t="shared" si="4"/>
        <v/>
      </c>
      <c r="M10" s="31" t="str">
        <f t="shared" si="5"/>
        <v/>
      </c>
      <c r="N10" s="4"/>
    </row>
    <row r="11">
      <c r="A11" s="1"/>
      <c r="B11" s="23">
        <f t="shared" si="6"/>
        <v>44414</v>
      </c>
      <c r="C11" s="24">
        <f>IFERROR(__xludf.DUMMYFUNCTION("SUMPRODUCT((IMPORTRANGE(""17XjIPGwafStTRf_8bPPaoi2EFjHVy10_rRJ0uvy6YcU"",""M:M"")=B11)*1, IMPORTRANGE(""17XjIPGwafStTRf_8bPPaoi2EFjHVy10_rRJ0uvy6YcU"",""X:X""), IMPORTRANGE(""17XjIPGwafStTRf_8bPPaoi2EFjHVy10_rRJ0uvy6YcU"",""AK:AK"")) - SUMPRODUCT((IMPORTR"&amp;"ANGE(""17XjIPGwafStTRf_8bPPaoi2EFjHVy10_rRJ0uvy6YcU"",""M:M"")=B11)*1, IMPORTRANGE(""17XjIPGwafStTRf_8bPPaoi2EFjHVy10_rRJ0uvy6YcU"",""X:X""), IMPORTRANGE(""17XjIPGwafStTRf_8bPPaoi2EFjHVy10_rRJ0uvy6YcU"",""AL:AL""))"),717933.0)</f>
        <v>717933</v>
      </c>
      <c r="D11" s="24">
        <f>IFERROR(__xludf.DUMMYFUNCTION("SUMPRODUCT((IMPORTRANGE(""17XjIPGwafStTRf_8bPPaoi2EFjHVy10_rRJ0uvy6YcU"",""M:M"")=B11)*1, IMPORTRANGE(""17XjIPGwafStTRf_8bPPaoi2EFjHVy10_rRJ0uvy6YcU"",""X:X""), IMPORTRANGE(""17XjIPGwafStTRf_8bPPaoi2EFjHVy10_rRJ0uvy6YcU"",""AA:AA"")) + SUMPRODUCT((IMPORTR"&amp;"ANGE(""17XjIPGwafStTRf_8bPPaoi2EFjHVy10_rRJ0uvy6YcU"",""M:M"")=B11)*1, IMPORTRANGE(""17XjIPGwafStTRf_8bPPaoi2EFjHVy10_rRJ0uvy6YcU"",""X:X""), IMPORTRANGE(""17XjIPGwafStTRf_8bPPaoi2EFjHVy10_rRJ0uvy6YcU"",""AE:AE"")) + SUMPRODUCT((IMPORTRANGE(""17XjIPGwafSt"&amp;"TRf_8bPPaoi2EFjHVy10_rRJ0uvy6YcU"",""M:M"")=B11)*1, IMPORTRANGE(""17XjIPGwafStTRf_8bPPaoi2EFjHVy10_rRJ0uvy6YcU"",""X:X""), IMPORTRANGE(""17XjIPGwafStTRf_8bPPaoi2EFjHVy10_rRJ0uvy6YcU"",""AF:AF""))"),376713.23949604743)</f>
        <v>376713.2395</v>
      </c>
      <c r="E11" s="24">
        <f>IFERROR(__xludf.DUMMYFUNCTION("SUMPRODUCT((IMPORTRANGE(""17XjIPGwafStTRf_8bPPaoi2EFjHVy10_rRJ0uvy6YcU"",""M:M"")=B11)*1, IMPORTRANGE(""17XjIPGwafStTRf_8bPPaoi2EFjHVy10_rRJ0uvy6YcU"",""X:X""), IMPORTRANGE(""17XjIPGwafStTRf_8bPPaoi2EFjHVy10_rRJ0uvy6YcU"",""AO:AO""))"),267457.43850066833)</f>
        <v>267457.4385</v>
      </c>
      <c r="F11" s="25">
        <f>IFERROR(__xludf.DUMMYFUNCTION("SUMPRODUCT((IMPORTRANGE(""17XjIPGwafStTRf_8bPPaoi2EFjHVy10_rRJ0uvy6YcU"",""M:M"")=B11)*1, IMPORTRANGE(""17XjIPGwafStTRf_8bPPaoi2EFjHVy10_rRJ0uvy6YcU"",""X:X""))"),218.0)</f>
        <v>218</v>
      </c>
      <c r="G11" s="26">
        <f>IFERROR(__xludf.DUMMYFUNCTION("COUNTIF(IMPORTRANGE(""17XjIPGwafStTRf_8bPPaoi2EFjHVy10_rRJ0uvy6YcU"",""M:M""), B11)"),29.0)</f>
        <v>29</v>
      </c>
      <c r="H11" s="27">
        <f t="shared" si="1"/>
        <v>7.517241379</v>
      </c>
      <c r="I11" s="28">
        <f t="shared" si="2"/>
        <v>0.3725381596</v>
      </c>
      <c r="J11" s="29">
        <f t="shared" si="3"/>
        <v>0.7099762112</v>
      </c>
      <c r="K11" s="30"/>
      <c r="L11" s="31" t="str">
        <f t="shared" si="4"/>
        <v/>
      </c>
      <c r="M11" s="31" t="str">
        <f t="shared" si="5"/>
        <v/>
      </c>
      <c r="N11" s="4"/>
    </row>
    <row r="12">
      <c r="A12" s="1"/>
      <c r="B12" s="23">
        <f t="shared" si="6"/>
        <v>44415</v>
      </c>
      <c r="C12" s="24">
        <f>IFERROR(__xludf.DUMMYFUNCTION("SUMPRODUCT((IMPORTRANGE(""17XjIPGwafStTRf_8bPPaoi2EFjHVy10_rRJ0uvy6YcU"",""M:M"")=B12)*1, IMPORTRANGE(""17XjIPGwafStTRf_8bPPaoi2EFjHVy10_rRJ0uvy6YcU"",""X:X""), IMPORTRANGE(""17XjIPGwafStTRf_8bPPaoi2EFjHVy10_rRJ0uvy6YcU"",""AK:AK"")) - SUMPRODUCT((IMPORTR"&amp;"ANGE(""17XjIPGwafStTRf_8bPPaoi2EFjHVy10_rRJ0uvy6YcU"",""M:M"")=B12)*1, IMPORTRANGE(""17XjIPGwafStTRf_8bPPaoi2EFjHVy10_rRJ0uvy6YcU"",""X:X""), IMPORTRANGE(""17XjIPGwafStTRf_8bPPaoi2EFjHVy10_rRJ0uvy6YcU"",""AL:AL""))"),272772.0)</f>
        <v>272772</v>
      </c>
      <c r="D12" s="24">
        <f>IFERROR(__xludf.DUMMYFUNCTION("SUMPRODUCT((IMPORTRANGE(""17XjIPGwafStTRf_8bPPaoi2EFjHVy10_rRJ0uvy6YcU"",""M:M"")=B12)*1, IMPORTRANGE(""17XjIPGwafStTRf_8bPPaoi2EFjHVy10_rRJ0uvy6YcU"",""X:X""), IMPORTRANGE(""17XjIPGwafStTRf_8bPPaoi2EFjHVy10_rRJ0uvy6YcU"",""AA:AA"")) + SUMPRODUCT((IMPORTR"&amp;"ANGE(""17XjIPGwafStTRf_8bPPaoi2EFjHVy10_rRJ0uvy6YcU"",""M:M"")=B12)*1, IMPORTRANGE(""17XjIPGwafStTRf_8bPPaoi2EFjHVy10_rRJ0uvy6YcU"",""X:X""), IMPORTRANGE(""17XjIPGwafStTRf_8bPPaoi2EFjHVy10_rRJ0uvy6YcU"",""AE:AE"")) + SUMPRODUCT((IMPORTRANGE(""17XjIPGwafSt"&amp;"TRf_8bPPaoi2EFjHVy10_rRJ0uvy6YcU"",""M:M"")=B12)*1, IMPORTRANGE(""17XjIPGwafStTRf_8bPPaoi2EFjHVy10_rRJ0uvy6YcU"",""X:X""), IMPORTRANGE(""17XjIPGwafStTRf_8bPPaoi2EFjHVy10_rRJ0uvy6YcU"",""AF:AF""))"),166732.33703723855)</f>
        <v>166732.337</v>
      </c>
      <c r="E12" s="24">
        <f>IFERROR(__xludf.DUMMYFUNCTION("SUMPRODUCT((IMPORTRANGE(""17XjIPGwafStTRf_8bPPaoi2EFjHVy10_rRJ0uvy6YcU"",""M:M"")=B12)*1, IMPORTRANGE(""17XjIPGwafStTRf_8bPPaoi2EFjHVy10_rRJ0uvy6YcU"",""X:X""), IMPORTRANGE(""17XjIPGwafStTRf_8bPPaoi2EFjHVy10_rRJ0uvy6YcU"",""AO:AO""))"),67058.16296276143)</f>
        <v>67058.16296</v>
      </c>
      <c r="F12" s="25">
        <f>IFERROR(__xludf.DUMMYFUNCTION("SUMPRODUCT((IMPORTRANGE(""17XjIPGwafStTRf_8bPPaoi2EFjHVy10_rRJ0uvy6YcU"",""M:M"")=B12)*1, IMPORTRANGE(""17XjIPGwafStTRf_8bPPaoi2EFjHVy10_rRJ0uvy6YcU"",""X:X""))"),21.0)</f>
        <v>21</v>
      </c>
      <c r="G12" s="26">
        <f>IFERROR(__xludf.DUMMYFUNCTION("COUNTIF(IMPORTRANGE(""17XjIPGwafStTRf_8bPPaoi2EFjHVy10_rRJ0uvy6YcU"",""M:M""), B12)"),9.0)</f>
        <v>9</v>
      </c>
      <c r="H12" s="27">
        <f t="shared" si="1"/>
        <v>2.333333333</v>
      </c>
      <c r="I12" s="28">
        <f t="shared" si="2"/>
        <v>0.2458396132</v>
      </c>
      <c r="J12" s="29">
        <f t="shared" si="3"/>
        <v>0.4021905058</v>
      </c>
      <c r="K12" s="32"/>
      <c r="L12" s="31" t="str">
        <f t="shared" si="4"/>
        <v/>
      </c>
      <c r="M12" s="31" t="str">
        <f t="shared" si="5"/>
        <v/>
      </c>
      <c r="N12" s="4"/>
    </row>
    <row r="13">
      <c r="A13" s="1"/>
      <c r="B13" s="23">
        <f t="shared" si="6"/>
        <v>44416</v>
      </c>
      <c r="C13" s="24">
        <f>IFERROR(__xludf.DUMMYFUNCTION("SUMPRODUCT((IMPORTRANGE(""17XjIPGwafStTRf_8bPPaoi2EFjHVy10_rRJ0uvy6YcU"",""M:M"")=B13)*1, IMPORTRANGE(""17XjIPGwafStTRf_8bPPaoi2EFjHVy10_rRJ0uvy6YcU"",""X:X""), IMPORTRANGE(""17XjIPGwafStTRf_8bPPaoi2EFjHVy10_rRJ0uvy6YcU"",""AK:AK"")) - SUMPRODUCT((IMPORTR"&amp;"ANGE(""17XjIPGwafStTRf_8bPPaoi2EFjHVy10_rRJ0uvy6YcU"",""M:M"")=B13)*1, IMPORTRANGE(""17XjIPGwafStTRf_8bPPaoi2EFjHVy10_rRJ0uvy6YcU"",""X:X""), IMPORTRANGE(""17XjIPGwafStTRf_8bPPaoi2EFjHVy10_rRJ0uvy6YcU"",""AL:AL""))"),226090.0)</f>
        <v>226090</v>
      </c>
      <c r="D13" s="24">
        <f>IFERROR(__xludf.DUMMYFUNCTION("SUMPRODUCT((IMPORTRANGE(""17XjIPGwafStTRf_8bPPaoi2EFjHVy10_rRJ0uvy6YcU"",""M:M"")=B13)*1, IMPORTRANGE(""17XjIPGwafStTRf_8bPPaoi2EFjHVy10_rRJ0uvy6YcU"",""X:X""), IMPORTRANGE(""17XjIPGwafStTRf_8bPPaoi2EFjHVy10_rRJ0uvy6YcU"",""AA:AA"")) + SUMPRODUCT((IMPORTR"&amp;"ANGE(""17XjIPGwafStTRf_8bPPaoi2EFjHVy10_rRJ0uvy6YcU"",""M:M"")=B13)*1, IMPORTRANGE(""17XjIPGwafStTRf_8bPPaoi2EFjHVy10_rRJ0uvy6YcU"",""X:X""), IMPORTRANGE(""17XjIPGwafStTRf_8bPPaoi2EFjHVy10_rRJ0uvy6YcU"",""AE:AE"")) + SUMPRODUCT((IMPORTRANGE(""17XjIPGwafSt"&amp;"TRf_8bPPaoi2EFjHVy10_rRJ0uvy6YcU"",""M:M"")=B13)*1, IMPORTRANGE(""17XjIPGwafStTRf_8bPPaoi2EFjHVy10_rRJ0uvy6YcU"",""X:X""), IMPORTRANGE(""17XjIPGwafStTRf_8bPPaoi2EFjHVy10_rRJ0uvy6YcU"",""AF:AF""))"),151129.6467142048)</f>
        <v>151129.6467</v>
      </c>
      <c r="E13" s="24">
        <f>IFERROR(__xludf.DUMMYFUNCTION("SUMPRODUCT((IMPORTRANGE(""17XjIPGwafStTRf_8bPPaoi2EFjHVy10_rRJ0uvy6YcU"",""M:M"")=B13)*1, IMPORTRANGE(""17XjIPGwafStTRf_8bPPaoi2EFjHVy10_rRJ0uvy6YcU"",""X:X""), IMPORTRANGE(""17XjIPGwafStTRf_8bPPaoi2EFjHVy10_rRJ0uvy6YcU"",""AO:AO""))"),31080.153285795182)</f>
        <v>31080.15329</v>
      </c>
      <c r="F13" s="25">
        <f>IFERROR(__xludf.DUMMYFUNCTION("SUMPRODUCT((IMPORTRANGE(""17XjIPGwafStTRf_8bPPaoi2EFjHVy10_rRJ0uvy6YcU"",""M:M"")=B13)*1, IMPORTRANGE(""17XjIPGwafStTRf_8bPPaoi2EFjHVy10_rRJ0uvy6YcU"",""X:X""))"),44.0)</f>
        <v>44</v>
      </c>
      <c r="G13" s="26">
        <f>IFERROR(__xludf.DUMMYFUNCTION("COUNTIF(IMPORTRANGE(""17XjIPGwafStTRf_8bPPaoi2EFjHVy10_rRJ0uvy6YcU"",""M:M""), B13)"),22.0)</f>
        <v>22</v>
      </c>
      <c r="H13" s="27">
        <f t="shared" si="1"/>
        <v>2</v>
      </c>
      <c r="I13" s="28">
        <f t="shared" si="2"/>
        <v>0.1374680582</v>
      </c>
      <c r="J13" s="29">
        <f t="shared" si="3"/>
        <v>0.2056522592</v>
      </c>
      <c r="K13" s="32"/>
      <c r="L13" s="31" t="str">
        <f t="shared" si="4"/>
        <v/>
      </c>
      <c r="M13" s="31" t="str">
        <f t="shared" si="5"/>
        <v/>
      </c>
      <c r="N13" s="4"/>
    </row>
    <row r="14">
      <c r="A14" s="1"/>
      <c r="B14" s="23">
        <f t="shared" si="6"/>
        <v>44417</v>
      </c>
      <c r="C14" s="24">
        <f>IFERROR(__xludf.DUMMYFUNCTION("SUMPRODUCT((IMPORTRANGE(""17XjIPGwafStTRf_8bPPaoi2EFjHVy10_rRJ0uvy6YcU"",""M:M"")=B14)*1, IMPORTRANGE(""17XjIPGwafStTRf_8bPPaoi2EFjHVy10_rRJ0uvy6YcU"",""X:X""), IMPORTRANGE(""17XjIPGwafStTRf_8bPPaoi2EFjHVy10_rRJ0uvy6YcU"",""AK:AK"")) - SUMPRODUCT((IMPORTR"&amp;"ANGE(""17XjIPGwafStTRf_8bPPaoi2EFjHVy10_rRJ0uvy6YcU"",""M:M"")=B14)*1, IMPORTRANGE(""17XjIPGwafStTRf_8bPPaoi2EFjHVy10_rRJ0uvy6YcU"",""X:X""), IMPORTRANGE(""17XjIPGwafStTRf_8bPPaoi2EFjHVy10_rRJ0uvy6YcU"",""AL:AL""))"),328152.0)</f>
        <v>328152</v>
      </c>
      <c r="D14" s="24">
        <f>IFERROR(__xludf.DUMMYFUNCTION("SUMPRODUCT((IMPORTRANGE(""17XjIPGwafStTRf_8bPPaoi2EFjHVy10_rRJ0uvy6YcU"",""M:M"")=B14)*1, IMPORTRANGE(""17XjIPGwafStTRf_8bPPaoi2EFjHVy10_rRJ0uvy6YcU"",""X:X""), IMPORTRANGE(""17XjIPGwafStTRf_8bPPaoi2EFjHVy10_rRJ0uvy6YcU"",""AA:AA"")) + SUMPRODUCT((IMPORTR"&amp;"ANGE(""17XjIPGwafStTRf_8bPPaoi2EFjHVy10_rRJ0uvy6YcU"",""M:M"")=B14)*1, IMPORTRANGE(""17XjIPGwafStTRf_8bPPaoi2EFjHVy10_rRJ0uvy6YcU"",""X:X""), IMPORTRANGE(""17XjIPGwafStTRf_8bPPaoi2EFjHVy10_rRJ0uvy6YcU"",""AE:AE"")) + SUMPRODUCT((IMPORTRANGE(""17XjIPGwafSt"&amp;"TRf_8bPPaoi2EFjHVy10_rRJ0uvy6YcU"",""M:M"")=B14)*1, IMPORTRANGE(""17XjIPGwafStTRf_8bPPaoi2EFjHVy10_rRJ0uvy6YcU"",""X:X""), IMPORTRANGE(""17XjIPGwafStTRf_8bPPaoi2EFjHVy10_rRJ0uvy6YcU"",""AF:AF""))"),199866.57898925166)</f>
        <v>199866.579</v>
      </c>
      <c r="E14" s="24">
        <f>IFERROR(__xludf.DUMMYFUNCTION("SUMPRODUCT((IMPORTRANGE(""17XjIPGwafStTRf_8bPPaoi2EFjHVy10_rRJ0uvy6YcU"",""M:M"")=B14)*1, IMPORTRANGE(""17XjIPGwafStTRf_8bPPaoi2EFjHVy10_rRJ0uvy6YcU"",""X:X""), IMPORTRANGE(""17XjIPGwafStTRf_8bPPaoi2EFjHVy10_rRJ0uvy6YcU"",""AO:AO""))"),96944.47364031385)</f>
        <v>96944.47364</v>
      </c>
      <c r="F14" s="25">
        <f>IFERROR(__xludf.DUMMYFUNCTION("SUMPRODUCT((IMPORTRANGE(""17XjIPGwafStTRf_8bPPaoi2EFjHVy10_rRJ0uvy6YcU"",""M:M"")=B14)*1, IMPORTRANGE(""17XjIPGwafStTRf_8bPPaoi2EFjHVy10_rRJ0uvy6YcU"",""X:X""))"),42.0)</f>
        <v>42</v>
      </c>
      <c r="G14" s="26">
        <f>IFERROR(__xludf.DUMMYFUNCTION("COUNTIF(IMPORTRANGE(""17XjIPGwafStTRf_8bPPaoi2EFjHVy10_rRJ0uvy6YcU"",""M:M""), B14)"),22.0)</f>
        <v>22</v>
      </c>
      <c r="H14" s="27">
        <f t="shared" si="1"/>
        <v>1.909090909</v>
      </c>
      <c r="I14" s="28">
        <f t="shared" si="2"/>
        <v>0.2954255151</v>
      </c>
      <c r="J14" s="29">
        <f t="shared" si="3"/>
        <v>0.4850459448</v>
      </c>
      <c r="K14" s="32"/>
      <c r="L14" s="31" t="str">
        <f t="shared" si="4"/>
        <v/>
      </c>
      <c r="M14" s="31" t="str">
        <f t="shared" si="5"/>
        <v/>
      </c>
      <c r="N14" s="4"/>
    </row>
    <row r="15">
      <c r="A15" s="1"/>
      <c r="B15" s="23">
        <f t="shared" si="6"/>
        <v>44418</v>
      </c>
      <c r="C15" s="24">
        <f>IFERROR(__xludf.DUMMYFUNCTION("SUMPRODUCT((IMPORTRANGE(""17XjIPGwafStTRf_8bPPaoi2EFjHVy10_rRJ0uvy6YcU"",""M:M"")=B15)*1, IMPORTRANGE(""17XjIPGwafStTRf_8bPPaoi2EFjHVy10_rRJ0uvy6YcU"",""X:X""), IMPORTRANGE(""17XjIPGwafStTRf_8bPPaoi2EFjHVy10_rRJ0uvy6YcU"",""AK:AK"")) - SUMPRODUCT((IMPORTR"&amp;"ANGE(""17XjIPGwafStTRf_8bPPaoi2EFjHVy10_rRJ0uvy6YcU"",""M:M"")=B15)*1, IMPORTRANGE(""17XjIPGwafStTRf_8bPPaoi2EFjHVy10_rRJ0uvy6YcU"",""X:X""), IMPORTRANGE(""17XjIPGwafStTRf_8bPPaoi2EFjHVy10_rRJ0uvy6YcU"",""AL:AL""))"),180551.0)</f>
        <v>180551</v>
      </c>
      <c r="D15" s="24">
        <f>IFERROR(__xludf.DUMMYFUNCTION("SUMPRODUCT((IMPORTRANGE(""17XjIPGwafStTRf_8bPPaoi2EFjHVy10_rRJ0uvy6YcU"",""M:M"")=B15)*1, IMPORTRANGE(""17XjIPGwafStTRf_8bPPaoi2EFjHVy10_rRJ0uvy6YcU"",""X:X""), IMPORTRANGE(""17XjIPGwafStTRf_8bPPaoi2EFjHVy10_rRJ0uvy6YcU"",""AA:AA"")) + SUMPRODUCT((IMPORTR"&amp;"ANGE(""17XjIPGwafStTRf_8bPPaoi2EFjHVy10_rRJ0uvy6YcU"",""M:M"")=B15)*1, IMPORTRANGE(""17XjIPGwafStTRf_8bPPaoi2EFjHVy10_rRJ0uvy6YcU"",""X:X""), IMPORTRANGE(""17XjIPGwafStTRf_8bPPaoi2EFjHVy10_rRJ0uvy6YcU"",""AE:AE"")) + SUMPRODUCT((IMPORTRANGE(""17XjIPGwafSt"&amp;"TRf_8bPPaoi2EFjHVy10_rRJ0uvy6YcU"",""M:M"")=B15)*1, IMPORTRANGE(""17XjIPGwafStTRf_8bPPaoi2EFjHVy10_rRJ0uvy6YcU"",""X:X""), IMPORTRANGE(""17XjIPGwafStTRf_8bPPaoi2EFjHVy10_rRJ0uvy6YcU"",""AF:AF""))"),112593.59256448087)</f>
        <v>112593.5926</v>
      </c>
      <c r="E15" s="24">
        <f>IFERROR(__xludf.DUMMYFUNCTION("SUMPRODUCT((IMPORTRANGE(""17XjIPGwafStTRf_8bPPaoi2EFjHVy10_rRJ0uvy6YcU"",""M:M"")=B15)*1, IMPORTRANGE(""17XjIPGwafStTRf_8bPPaoi2EFjHVy10_rRJ0uvy6YcU"",""X:X""), IMPORTRANGE(""17XjIPGwafStTRf_8bPPaoi2EFjHVy10_rRJ0uvy6YcU"",""AO:AO""))"),32664.230966696177)</f>
        <v>32664.23097</v>
      </c>
      <c r="F15" s="25">
        <f>IFERROR(__xludf.DUMMYFUNCTION("SUMPRODUCT((IMPORTRANGE(""17XjIPGwafStTRf_8bPPaoi2EFjHVy10_rRJ0uvy6YcU"",""M:M"")=B15)*1, IMPORTRANGE(""17XjIPGwafStTRf_8bPPaoi2EFjHVy10_rRJ0uvy6YcU"",""X:X""))"),34.0)</f>
        <v>34</v>
      </c>
      <c r="G15" s="26">
        <f>IFERROR(__xludf.DUMMYFUNCTION("COUNTIF(IMPORTRANGE(""17XjIPGwafStTRf_8bPPaoi2EFjHVy10_rRJ0uvy6YcU"",""M:M""), B15)"),21.0)</f>
        <v>21</v>
      </c>
      <c r="H15" s="27">
        <f t="shared" si="1"/>
        <v>1.619047619</v>
      </c>
      <c r="I15" s="28">
        <f t="shared" si="2"/>
        <v>0.1809141515</v>
      </c>
      <c r="J15" s="29">
        <f t="shared" si="3"/>
        <v>0.2901073695</v>
      </c>
      <c r="K15" s="30"/>
      <c r="L15" s="31" t="str">
        <f t="shared" si="4"/>
        <v/>
      </c>
      <c r="M15" s="31" t="str">
        <f t="shared" si="5"/>
        <v/>
      </c>
      <c r="N15" s="4"/>
    </row>
    <row r="16">
      <c r="A16" s="1"/>
      <c r="B16" s="23">
        <f t="shared" si="6"/>
        <v>44419</v>
      </c>
      <c r="C16" s="24">
        <f>IFERROR(__xludf.DUMMYFUNCTION("SUMPRODUCT((IMPORTRANGE(""17XjIPGwafStTRf_8bPPaoi2EFjHVy10_rRJ0uvy6YcU"",""M:M"")=B16)*1, IMPORTRANGE(""17XjIPGwafStTRf_8bPPaoi2EFjHVy10_rRJ0uvy6YcU"",""X:X""), IMPORTRANGE(""17XjIPGwafStTRf_8bPPaoi2EFjHVy10_rRJ0uvy6YcU"",""AK:AK"")) - SUMPRODUCT((IMPORTR"&amp;"ANGE(""17XjIPGwafStTRf_8bPPaoi2EFjHVy10_rRJ0uvy6YcU"",""M:M"")=B16)*1, IMPORTRANGE(""17XjIPGwafStTRf_8bPPaoi2EFjHVy10_rRJ0uvy6YcU"",""X:X""), IMPORTRANGE(""17XjIPGwafStTRf_8bPPaoi2EFjHVy10_rRJ0uvy6YcU"",""AL:AL""))"),344112.0)</f>
        <v>344112</v>
      </c>
      <c r="D16" s="24">
        <f>IFERROR(__xludf.DUMMYFUNCTION("SUMPRODUCT((IMPORTRANGE(""17XjIPGwafStTRf_8bPPaoi2EFjHVy10_rRJ0uvy6YcU"",""M:M"")=B16)*1, IMPORTRANGE(""17XjIPGwafStTRf_8bPPaoi2EFjHVy10_rRJ0uvy6YcU"",""X:X""), IMPORTRANGE(""17XjIPGwafStTRf_8bPPaoi2EFjHVy10_rRJ0uvy6YcU"",""AA:AA"")) + SUMPRODUCT((IMPORTR"&amp;"ANGE(""17XjIPGwafStTRf_8bPPaoi2EFjHVy10_rRJ0uvy6YcU"",""M:M"")=B16)*1, IMPORTRANGE(""17XjIPGwafStTRf_8bPPaoi2EFjHVy10_rRJ0uvy6YcU"",""X:X""), IMPORTRANGE(""17XjIPGwafStTRf_8bPPaoi2EFjHVy10_rRJ0uvy6YcU"",""AE:AE"")) + SUMPRODUCT((IMPORTRANGE(""17XjIPGwafSt"&amp;"TRf_8bPPaoi2EFjHVy10_rRJ0uvy6YcU"",""M:M"")=B16)*1, IMPORTRANGE(""17XjIPGwafStTRf_8bPPaoi2EFjHVy10_rRJ0uvy6YcU"",""X:X""), IMPORTRANGE(""17XjIPGwafStTRf_8bPPaoi2EFjHVy10_rRJ0uvy6YcU"",""AF:AF""))"),212412.29870403826)</f>
        <v>212412.2987</v>
      </c>
      <c r="E16" s="24">
        <f>IFERROR(__xludf.DUMMYFUNCTION("SUMPRODUCT((IMPORTRANGE(""17XjIPGwafStTRf_8bPPaoi2EFjHVy10_rRJ0uvy6YcU"",""M:M"")=B16)*1, IMPORTRANGE(""17XjIPGwafStTRf_8bPPaoi2EFjHVy10_rRJ0uvy6YcU"",""X:X""), IMPORTRANGE(""17XjIPGwafStTRf_8bPPaoi2EFjHVy10_rRJ0uvy6YcU"",""AO:AO""))"),57608.48193732428)</f>
        <v>57608.48194</v>
      </c>
      <c r="F16" s="25">
        <f>IFERROR(__xludf.DUMMYFUNCTION("SUMPRODUCT((IMPORTRANGE(""17XjIPGwafStTRf_8bPPaoi2EFjHVy10_rRJ0uvy6YcU"",""M:M"")=B16)*1, IMPORTRANGE(""17XjIPGwafStTRf_8bPPaoi2EFjHVy10_rRJ0uvy6YcU"",""X:X""))"),59.0)</f>
        <v>59</v>
      </c>
      <c r="G16" s="26">
        <f>IFERROR(__xludf.DUMMYFUNCTION("COUNTIF(IMPORTRANGE(""17XjIPGwafStTRf_8bPPaoi2EFjHVy10_rRJ0uvy6YcU"",""M:M""), B16)"),27.0)</f>
        <v>27</v>
      </c>
      <c r="H16" s="27">
        <f t="shared" si="1"/>
        <v>2.185185185</v>
      </c>
      <c r="I16" s="28">
        <f t="shared" si="2"/>
        <v>0.167412011</v>
      </c>
      <c r="J16" s="29">
        <f t="shared" si="3"/>
        <v>0.2712106704</v>
      </c>
      <c r="K16" s="32"/>
      <c r="L16" s="31" t="str">
        <f t="shared" si="4"/>
        <v/>
      </c>
      <c r="M16" s="31" t="str">
        <f t="shared" si="5"/>
        <v/>
      </c>
      <c r="N16" s="4"/>
    </row>
    <row r="17">
      <c r="A17" s="1"/>
      <c r="B17" s="23">
        <f t="shared" si="6"/>
        <v>44420</v>
      </c>
      <c r="C17" s="24">
        <f>IFERROR(__xludf.DUMMYFUNCTION("SUMPRODUCT((IMPORTRANGE(""17XjIPGwafStTRf_8bPPaoi2EFjHVy10_rRJ0uvy6YcU"",""M:M"")=B17)*1, IMPORTRANGE(""17XjIPGwafStTRf_8bPPaoi2EFjHVy10_rRJ0uvy6YcU"",""X:X""), IMPORTRANGE(""17XjIPGwafStTRf_8bPPaoi2EFjHVy10_rRJ0uvy6YcU"",""AK:AK"")) - SUMPRODUCT((IMPORTR"&amp;"ANGE(""17XjIPGwafStTRf_8bPPaoi2EFjHVy10_rRJ0uvy6YcU"",""M:M"")=B17)*1, IMPORTRANGE(""17XjIPGwafStTRf_8bPPaoi2EFjHVy10_rRJ0uvy6YcU"",""X:X""), IMPORTRANGE(""17XjIPGwafStTRf_8bPPaoi2EFjHVy10_rRJ0uvy6YcU"",""AL:AL""))"),260630.0)</f>
        <v>260630</v>
      </c>
      <c r="D17" s="24">
        <f>IFERROR(__xludf.DUMMYFUNCTION("SUMPRODUCT((IMPORTRANGE(""17XjIPGwafStTRf_8bPPaoi2EFjHVy10_rRJ0uvy6YcU"",""M:M"")=B17)*1, IMPORTRANGE(""17XjIPGwafStTRf_8bPPaoi2EFjHVy10_rRJ0uvy6YcU"",""X:X""), IMPORTRANGE(""17XjIPGwafStTRf_8bPPaoi2EFjHVy10_rRJ0uvy6YcU"",""AA:AA"")) + SUMPRODUCT((IMPORTR"&amp;"ANGE(""17XjIPGwafStTRf_8bPPaoi2EFjHVy10_rRJ0uvy6YcU"",""M:M"")=B17)*1, IMPORTRANGE(""17XjIPGwafStTRf_8bPPaoi2EFjHVy10_rRJ0uvy6YcU"",""X:X""), IMPORTRANGE(""17XjIPGwafStTRf_8bPPaoi2EFjHVy10_rRJ0uvy6YcU"",""AE:AE"")) + SUMPRODUCT((IMPORTRANGE(""17XjIPGwafSt"&amp;"TRf_8bPPaoi2EFjHVy10_rRJ0uvy6YcU"",""M:M"")=B17)*1, IMPORTRANGE(""17XjIPGwafStTRf_8bPPaoi2EFjHVy10_rRJ0uvy6YcU"",""X:X""), IMPORTRANGE(""17XjIPGwafStTRf_8bPPaoi2EFjHVy10_rRJ0uvy6YcU"",""AF:AF""))"),137835.02692656234)</f>
        <v>137835.0269</v>
      </c>
      <c r="E17" s="24">
        <f>IFERROR(__xludf.DUMMYFUNCTION("SUMPRODUCT((IMPORTRANGE(""17XjIPGwafStTRf_8bPPaoi2EFjHVy10_rRJ0uvy6YcU"",""M:M"")=B17)*1, IMPORTRANGE(""17XjIPGwafStTRf_8bPPaoi2EFjHVy10_rRJ0uvy6YcU"",""X:X""), IMPORTRANGE(""17XjIPGwafStTRf_8bPPaoi2EFjHVy10_rRJ0uvy6YcU"",""AO:AO""))"),65047.673073437654)</f>
        <v>65047.67307</v>
      </c>
      <c r="F17" s="25">
        <f>IFERROR(__xludf.DUMMYFUNCTION("SUMPRODUCT((IMPORTRANGE(""17XjIPGwafStTRf_8bPPaoi2EFjHVy10_rRJ0uvy6YcU"",""M:M"")=B17)*1, IMPORTRANGE(""17XjIPGwafStTRf_8bPPaoi2EFjHVy10_rRJ0uvy6YcU"",""X:X""))"),67.0)</f>
        <v>67</v>
      </c>
      <c r="G17" s="26">
        <f>IFERROR(__xludf.DUMMYFUNCTION("COUNTIF(IMPORTRANGE(""17XjIPGwafStTRf_8bPPaoi2EFjHVy10_rRJ0uvy6YcU"",""M:M""), B17)"),3.0)</f>
        <v>3</v>
      </c>
      <c r="H17" s="27">
        <f t="shared" si="1"/>
        <v>22.33333333</v>
      </c>
      <c r="I17" s="28">
        <f t="shared" si="2"/>
        <v>0.2495786098</v>
      </c>
      <c r="J17" s="29">
        <f t="shared" si="3"/>
        <v>0.4719241148</v>
      </c>
      <c r="K17" s="32"/>
      <c r="L17" s="31" t="str">
        <f t="shared" si="4"/>
        <v/>
      </c>
      <c r="M17" s="31" t="str">
        <f t="shared" si="5"/>
        <v/>
      </c>
      <c r="N17" s="4"/>
    </row>
    <row r="18">
      <c r="A18" s="1"/>
      <c r="B18" s="23">
        <f t="shared" si="6"/>
        <v>44421</v>
      </c>
      <c r="C18" s="24">
        <f>IFERROR(__xludf.DUMMYFUNCTION("SUMPRODUCT((IMPORTRANGE(""17XjIPGwafStTRf_8bPPaoi2EFjHVy10_rRJ0uvy6YcU"",""M:M"")=B18)*1, IMPORTRANGE(""17XjIPGwafStTRf_8bPPaoi2EFjHVy10_rRJ0uvy6YcU"",""X:X""), IMPORTRANGE(""17XjIPGwafStTRf_8bPPaoi2EFjHVy10_rRJ0uvy6YcU"",""AK:AK"")) - SUMPRODUCT((IMPORTR"&amp;"ANGE(""17XjIPGwafStTRf_8bPPaoi2EFjHVy10_rRJ0uvy6YcU"",""M:M"")=B18)*1, IMPORTRANGE(""17XjIPGwafStTRf_8bPPaoi2EFjHVy10_rRJ0uvy6YcU"",""X:X""), IMPORTRANGE(""17XjIPGwafStTRf_8bPPaoi2EFjHVy10_rRJ0uvy6YcU"",""AL:AL""))"),245018.0)</f>
        <v>245018</v>
      </c>
      <c r="D18" s="24">
        <f>IFERROR(__xludf.DUMMYFUNCTION("SUMPRODUCT((IMPORTRANGE(""17XjIPGwafStTRf_8bPPaoi2EFjHVy10_rRJ0uvy6YcU"",""M:M"")=B18)*1, IMPORTRANGE(""17XjIPGwafStTRf_8bPPaoi2EFjHVy10_rRJ0uvy6YcU"",""X:X""), IMPORTRANGE(""17XjIPGwafStTRf_8bPPaoi2EFjHVy10_rRJ0uvy6YcU"",""AA:AA"")) + SUMPRODUCT((IMPORTR"&amp;"ANGE(""17XjIPGwafStTRf_8bPPaoi2EFjHVy10_rRJ0uvy6YcU"",""M:M"")=B18)*1, IMPORTRANGE(""17XjIPGwafStTRf_8bPPaoi2EFjHVy10_rRJ0uvy6YcU"",""X:X""), IMPORTRANGE(""17XjIPGwafStTRf_8bPPaoi2EFjHVy10_rRJ0uvy6YcU"",""AE:AE"")) + SUMPRODUCT((IMPORTRANGE(""17XjIPGwafSt"&amp;"TRf_8bPPaoi2EFjHVy10_rRJ0uvy6YcU"",""M:M"")=B18)*1, IMPORTRANGE(""17XjIPGwafStTRf_8bPPaoi2EFjHVy10_rRJ0uvy6YcU"",""X:X""), IMPORTRANGE(""17XjIPGwafStTRf_8bPPaoi2EFjHVy10_rRJ0uvy6YcU"",""AF:AF""))"),154914.15008146918)</f>
        <v>154914.1501</v>
      </c>
      <c r="E18" s="24">
        <f>IFERROR(__xludf.DUMMYFUNCTION("SUMPRODUCT((IMPORTRANGE(""17XjIPGwafStTRf_8bPPaoi2EFjHVy10_rRJ0uvy6YcU"",""M:M"")=B18)*1, IMPORTRANGE(""17XjIPGwafStTRf_8bPPaoi2EFjHVy10_rRJ0uvy6YcU"",""X:X""), IMPORTRANGE(""17XjIPGwafStTRf_8bPPaoi2EFjHVy10_rRJ0uvy6YcU"",""AO:AO""))"),42088.82881761333)</f>
        <v>42088.82882</v>
      </c>
      <c r="F18" s="25">
        <f>IFERROR(__xludf.DUMMYFUNCTION("SUMPRODUCT((IMPORTRANGE(""17XjIPGwafStTRf_8bPPaoi2EFjHVy10_rRJ0uvy6YcU"",""M:M"")=B18)*1, IMPORTRANGE(""17XjIPGwafStTRf_8bPPaoi2EFjHVy10_rRJ0uvy6YcU"",""X:X""))"),45.0)</f>
        <v>45</v>
      </c>
      <c r="G18" s="26">
        <f>IFERROR(__xludf.DUMMYFUNCTION("COUNTIF(IMPORTRANGE(""17XjIPGwafStTRf_8bPPaoi2EFjHVy10_rRJ0uvy6YcU"",""M:M""), B18)"),23.0)</f>
        <v>23</v>
      </c>
      <c r="H18" s="27">
        <f t="shared" si="1"/>
        <v>1.956521739</v>
      </c>
      <c r="I18" s="28">
        <f t="shared" si="2"/>
        <v>0.1717785176</v>
      </c>
      <c r="J18" s="29">
        <f t="shared" si="3"/>
        <v>0.2716913129</v>
      </c>
      <c r="K18" s="32"/>
      <c r="L18" s="31" t="str">
        <f t="shared" si="4"/>
        <v/>
      </c>
      <c r="M18" s="31" t="str">
        <f t="shared" si="5"/>
        <v/>
      </c>
      <c r="N18" s="4"/>
    </row>
    <row r="19">
      <c r="A19" s="1"/>
      <c r="B19" s="23">
        <f t="shared" si="6"/>
        <v>44422</v>
      </c>
      <c r="C19" s="24">
        <f>IFERROR(__xludf.DUMMYFUNCTION("SUMPRODUCT((IMPORTRANGE(""17XjIPGwafStTRf_8bPPaoi2EFjHVy10_rRJ0uvy6YcU"",""M:M"")=B19)*1, IMPORTRANGE(""17XjIPGwafStTRf_8bPPaoi2EFjHVy10_rRJ0uvy6YcU"",""X:X""), IMPORTRANGE(""17XjIPGwafStTRf_8bPPaoi2EFjHVy10_rRJ0uvy6YcU"",""AK:AK"")) - SUMPRODUCT((IMPORTR"&amp;"ANGE(""17XjIPGwafStTRf_8bPPaoi2EFjHVy10_rRJ0uvy6YcU"",""M:M"")=B19)*1, IMPORTRANGE(""17XjIPGwafStTRf_8bPPaoi2EFjHVy10_rRJ0uvy6YcU"",""X:X""), IMPORTRANGE(""17XjIPGwafStTRf_8bPPaoi2EFjHVy10_rRJ0uvy6YcU"",""AL:AL""))"),172386.0)</f>
        <v>172386</v>
      </c>
      <c r="D19" s="24">
        <f>IFERROR(__xludf.DUMMYFUNCTION("SUMPRODUCT((IMPORTRANGE(""17XjIPGwafStTRf_8bPPaoi2EFjHVy10_rRJ0uvy6YcU"",""M:M"")=B19)*1, IMPORTRANGE(""17XjIPGwafStTRf_8bPPaoi2EFjHVy10_rRJ0uvy6YcU"",""X:X""), IMPORTRANGE(""17XjIPGwafStTRf_8bPPaoi2EFjHVy10_rRJ0uvy6YcU"",""AA:AA"")) + SUMPRODUCT((IMPORTR"&amp;"ANGE(""17XjIPGwafStTRf_8bPPaoi2EFjHVy10_rRJ0uvy6YcU"",""M:M"")=B19)*1, IMPORTRANGE(""17XjIPGwafStTRf_8bPPaoi2EFjHVy10_rRJ0uvy6YcU"",""X:X""), IMPORTRANGE(""17XjIPGwafStTRf_8bPPaoi2EFjHVy10_rRJ0uvy6YcU"",""AE:AE"")) + SUMPRODUCT((IMPORTRANGE(""17XjIPGwafSt"&amp;"TRf_8bPPaoi2EFjHVy10_rRJ0uvy6YcU"",""M:M"")=B19)*1, IMPORTRANGE(""17XjIPGwafStTRf_8bPPaoi2EFjHVy10_rRJ0uvy6YcU"",""X:X""), IMPORTRANGE(""17XjIPGwafStTRf_8bPPaoi2EFjHVy10_rRJ0uvy6YcU"",""AF:AF""))"),111994.70082929301)</f>
        <v>111994.7008</v>
      </c>
      <c r="E19" s="24">
        <f>IFERROR(__xludf.DUMMYFUNCTION("SUMPRODUCT((IMPORTRANGE(""17XjIPGwafStTRf_8bPPaoi2EFjHVy10_rRJ0uvy6YcU"",""M:M"")=B19)*1, IMPORTRANGE(""17XjIPGwafStTRf_8bPPaoi2EFjHVy10_rRJ0uvy6YcU"",""X:X""), IMPORTRANGE(""17XjIPGwafStTRf_8bPPaoi2EFjHVy10_rRJ0uvy6YcU"",""AO:AO""))"),41070.66977821897)</f>
        <v>41070.66978</v>
      </c>
      <c r="F19" s="25">
        <f>IFERROR(__xludf.DUMMYFUNCTION("SUMPRODUCT((IMPORTRANGE(""17XjIPGwafStTRf_8bPPaoi2EFjHVy10_rRJ0uvy6YcU"",""M:M"")=B19)*1, IMPORTRANGE(""17XjIPGwafStTRf_8bPPaoi2EFjHVy10_rRJ0uvy6YcU"",""X:X""))"),42.0)</f>
        <v>42</v>
      </c>
      <c r="G19" s="26">
        <f>IFERROR(__xludf.DUMMYFUNCTION("COUNTIF(IMPORTRANGE(""17XjIPGwafStTRf_8bPPaoi2EFjHVy10_rRJ0uvy6YcU"",""M:M""), B19)"),18.0)</f>
        <v>18</v>
      </c>
      <c r="H19" s="27">
        <f t="shared" si="1"/>
        <v>2.333333333</v>
      </c>
      <c r="I19" s="28">
        <f t="shared" si="2"/>
        <v>0.2382482903</v>
      </c>
      <c r="J19" s="29">
        <f t="shared" si="3"/>
        <v>0.3667197597</v>
      </c>
      <c r="K19" s="32"/>
      <c r="L19" s="31" t="str">
        <f t="shared" si="4"/>
        <v/>
      </c>
      <c r="M19" s="31" t="str">
        <f t="shared" si="5"/>
        <v/>
      </c>
      <c r="N19" s="4"/>
    </row>
    <row r="20">
      <c r="A20" s="1"/>
      <c r="B20" s="23">
        <f t="shared" si="6"/>
        <v>44423</v>
      </c>
      <c r="C20" s="24">
        <f>IFERROR(__xludf.DUMMYFUNCTION("SUMPRODUCT((IMPORTRANGE(""17XjIPGwafStTRf_8bPPaoi2EFjHVy10_rRJ0uvy6YcU"",""M:M"")=B20)*1, IMPORTRANGE(""17XjIPGwafStTRf_8bPPaoi2EFjHVy10_rRJ0uvy6YcU"",""X:X""), IMPORTRANGE(""17XjIPGwafStTRf_8bPPaoi2EFjHVy10_rRJ0uvy6YcU"",""AK:AK"")) - SUMPRODUCT((IMPORTR"&amp;"ANGE(""17XjIPGwafStTRf_8bPPaoi2EFjHVy10_rRJ0uvy6YcU"",""M:M"")=B20)*1, IMPORTRANGE(""17XjIPGwafStTRf_8bPPaoi2EFjHVy10_rRJ0uvy6YcU"",""X:X""), IMPORTRANGE(""17XjIPGwafStTRf_8bPPaoi2EFjHVy10_rRJ0uvy6YcU"",""AL:AL""))"),460516.0)</f>
        <v>460516</v>
      </c>
      <c r="D20" s="24">
        <f>IFERROR(__xludf.DUMMYFUNCTION("SUMPRODUCT((IMPORTRANGE(""17XjIPGwafStTRf_8bPPaoi2EFjHVy10_rRJ0uvy6YcU"",""M:M"")=B20)*1, IMPORTRANGE(""17XjIPGwafStTRf_8bPPaoi2EFjHVy10_rRJ0uvy6YcU"",""X:X""), IMPORTRANGE(""17XjIPGwafStTRf_8bPPaoi2EFjHVy10_rRJ0uvy6YcU"",""AA:AA"")) + SUMPRODUCT((IMPORTR"&amp;"ANGE(""17XjIPGwafStTRf_8bPPaoi2EFjHVy10_rRJ0uvy6YcU"",""M:M"")=B20)*1, IMPORTRANGE(""17XjIPGwafStTRf_8bPPaoi2EFjHVy10_rRJ0uvy6YcU"",""X:X""), IMPORTRANGE(""17XjIPGwafStTRf_8bPPaoi2EFjHVy10_rRJ0uvy6YcU"",""AE:AE"")) + SUMPRODUCT((IMPORTRANGE(""17XjIPGwafSt"&amp;"TRf_8bPPaoi2EFjHVy10_rRJ0uvy6YcU"",""M:M"")=B20)*1, IMPORTRANGE(""17XjIPGwafStTRf_8bPPaoi2EFjHVy10_rRJ0uvy6YcU"",""X:X""), IMPORTRANGE(""17XjIPGwafStTRf_8bPPaoi2EFjHVy10_rRJ0uvy6YcU"",""AF:AF""))"),273962.7395446061)</f>
        <v>273962.7395</v>
      </c>
      <c r="E20" s="24">
        <f>IFERROR(__xludf.DUMMYFUNCTION("SUMPRODUCT((IMPORTRANGE(""17XjIPGwafStTRf_8bPPaoi2EFjHVy10_rRJ0uvy6YcU"",""M:M"")=B20)*1, IMPORTRANGE(""17XjIPGwafStTRf_8bPPaoi2EFjHVy10_rRJ0uvy6YcU"",""X:X""), IMPORTRANGE(""17XjIPGwafStTRf_8bPPaoi2EFjHVy10_rRJ0uvy6YcU"",""AO:AO""))"),96906.38628320838)</f>
        <v>96906.38628</v>
      </c>
      <c r="F20" s="25">
        <f>IFERROR(__xludf.DUMMYFUNCTION("SUMPRODUCT((IMPORTRANGE(""17XjIPGwafStTRf_8bPPaoi2EFjHVy10_rRJ0uvy6YcU"",""M:M"")=B20)*1, IMPORTRANGE(""17XjIPGwafStTRf_8bPPaoi2EFjHVy10_rRJ0uvy6YcU"",""X:X""))"),78.0)</f>
        <v>78</v>
      </c>
      <c r="G20" s="26">
        <f>IFERROR(__xludf.DUMMYFUNCTION("COUNTIF(IMPORTRANGE(""17XjIPGwafStTRf_8bPPaoi2EFjHVy10_rRJ0uvy6YcU"",""M:M""), B20)"),32.0)</f>
        <v>32</v>
      </c>
      <c r="H20" s="27">
        <f t="shared" si="1"/>
        <v>2.4375</v>
      </c>
      <c r="I20" s="28">
        <f t="shared" si="2"/>
        <v>0.2104300096</v>
      </c>
      <c r="J20" s="29">
        <f t="shared" si="3"/>
        <v>0.3537210441</v>
      </c>
      <c r="K20" s="32"/>
      <c r="L20" s="31" t="str">
        <f t="shared" si="4"/>
        <v/>
      </c>
      <c r="M20" s="31" t="str">
        <f t="shared" si="5"/>
        <v/>
      </c>
      <c r="N20" s="4"/>
    </row>
    <row r="21">
      <c r="A21" s="1"/>
      <c r="B21" s="23">
        <f t="shared" si="6"/>
        <v>44424</v>
      </c>
      <c r="C21" s="24">
        <f>IFERROR(__xludf.DUMMYFUNCTION("SUMPRODUCT((IMPORTRANGE(""17XjIPGwafStTRf_8bPPaoi2EFjHVy10_rRJ0uvy6YcU"",""M:M"")=B21)*1, IMPORTRANGE(""17XjIPGwafStTRf_8bPPaoi2EFjHVy10_rRJ0uvy6YcU"",""X:X""), IMPORTRANGE(""17XjIPGwafStTRf_8bPPaoi2EFjHVy10_rRJ0uvy6YcU"",""AK:AK"")) - SUMPRODUCT((IMPORTR"&amp;"ANGE(""17XjIPGwafStTRf_8bPPaoi2EFjHVy10_rRJ0uvy6YcU"",""M:M"")=B21)*1, IMPORTRANGE(""17XjIPGwafStTRf_8bPPaoi2EFjHVy10_rRJ0uvy6YcU"",""X:X""), IMPORTRANGE(""17XjIPGwafStTRf_8bPPaoi2EFjHVy10_rRJ0uvy6YcU"",""AL:AL""))"),213311.0)</f>
        <v>213311</v>
      </c>
      <c r="D21" s="24">
        <f>IFERROR(__xludf.DUMMYFUNCTION("SUMPRODUCT((IMPORTRANGE(""17XjIPGwafStTRf_8bPPaoi2EFjHVy10_rRJ0uvy6YcU"",""M:M"")=B21)*1, IMPORTRANGE(""17XjIPGwafStTRf_8bPPaoi2EFjHVy10_rRJ0uvy6YcU"",""X:X""), IMPORTRANGE(""17XjIPGwafStTRf_8bPPaoi2EFjHVy10_rRJ0uvy6YcU"",""AA:AA"")) + SUMPRODUCT((IMPORTR"&amp;"ANGE(""17XjIPGwafStTRf_8bPPaoi2EFjHVy10_rRJ0uvy6YcU"",""M:M"")=B21)*1, IMPORTRANGE(""17XjIPGwafStTRf_8bPPaoi2EFjHVy10_rRJ0uvy6YcU"",""X:X""), IMPORTRANGE(""17XjIPGwafStTRf_8bPPaoi2EFjHVy10_rRJ0uvy6YcU"",""AE:AE"")) + SUMPRODUCT((IMPORTRANGE(""17XjIPGwafSt"&amp;"TRf_8bPPaoi2EFjHVy10_rRJ0uvy6YcU"",""M:M"")=B21)*1, IMPORTRANGE(""17XjIPGwafStTRf_8bPPaoi2EFjHVy10_rRJ0uvy6YcU"",""X:X""), IMPORTRANGE(""17XjIPGwafStTRf_8bPPaoi2EFjHVy10_rRJ0uvy6YcU"",""AF:AF""))"),132519.59578187353)</f>
        <v>132519.5958</v>
      </c>
      <c r="E21" s="24">
        <f>IFERROR(__xludf.DUMMYFUNCTION("SUMPRODUCT((IMPORTRANGE(""17XjIPGwafStTRf_8bPPaoi2EFjHVy10_rRJ0uvy6YcU"",""M:M"")=B21)*1, IMPORTRANGE(""17XjIPGwafStTRf_8bPPaoi2EFjHVy10_rRJ0uvy6YcU"",""X:X""), IMPORTRANGE(""17XjIPGwafStTRf_8bPPaoi2EFjHVy10_rRJ0uvy6YcU"",""AO:AO""))"),38082.49592855294)</f>
        <v>38082.49593</v>
      </c>
      <c r="F21" s="25">
        <f>IFERROR(__xludf.DUMMYFUNCTION("SUMPRODUCT((IMPORTRANGE(""17XjIPGwafStTRf_8bPPaoi2EFjHVy10_rRJ0uvy6YcU"",""M:M"")=B21)*1, IMPORTRANGE(""17XjIPGwafStTRf_8bPPaoi2EFjHVy10_rRJ0uvy6YcU"",""X:X""))"),45.0)</f>
        <v>45</v>
      </c>
      <c r="G21" s="26">
        <f>IFERROR(__xludf.DUMMYFUNCTION("COUNTIF(IMPORTRANGE(""17XjIPGwafStTRf_8bPPaoi2EFjHVy10_rRJ0uvy6YcU"",""M:M""), B21)"),12.0)</f>
        <v>12</v>
      </c>
      <c r="H21" s="27">
        <f t="shared" si="1"/>
        <v>3.75</v>
      </c>
      <c r="I21" s="28">
        <f t="shared" si="2"/>
        <v>0.1785303896</v>
      </c>
      <c r="J21" s="29">
        <f t="shared" si="3"/>
        <v>0.2873725633</v>
      </c>
      <c r="K21" s="32"/>
      <c r="L21" s="31" t="str">
        <f t="shared" si="4"/>
        <v/>
      </c>
      <c r="M21" s="31" t="str">
        <f t="shared" si="5"/>
        <v/>
      </c>
      <c r="N21" s="4"/>
    </row>
    <row r="22">
      <c r="A22" s="1"/>
      <c r="B22" s="23">
        <f t="shared" si="6"/>
        <v>44425</v>
      </c>
      <c r="C22" s="24">
        <f>IFERROR(__xludf.DUMMYFUNCTION("SUMPRODUCT((IMPORTRANGE(""17XjIPGwafStTRf_8bPPaoi2EFjHVy10_rRJ0uvy6YcU"",""M:M"")=B22)*1, IMPORTRANGE(""17XjIPGwafStTRf_8bPPaoi2EFjHVy10_rRJ0uvy6YcU"",""X:X""), IMPORTRANGE(""17XjIPGwafStTRf_8bPPaoi2EFjHVy10_rRJ0uvy6YcU"",""AK:AK"")) - SUMPRODUCT((IMPORTR"&amp;"ANGE(""17XjIPGwafStTRf_8bPPaoi2EFjHVy10_rRJ0uvy6YcU"",""M:M"")=B22)*1, IMPORTRANGE(""17XjIPGwafStTRf_8bPPaoi2EFjHVy10_rRJ0uvy6YcU"",""X:X""), IMPORTRANGE(""17XjIPGwafStTRf_8bPPaoi2EFjHVy10_rRJ0uvy6YcU"",""AL:AL""))"),216521.0)</f>
        <v>216521</v>
      </c>
      <c r="D22" s="24">
        <f>IFERROR(__xludf.DUMMYFUNCTION("SUMPRODUCT((IMPORTRANGE(""17XjIPGwafStTRf_8bPPaoi2EFjHVy10_rRJ0uvy6YcU"",""M:M"")=B22)*1, IMPORTRANGE(""17XjIPGwafStTRf_8bPPaoi2EFjHVy10_rRJ0uvy6YcU"",""X:X""), IMPORTRANGE(""17XjIPGwafStTRf_8bPPaoi2EFjHVy10_rRJ0uvy6YcU"",""AA:AA"")) + SUMPRODUCT((IMPORTR"&amp;"ANGE(""17XjIPGwafStTRf_8bPPaoi2EFjHVy10_rRJ0uvy6YcU"",""M:M"")=B22)*1, IMPORTRANGE(""17XjIPGwafStTRf_8bPPaoi2EFjHVy10_rRJ0uvy6YcU"",""X:X""), IMPORTRANGE(""17XjIPGwafStTRf_8bPPaoi2EFjHVy10_rRJ0uvy6YcU"",""AE:AE"")) + SUMPRODUCT((IMPORTRANGE(""17XjIPGwafSt"&amp;"TRf_8bPPaoi2EFjHVy10_rRJ0uvy6YcU"",""M:M"")=B22)*1, IMPORTRANGE(""17XjIPGwafStTRf_8bPPaoi2EFjHVy10_rRJ0uvy6YcU"",""X:X""), IMPORTRANGE(""17XjIPGwafStTRf_8bPPaoi2EFjHVy10_rRJ0uvy6YcU"",""AF:AF""))"),141284.54986177752)</f>
        <v>141284.5499</v>
      </c>
      <c r="E22" s="24">
        <f>IFERROR(__xludf.DUMMYFUNCTION("SUMPRODUCT((IMPORTRANGE(""17XjIPGwafStTRf_8bPPaoi2EFjHVy10_rRJ0uvy6YcU"",""M:M"")=B22)*1, IMPORTRANGE(""17XjIPGwafStTRf_8bPPaoi2EFjHVy10_rRJ0uvy6YcU"",""X:X""), IMPORTRANGE(""17XjIPGwafStTRf_8bPPaoi2EFjHVy10_rRJ0uvy6YcU"",""AO:AO""))"),47838.65013822248)</f>
        <v>47838.65014</v>
      </c>
      <c r="F22" s="25">
        <f>IFERROR(__xludf.DUMMYFUNCTION("SUMPRODUCT((IMPORTRANGE(""17XjIPGwafStTRf_8bPPaoi2EFjHVy10_rRJ0uvy6YcU"",""M:M"")=B22)*1, IMPORTRANGE(""17XjIPGwafStTRf_8bPPaoi2EFjHVy10_rRJ0uvy6YcU"",""X:X""))"),35.0)</f>
        <v>35</v>
      </c>
      <c r="G22" s="26">
        <f>IFERROR(__xludf.DUMMYFUNCTION("COUNTIF(IMPORTRANGE(""17XjIPGwafStTRf_8bPPaoi2EFjHVy10_rRJ0uvy6YcU"",""M:M""), B22)"),19.0)</f>
        <v>19</v>
      </c>
      <c r="H22" s="27">
        <f t="shared" si="1"/>
        <v>1.842105263</v>
      </c>
      <c r="I22" s="28">
        <f t="shared" si="2"/>
        <v>0.2209423111</v>
      </c>
      <c r="J22" s="29">
        <f t="shared" si="3"/>
        <v>0.3385978876</v>
      </c>
      <c r="K22" s="32"/>
      <c r="L22" s="31" t="str">
        <f t="shared" si="4"/>
        <v/>
      </c>
      <c r="M22" s="31" t="str">
        <f t="shared" si="5"/>
        <v/>
      </c>
      <c r="N22" s="4"/>
    </row>
    <row r="23">
      <c r="A23" s="1"/>
      <c r="B23" s="23">
        <f t="shared" si="6"/>
        <v>44426</v>
      </c>
      <c r="C23" s="24">
        <f>IFERROR(__xludf.DUMMYFUNCTION("SUMPRODUCT((IMPORTRANGE(""17XjIPGwafStTRf_8bPPaoi2EFjHVy10_rRJ0uvy6YcU"",""M:M"")=B23)*1, IMPORTRANGE(""17XjIPGwafStTRf_8bPPaoi2EFjHVy10_rRJ0uvy6YcU"",""X:X""), IMPORTRANGE(""17XjIPGwafStTRf_8bPPaoi2EFjHVy10_rRJ0uvy6YcU"",""AK:AK"")) - SUMPRODUCT((IMPORTR"&amp;"ANGE(""17XjIPGwafStTRf_8bPPaoi2EFjHVy10_rRJ0uvy6YcU"",""M:M"")=B23)*1, IMPORTRANGE(""17XjIPGwafStTRf_8bPPaoi2EFjHVy10_rRJ0uvy6YcU"",""X:X""), IMPORTRANGE(""17XjIPGwafStTRf_8bPPaoi2EFjHVy10_rRJ0uvy6YcU"",""AL:AL""))"),633495.0)</f>
        <v>633495</v>
      </c>
      <c r="D23" s="24">
        <f>IFERROR(__xludf.DUMMYFUNCTION("SUMPRODUCT((IMPORTRANGE(""17XjIPGwafStTRf_8bPPaoi2EFjHVy10_rRJ0uvy6YcU"",""M:M"")=B23)*1, IMPORTRANGE(""17XjIPGwafStTRf_8bPPaoi2EFjHVy10_rRJ0uvy6YcU"",""X:X""), IMPORTRANGE(""17XjIPGwafStTRf_8bPPaoi2EFjHVy10_rRJ0uvy6YcU"",""AA:AA"")) + SUMPRODUCT((IMPORTR"&amp;"ANGE(""17XjIPGwafStTRf_8bPPaoi2EFjHVy10_rRJ0uvy6YcU"",""M:M"")=B23)*1, IMPORTRANGE(""17XjIPGwafStTRf_8bPPaoi2EFjHVy10_rRJ0uvy6YcU"",""X:X""), IMPORTRANGE(""17XjIPGwafStTRf_8bPPaoi2EFjHVy10_rRJ0uvy6YcU"",""AE:AE"")) + SUMPRODUCT((IMPORTRANGE(""17XjIPGwafSt"&amp;"TRf_8bPPaoi2EFjHVy10_rRJ0uvy6YcU"",""M:M"")=B23)*1, IMPORTRANGE(""17XjIPGwafStTRf_8bPPaoi2EFjHVy10_rRJ0uvy6YcU"",""X:X""), IMPORTRANGE(""17XjIPGwafStTRf_8bPPaoi2EFjHVy10_rRJ0uvy6YcU"",""AF:AF""))"),429149.80678211787)</f>
        <v>429149.8068</v>
      </c>
      <c r="E23" s="24">
        <f>IFERROR(__xludf.DUMMYFUNCTION("SUMPRODUCT((IMPORTRANGE(""17XjIPGwafStTRf_8bPPaoi2EFjHVy10_rRJ0uvy6YcU"",""M:M"")=B23)*1, IMPORTRANGE(""17XjIPGwafStTRf_8bPPaoi2EFjHVy10_rRJ0uvy6YcU"",""X:X""), IMPORTRANGE(""17XjIPGwafStTRf_8bPPaoi2EFjHVy10_rRJ0uvy6YcU"",""AO:AO""))"),98238.73564298704)</f>
        <v>98238.73564</v>
      </c>
      <c r="F23" s="25">
        <f>IFERROR(__xludf.DUMMYFUNCTION("SUMPRODUCT((IMPORTRANGE(""17XjIPGwafStTRf_8bPPaoi2EFjHVy10_rRJ0uvy6YcU"",""M:M"")=B23)*1, IMPORTRANGE(""17XjIPGwafStTRf_8bPPaoi2EFjHVy10_rRJ0uvy6YcU"",""X:X""))"),136.0)</f>
        <v>136</v>
      </c>
      <c r="G23" s="26">
        <f>IFERROR(__xludf.DUMMYFUNCTION("COUNTIF(IMPORTRANGE(""17XjIPGwafStTRf_8bPPaoi2EFjHVy10_rRJ0uvy6YcU"",""M:M""), B23)"),41.0)</f>
        <v>41</v>
      </c>
      <c r="H23" s="27">
        <f t="shared" si="1"/>
        <v>3.317073171</v>
      </c>
      <c r="I23" s="28">
        <f t="shared" si="2"/>
        <v>0.1550742084</v>
      </c>
      <c r="J23" s="29">
        <f t="shared" si="3"/>
        <v>0.2289147847</v>
      </c>
      <c r="K23" s="32"/>
      <c r="L23" s="31" t="str">
        <f t="shared" si="4"/>
        <v/>
      </c>
      <c r="M23" s="31" t="str">
        <f t="shared" si="5"/>
        <v/>
      </c>
      <c r="N23" s="4"/>
    </row>
    <row r="24">
      <c r="A24" s="1"/>
      <c r="B24" s="23">
        <f t="shared" si="6"/>
        <v>44427</v>
      </c>
      <c r="C24" s="24">
        <f>IFERROR(__xludf.DUMMYFUNCTION("SUMPRODUCT((IMPORTRANGE(""17XjIPGwafStTRf_8bPPaoi2EFjHVy10_rRJ0uvy6YcU"",""M:M"")=B24)*1, IMPORTRANGE(""17XjIPGwafStTRf_8bPPaoi2EFjHVy10_rRJ0uvy6YcU"",""X:X""), IMPORTRANGE(""17XjIPGwafStTRf_8bPPaoi2EFjHVy10_rRJ0uvy6YcU"",""AK:AK"")) - SUMPRODUCT((IMPORTR"&amp;"ANGE(""17XjIPGwafStTRf_8bPPaoi2EFjHVy10_rRJ0uvy6YcU"",""M:M"")=B24)*1, IMPORTRANGE(""17XjIPGwafStTRf_8bPPaoi2EFjHVy10_rRJ0uvy6YcU"",""X:X""), IMPORTRANGE(""17XjIPGwafStTRf_8bPPaoi2EFjHVy10_rRJ0uvy6YcU"",""AL:AL""))"),397931.0)</f>
        <v>397931</v>
      </c>
      <c r="D24" s="24">
        <f>IFERROR(__xludf.DUMMYFUNCTION("SUMPRODUCT((IMPORTRANGE(""17XjIPGwafStTRf_8bPPaoi2EFjHVy10_rRJ0uvy6YcU"",""M:M"")=B24)*1, IMPORTRANGE(""17XjIPGwafStTRf_8bPPaoi2EFjHVy10_rRJ0uvy6YcU"",""X:X""), IMPORTRANGE(""17XjIPGwafStTRf_8bPPaoi2EFjHVy10_rRJ0uvy6YcU"",""AA:AA"")) + SUMPRODUCT((IMPORTR"&amp;"ANGE(""17XjIPGwafStTRf_8bPPaoi2EFjHVy10_rRJ0uvy6YcU"",""M:M"")=B24)*1, IMPORTRANGE(""17XjIPGwafStTRf_8bPPaoi2EFjHVy10_rRJ0uvy6YcU"",""X:X""), IMPORTRANGE(""17XjIPGwafStTRf_8bPPaoi2EFjHVy10_rRJ0uvy6YcU"",""AE:AE"")) + SUMPRODUCT((IMPORTRANGE(""17XjIPGwafSt"&amp;"TRf_8bPPaoi2EFjHVy10_rRJ0uvy6YcU"",""M:M"")=B24)*1, IMPORTRANGE(""17XjIPGwafStTRf_8bPPaoi2EFjHVy10_rRJ0uvy6YcU"",""X:X""), IMPORTRANGE(""17XjIPGwafStTRf_8bPPaoi2EFjHVy10_rRJ0uvy6YcU"",""AF:AF""))"),273772.30620891915)</f>
        <v>273772.3062</v>
      </c>
      <c r="E24" s="24">
        <f>IFERROR(__xludf.DUMMYFUNCTION("SUMPRODUCT((IMPORTRANGE(""17XjIPGwafStTRf_8bPPaoi2EFjHVy10_rRJ0uvy6YcU"",""M:M"")=B24)*1, IMPORTRANGE(""17XjIPGwafStTRf_8bPPaoi2EFjHVy10_rRJ0uvy6YcU"",""X:X""), IMPORTRANGE(""17XjIPGwafStTRf_8bPPaoi2EFjHVy10_rRJ0uvy6YcU"",""AO:AO""))"),73445.59379108084)</f>
        <v>73445.59379</v>
      </c>
      <c r="F24" s="25">
        <f>IFERROR(__xludf.DUMMYFUNCTION("SUMPRODUCT((IMPORTRANGE(""17XjIPGwafStTRf_8bPPaoi2EFjHVy10_rRJ0uvy6YcU"",""M:M"")=B24)*1, IMPORTRANGE(""17XjIPGwafStTRf_8bPPaoi2EFjHVy10_rRJ0uvy6YcU"",""X:X""))"),57.0)</f>
        <v>57</v>
      </c>
      <c r="G24" s="26">
        <f>IFERROR(__xludf.DUMMYFUNCTION("COUNTIF(IMPORTRANGE(""17XjIPGwafStTRf_8bPPaoi2EFjHVy10_rRJ0uvy6YcU"",""M:M""), B24)"),19.0)</f>
        <v>19</v>
      </c>
      <c r="H24" s="27">
        <f t="shared" si="1"/>
        <v>3</v>
      </c>
      <c r="I24" s="28">
        <f t="shared" si="2"/>
        <v>0.1845686659</v>
      </c>
      <c r="J24" s="29">
        <f t="shared" si="3"/>
        <v>0.2682725467</v>
      </c>
      <c r="K24" s="30"/>
      <c r="L24" s="31" t="str">
        <f t="shared" si="4"/>
        <v/>
      </c>
      <c r="M24" s="31" t="str">
        <f t="shared" si="5"/>
        <v/>
      </c>
      <c r="N24" s="4"/>
    </row>
    <row r="25">
      <c r="A25" s="1"/>
      <c r="B25" s="23">
        <f t="shared" si="6"/>
        <v>44428</v>
      </c>
      <c r="C25" s="24">
        <f>IFERROR(__xludf.DUMMYFUNCTION("SUMPRODUCT((IMPORTRANGE(""17XjIPGwafStTRf_8bPPaoi2EFjHVy10_rRJ0uvy6YcU"",""M:M"")=B25)*1, IMPORTRANGE(""17XjIPGwafStTRf_8bPPaoi2EFjHVy10_rRJ0uvy6YcU"",""X:X""), IMPORTRANGE(""17XjIPGwafStTRf_8bPPaoi2EFjHVy10_rRJ0uvy6YcU"",""AK:AK"")) - SUMPRODUCT((IMPORTR"&amp;"ANGE(""17XjIPGwafStTRf_8bPPaoi2EFjHVy10_rRJ0uvy6YcU"",""M:M"")=B25)*1, IMPORTRANGE(""17XjIPGwafStTRf_8bPPaoi2EFjHVy10_rRJ0uvy6YcU"",""X:X""), IMPORTRANGE(""17XjIPGwafStTRf_8bPPaoi2EFjHVy10_rRJ0uvy6YcU"",""AL:AL""))"),539607.0)</f>
        <v>539607</v>
      </c>
      <c r="D25" s="24">
        <f>IFERROR(__xludf.DUMMYFUNCTION("SUMPRODUCT((IMPORTRANGE(""17XjIPGwafStTRf_8bPPaoi2EFjHVy10_rRJ0uvy6YcU"",""M:M"")=B25)*1, IMPORTRANGE(""17XjIPGwafStTRf_8bPPaoi2EFjHVy10_rRJ0uvy6YcU"",""X:X""), IMPORTRANGE(""17XjIPGwafStTRf_8bPPaoi2EFjHVy10_rRJ0uvy6YcU"",""AA:AA"")) + SUMPRODUCT((IMPORTR"&amp;"ANGE(""17XjIPGwafStTRf_8bPPaoi2EFjHVy10_rRJ0uvy6YcU"",""M:M"")=B25)*1, IMPORTRANGE(""17XjIPGwafStTRf_8bPPaoi2EFjHVy10_rRJ0uvy6YcU"",""X:X""), IMPORTRANGE(""17XjIPGwafStTRf_8bPPaoi2EFjHVy10_rRJ0uvy6YcU"",""AE:AE"")) + SUMPRODUCT((IMPORTRANGE(""17XjIPGwafSt"&amp;"TRf_8bPPaoi2EFjHVy10_rRJ0uvy6YcU"",""M:M"")=B25)*1, IMPORTRANGE(""17XjIPGwafStTRf_8bPPaoi2EFjHVy10_rRJ0uvy6YcU"",""X:X""), IMPORTRANGE(""17XjIPGwafStTRf_8bPPaoi2EFjHVy10_rRJ0uvy6YcU"",""AF:AF""))"),363255.8524377469)</f>
        <v>363255.8524</v>
      </c>
      <c r="E25" s="24">
        <f>IFERROR(__xludf.DUMMYFUNCTION("SUMPRODUCT((IMPORTRANGE(""17XjIPGwafStTRf_8bPPaoi2EFjHVy10_rRJ0uvy6YcU"",""M:M"")=B25)*1, IMPORTRANGE(""17XjIPGwafStTRf_8bPPaoi2EFjHVy10_rRJ0uvy6YcU"",""X:X""), IMPORTRANGE(""17XjIPGwafStTRf_8bPPaoi2EFjHVy10_rRJ0uvy6YcU"",""AO:AO""))"),78090.87340327818)</f>
        <v>78090.8734</v>
      </c>
      <c r="F25" s="25">
        <f>IFERROR(__xludf.DUMMYFUNCTION("SUMPRODUCT((IMPORTRANGE(""17XjIPGwafStTRf_8bPPaoi2EFjHVy10_rRJ0uvy6YcU"",""M:M"")=B25)*1, IMPORTRANGE(""17XjIPGwafStTRf_8bPPaoi2EFjHVy10_rRJ0uvy6YcU"",""X:X""))"),118.0)</f>
        <v>118</v>
      </c>
      <c r="G25" s="26">
        <f>IFERROR(__xludf.DUMMYFUNCTION("COUNTIF(IMPORTRANGE(""17XjIPGwafStTRf_8bPPaoi2EFjHVy10_rRJ0uvy6YcU"",""M:M""), B25)"),36.0)</f>
        <v>36</v>
      </c>
      <c r="H25" s="27">
        <f t="shared" si="1"/>
        <v>3.277777778</v>
      </c>
      <c r="I25" s="28">
        <f t="shared" si="2"/>
        <v>0.1447180511</v>
      </c>
      <c r="J25" s="29">
        <f t="shared" si="3"/>
        <v>0.2149748528</v>
      </c>
      <c r="K25" s="32"/>
      <c r="L25" s="31" t="str">
        <f t="shared" si="4"/>
        <v/>
      </c>
      <c r="M25" s="31" t="str">
        <f t="shared" si="5"/>
        <v/>
      </c>
      <c r="N25" s="4"/>
    </row>
    <row r="26">
      <c r="A26" s="1"/>
      <c r="B26" s="23">
        <f t="shared" si="6"/>
        <v>44429</v>
      </c>
      <c r="C26" s="24">
        <f>IFERROR(__xludf.DUMMYFUNCTION("SUMPRODUCT((IMPORTRANGE(""17XjIPGwafStTRf_8bPPaoi2EFjHVy10_rRJ0uvy6YcU"",""M:M"")=B26)*1, IMPORTRANGE(""17XjIPGwafStTRf_8bPPaoi2EFjHVy10_rRJ0uvy6YcU"",""X:X""), IMPORTRANGE(""17XjIPGwafStTRf_8bPPaoi2EFjHVy10_rRJ0uvy6YcU"",""AK:AK"")) - SUMPRODUCT((IMPORTR"&amp;"ANGE(""17XjIPGwafStTRf_8bPPaoi2EFjHVy10_rRJ0uvy6YcU"",""M:M"")=B26)*1, IMPORTRANGE(""17XjIPGwafStTRf_8bPPaoi2EFjHVy10_rRJ0uvy6YcU"",""X:X""), IMPORTRANGE(""17XjIPGwafStTRf_8bPPaoi2EFjHVy10_rRJ0uvy6YcU"",""AL:AL""))"),381837.0)</f>
        <v>381837</v>
      </c>
      <c r="D26" s="24">
        <f>IFERROR(__xludf.DUMMYFUNCTION("SUMPRODUCT((IMPORTRANGE(""17XjIPGwafStTRf_8bPPaoi2EFjHVy10_rRJ0uvy6YcU"",""M:M"")=B26)*1, IMPORTRANGE(""17XjIPGwafStTRf_8bPPaoi2EFjHVy10_rRJ0uvy6YcU"",""X:X""), IMPORTRANGE(""17XjIPGwafStTRf_8bPPaoi2EFjHVy10_rRJ0uvy6YcU"",""AA:AA"")) + SUMPRODUCT((IMPORTR"&amp;"ANGE(""17XjIPGwafStTRf_8bPPaoi2EFjHVy10_rRJ0uvy6YcU"",""M:M"")=B26)*1, IMPORTRANGE(""17XjIPGwafStTRf_8bPPaoi2EFjHVy10_rRJ0uvy6YcU"",""X:X""), IMPORTRANGE(""17XjIPGwafStTRf_8bPPaoi2EFjHVy10_rRJ0uvy6YcU"",""AE:AE"")) + SUMPRODUCT((IMPORTRANGE(""17XjIPGwafSt"&amp;"TRf_8bPPaoi2EFjHVy10_rRJ0uvy6YcU"",""M:M"")=B26)*1, IMPORTRANGE(""17XjIPGwafStTRf_8bPPaoi2EFjHVy10_rRJ0uvy6YcU"",""X:X""), IMPORTRANGE(""17XjIPGwafStTRf_8bPPaoi2EFjHVy10_rRJ0uvy6YcU"",""AF:AF""))"),198628.4366535055)</f>
        <v>198628.4367</v>
      </c>
      <c r="E26" s="24">
        <f>IFERROR(__xludf.DUMMYFUNCTION("SUMPRODUCT((IMPORTRANGE(""17XjIPGwafStTRf_8bPPaoi2EFjHVy10_rRJ0uvy6YcU"",""M:M"")=B26)*1, IMPORTRANGE(""17XjIPGwafStTRf_8bPPaoi2EFjHVy10_rRJ0uvy6YcU"",""X:X""), IMPORTRANGE(""17XjIPGwafStTRf_8bPPaoi2EFjHVy10_rRJ0uvy6YcU"",""AO:AO""))"),100023.87499102972)</f>
        <v>100023.875</v>
      </c>
      <c r="F26" s="25">
        <f>IFERROR(__xludf.DUMMYFUNCTION("SUMPRODUCT((IMPORTRANGE(""17XjIPGwafStTRf_8bPPaoi2EFjHVy10_rRJ0uvy6YcU"",""M:M"")=B26)*1, IMPORTRANGE(""17XjIPGwafStTRf_8bPPaoi2EFjHVy10_rRJ0uvy6YcU"",""X:X""))"),92.0)</f>
        <v>92</v>
      </c>
      <c r="G26" s="26">
        <f>IFERROR(__xludf.DUMMYFUNCTION("COUNTIF(IMPORTRANGE(""17XjIPGwafStTRf_8bPPaoi2EFjHVy10_rRJ0uvy6YcU"",""M:M""), B26)"),19.0)</f>
        <v>19</v>
      </c>
      <c r="H26" s="27">
        <f t="shared" si="1"/>
        <v>4.842105263</v>
      </c>
      <c r="I26" s="28">
        <f t="shared" si="2"/>
        <v>0.261954381</v>
      </c>
      <c r="J26" s="29">
        <f t="shared" si="3"/>
        <v>0.5035727848</v>
      </c>
      <c r="K26" s="30"/>
      <c r="L26" s="31" t="str">
        <f t="shared" si="4"/>
        <v/>
      </c>
      <c r="M26" s="31" t="str">
        <f t="shared" si="5"/>
        <v/>
      </c>
      <c r="N26" s="4"/>
    </row>
    <row r="27">
      <c r="A27" s="1"/>
      <c r="B27" s="23">
        <f t="shared" si="6"/>
        <v>44430</v>
      </c>
      <c r="C27" s="24">
        <f>IFERROR(__xludf.DUMMYFUNCTION("SUMPRODUCT((IMPORTRANGE(""17XjIPGwafStTRf_8bPPaoi2EFjHVy10_rRJ0uvy6YcU"",""M:M"")=B27)*1, IMPORTRANGE(""17XjIPGwafStTRf_8bPPaoi2EFjHVy10_rRJ0uvy6YcU"",""X:X""), IMPORTRANGE(""17XjIPGwafStTRf_8bPPaoi2EFjHVy10_rRJ0uvy6YcU"",""AK:AK"")) - SUMPRODUCT((IMPORTR"&amp;"ANGE(""17XjIPGwafStTRf_8bPPaoi2EFjHVy10_rRJ0uvy6YcU"",""M:M"")=B27)*1, IMPORTRANGE(""17XjIPGwafStTRf_8bPPaoi2EFjHVy10_rRJ0uvy6YcU"",""X:X""), IMPORTRANGE(""17XjIPGwafStTRf_8bPPaoi2EFjHVy10_rRJ0uvy6YcU"",""AL:AL""))"),391213.0)</f>
        <v>391213</v>
      </c>
      <c r="D27" s="24">
        <f>IFERROR(__xludf.DUMMYFUNCTION("SUMPRODUCT((IMPORTRANGE(""17XjIPGwafStTRf_8bPPaoi2EFjHVy10_rRJ0uvy6YcU"",""M:M"")=B27)*1, IMPORTRANGE(""17XjIPGwafStTRf_8bPPaoi2EFjHVy10_rRJ0uvy6YcU"",""X:X""), IMPORTRANGE(""17XjIPGwafStTRf_8bPPaoi2EFjHVy10_rRJ0uvy6YcU"",""AA:AA"")) + SUMPRODUCT((IMPORTR"&amp;"ANGE(""17XjIPGwafStTRf_8bPPaoi2EFjHVy10_rRJ0uvy6YcU"",""M:M"")=B27)*1, IMPORTRANGE(""17XjIPGwafStTRf_8bPPaoi2EFjHVy10_rRJ0uvy6YcU"",""X:X""), IMPORTRANGE(""17XjIPGwafStTRf_8bPPaoi2EFjHVy10_rRJ0uvy6YcU"",""AE:AE"")) + SUMPRODUCT((IMPORTRANGE(""17XjIPGwafSt"&amp;"TRf_8bPPaoi2EFjHVy10_rRJ0uvy6YcU"",""M:M"")=B27)*1, IMPORTRANGE(""17XjIPGwafStTRf_8bPPaoi2EFjHVy10_rRJ0uvy6YcU"",""X:X""), IMPORTRANGE(""17XjIPGwafStTRf_8bPPaoi2EFjHVy10_rRJ0uvy6YcU"",""AF:AF""))"),255969.38092176997)</f>
        <v>255969.3809</v>
      </c>
      <c r="E27" s="24">
        <f>IFERROR(__xludf.DUMMYFUNCTION("SUMPRODUCT((IMPORTRANGE(""17XjIPGwafStTRf_8bPPaoi2EFjHVy10_rRJ0uvy6YcU"",""M:M"")=B27)*1, IMPORTRANGE(""17XjIPGwafStTRf_8bPPaoi2EFjHVy10_rRJ0uvy6YcU"",""X:X""), IMPORTRANGE(""17XjIPGwafStTRf_8bPPaoi2EFjHVy10_rRJ0uvy6YcU"",""AO:AO""))"),67403.75228860666)</f>
        <v>67403.75229</v>
      </c>
      <c r="F27" s="25">
        <f>IFERROR(__xludf.DUMMYFUNCTION("SUMPRODUCT((IMPORTRANGE(""17XjIPGwafStTRf_8bPPaoi2EFjHVy10_rRJ0uvy6YcU"",""M:M"")=B27)*1, IMPORTRANGE(""17XjIPGwafStTRf_8bPPaoi2EFjHVy10_rRJ0uvy6YcU"",""X:X""))"),52.0)</f>
        <v>52</v>
      </c>
      <c r="G27" s="26">
        <f>IFERROR(__xludf.DUMMYFUNCTION("COUNTIF(IMPORTRANGE(""17XjIPGwafStTRf_8bPPaoi2EFjHVy10_rRJ0uvy6YcU"",""M:M""), B27)"),27.0)</f>
        <v>27</v>
      </c>
      <c r="H27" s="27">
        <f t="shared" si="1"/>
        <v>1.925925926</v>
      </c>
      <c r="I27" s="28">
        <f t="shared" si="2"/>
        <v>0.1722942548</v>
      </c>
      <c r="J27" s="29">
        <f t="shared" si="3"/>
        <v>0.2633274029</v>
      </c>
      <c r="K27" s="32"/>
      <c r="L27" s="31" t="str">
        <f t="shared" si="4"/>
        <v/>
      </c>
      <c r="M27" s="31" t="str">
        <f t="shared" si="5"/>
        <v/>
      </c>
      <c r="N27" s="4"/>
    </row>
    <row r="28">
      <c r="A28" s="1"/>
      <c r="B28" s="23">
        <f t="shared" si="6"/>
        <v>44431</v>
      </c>
      <c r="C28" s="24">
        <f>IFERROR(__xludf.DUMMYFUNCTION("SUMPRODUCT((IMPORTRANGE(""17XjIPGwafStTRf_8bPPaoi2EFjHVy10_rRJ0uvy6YcU"",""M:M"")=B28)*1, IMPORTRANGE(""17XjIPGwafStTRf_8bPPaoi2EFjHVy10_rRJ0uvy6YcU"",""X:X""), IMPORTRANGE(""17XjIPGwafStTRf_8bPPaoi2EFjHVy10_rRJ0uvy6YcU"",""AK:AK"")) - SUMPRODUCT((IMPORTR"&amp;"ANGE(""17XjIPGwafStTRf_8bPPaoi2EFjHVy10_rRJ0uvy6YcU"",""M:M"")=B28)*1, IMPORTRANGE(""17XjIPGwafStTRf_8bPPaoi2EFjHVy10_rRJ0uvy6YcU"",""X:X""), IMPORTRANGE(""17XjIPGwafStTRf_8bPPaoi2EFjHVy10_rRJ0uvy6YcU"",""AL:AL""))"),235985.0)</f>
        <v>235985</v>
      </c>
      <c r="D28" s="24">
        <f>IFERROR(__xludf.DUMMYFUNCTION("SUMPRODUCT((IMPORTRANGE(""17XjIPGwafStTRf_8bPPaoi2EFjHVy10_rRJ0uvy6YcU"",""M:M"")=B28)*1, IMPORTRANGE(""17XjIPGwafStTRf_8bPPaoi2EFjHVy10_rRJ0uvy6YcU"",""X:X""), IMPORTRANGE(""17XjIPGwafStTRf_8bPPaoi2EFjHVy10_rRJ0uvy6YcU"",""AA:AA"")) + SUMPRODUCT((IMPORTR"&amp;"ANGE(""17XjIPGwafStTRf_8bPPaoi2EFjHVy10_rRJ0uvy6YcU"",""M:M"")=B28)*1, IMPORTRANGE(""17XjIPGwafStTRf_8bPPaoi2EFjHVy10_rRJ0uvy6YcU"",""X:X""), IMPORTRANGE(""17XjIPGwafStTRf_8bPPaoi2EFjHVy10_rRJ0uvy6YcU"",""AE:AE"")) + SUMPRODUCT((IMPORTRANGE(""17XjIPGwafSt"&amp;"TRf_8bPPaoi2EFjHVy10_rRJ0uvy6YcU"",""M:M"")=B28)*1, IMPORTRANGE(""17XjIPGwafStTRf_8bPPaoi2EFjHVy10_rRJ0uvy6YcU"",""X:X""), IMPORTRANGE(""17XjIPGwafStTRf_8bPPaoi2EFjHVy10_rRJ0uvy6YcU"",""AF:AF""))"),123385.21341404913)</f>
        <v>123385.2134</v>
      </c>
      <c r="E28" s="24">
        <f>IFERROR(__xludf.DUMMYFUNCTION("SUMPRODUCT((IMPORTRANGE(""17XjIPGwafStTRf_8bPPaoi2EFjHVy10_rRJ0uvy6YcU"",""M:M"")=B28)*1, IMPORTRANGE(""17XjIPGwafStTRf_8bPPaoi2EFjHVy10_rRJ0uvy6YcU"",""X:X""), IMPORTRANGE(""17XjIPGwafStTRf_8bPPaoi2EFjHVy10_rRJ0uvy6YcU"",""AO:AO""))"),54993.20992420786)</f>
        <v>54993.20992</v>
      </c>
      <c r="F28" s="25">
        <f>IFERROR(__xludf.DUMMYFUNCTION("SUMPRODUCT((IMPORTRANGE(""17XjIPGwafStTRf_8bPPaoi2EFjHVy10_rRJ0uvy6YcU"",""M:M"")=B28)*1, IMPORTRANGE(""17XjIPGwafStTRf_8bPPaoi2EFjHVy10_rRJ0uvy6YcU"",""X:X""))"),51.0)</f>
        <v>51</v>
      </c>
      <c r="G28" s="26">
        <f>IFERROR(__xludf.DUMMYFUNCTION("COUNTIF(IMPORTRANGE(""17XjIPGwafStTRf_8bPPaoi2EFjHVy10_rRJ0uvy6YcU"",""M:M""), B28)"),20.0)</f>
        <v>20</v>
      </c>
      <c r="H28" s="27">
        <f t="shared" si="1"/>
        <v>2.55</v>
      </c>
      <c r="I28" s="28">
        <f t="shared" si="2"/>
        <v>0.2330368876</v>
      </c>
      <c r="J28" s="29">
        <f t="shared" si="3"/>
        <v>0.4457034065</v>
      </c>
      <c r="K28" s="32"/>
      <c r="L28" s="31" t="str">
        <f t="shared" si="4"/>
        <v/>
      </c>
      <c r="M28" s="31" t="str">
        <f t="shared" si="5"/>
        <v/>
      </c>
      <c r="N28" s="4"/>
    </row>
    <row r="29">
      <c r="A29" s="1"/>
      <c r="B29" s="23">
        <f t="shared" si="6"/>
        <v>44432</v>
      </c>
      <c r="C29" s="24">
        <f>IFERROR(__xludf.DUMMYFUNCTION("SUMPRODUCT((IMPORTRANGE(""17XjIPGwafStTRf_8bPPaoi2EFjHVy10_rRJ0uvy6YcU"",""M:M"")=B29)*1, IMPORTRANGE(""17XjIPGwafStTRf_8bPPaoi2EFjHVy10_rRJ0uvy6YcU"",""X:X""), IMPORTRANGE(""17XjIPGwafStTRf_8bPPaoi2EFjHVy10_rRJ0uvy6YcU"",""AK:AK"")) - SUMPRODUCT((IMPORTR"&amp;"ANGE(""17XjIPGwafStTRf_8bPPaoi2EFjHVy10_rRJ0uvy6YcU"",""M:M"")=B29)*1, IMPORTRANGE(""17XjIPGwafStTRf_8bPPaoi2EFjHVy10_rRJ0uvy6YcU"",""X:X""), IMPORTRANGE(""17XjIPGwafStTRf_8bPPaoi2EFjHVy10_rRJ0uvy6YcU"",""AL:AL""))"),495342.0)</f>
        <v>495342</v>
      </c>
      <c r="D29" s="24">
        <f>IFERROR(__xludf.DUMMYFUNCTION("SUMPRODUCT((IMPORTRANGE(""17XjIPGwafStTRf_8bPPaoi2EFjHVy10_rRJ0uvy6YcU"",""M:M"")=B29)*1, IMPORTRANGE(""17XjIPGwafStTRf_8bPPaoi2EFjHVy10_rRJ0uvy6YcU"",""X:X""), IMPORTRANGE(""17XjIPGwafStTRf_8bPPaoi2EFjHVy10_rRJ0uvy6YcU"",""AA:AA"")) + SUMPRODUCT((IMPORTR"&amp;"ANGE(""17XjIPGwafStTRf_8bPPaoi2EFjHVy10_rRJ0uvy6YcU"",""M:M"")=B29)*1, IMPORTRANGE(""17XjIPGwafStTRf_8bPPaoi2EFjHVy10_rRJ0uvy6YcU"",""X:X""), IMPORTRANGE(""17XjIPGwafStTRf_8bPPaoi2EFjHVy10_rRJ0uvy6YcU"",""AE:AE"")) + SUMPRODUCT((IMPORTRANGE(""17XjIPGwafSt"&amp;"TRf_8bPPaoi2EFjHVy10_rRJ0uvy6YcU"",""M:M"")=B29)*1, IMPORTRANGE(""17XjIPGwafStTRf_8bPPaoi2EFjHVy10_rRJ0uvy6YcU"",""X:X""), IMPORTRANGE(""17XjIPGwafStTRf_8bPPaoi2EFjHVy10_rRJ0uvy6YcU"",""AF:AF""))"),372550.9056002607)</f>
        <v>372550.9056</v>
      </c>
      <c r="E29" s="24">
        <f>IFERROR(__xludf.DUMMYFUNCTION("SUMPRODUCT((IMPORTRANGE(""17XjIPGwafStTRf_8bPPaoi2EFjHVy10_rRJ0uvy6YcU"",""M:M"")=B29)*1, IMPORTRANGE(""17XjIPGwafStTRf_8bPPaoi2EFjHVy10_rRJ0uvy6YcU"",""X:X""), IMPORTRANGE(""17XjIPGwafStTRf_8bPPaoi2EFjHVy10_rRJ0uvy6YcU"",""AO:AO""))"),127889.15746422022)</f>
        <v>127889.1575</v>
      </c>
      <c r="F29" s="25">
        <f>IFERROR(__xludf.DUMMYFUNCTION("SUMPRODUCT((IMPORTRANGE(""17XjIPGwafStTRf_8bPPaoi2EFjHVy10_rRJ0uvy6YcU"",""M:M"")=B29)*1, IMPORTRANGE(""17XjIPGwafStTRf_8bPPaoi2EFjHVy10_rRJ0uvy6YcU"",""X:X""))"),104.0)</f>
        <v>104</v>
      </c>
      <c r="G29" s="26">
        <f>IFERROR(__xludf.DUMMYFUNCTION("COUNTIF(IMPORTRANGE(""17XjIPGwafStTRf_8bPPaoi2EFjHVy10_rRJ0uvy6YcU"",""M:M""), B29)"),33.0)</f>
        <v>33</v>
      </c>
      <c r="H29" s="27">
        <f t="shared" si="1"/>
        <v>3.151515152</v>
      </c>
      <c r="I29" s="28">
        <f t="shared" si="2"/>
        <v>0.2581835529</v>
      </c>
      <c r="J29" s="29">
        <f t="shared" si="3"/>
        <v>0.3432796848</v>
      </c>
      <c r="K29" s="32"/>
      <c r="L29" s="31" t="str">
        <f t="shared" si="4"/>
        <v/>
      </c>
      <c r="M29" s="31" t="str">
        <f t="shared" si="5"/>
        <v/>
      </c>
      <c r="N29" s="4"/>
    </row>
    <row r="30">
      <c r="A30" s="1"/>
      <c r="B30" s="23">
        <f t="shared" si="6"/>
        <v>44433</v>
      </c>
      <c r="C30" s="24">
        <f>IFERROR(__xludf.DUMMYFUNCTION("SUMPRODUCT((IMPORTRANGE(""17XjIPGwafStTRf_8bPPaoi2EFjHVy10_rRJ0uvy6YcU"",""M:M"")=B30)*1, IMPORTRANGE(""17XjIPGwafStTRf_8bPPaoi2EFjHVy10_rRJ0uvy6YcU"",""X:X""), IMPORTRANGE(""17XjIPGwafStTRf_8bPPaoi2EFjHVy10_rRJ0uvy6YcU"",""AK:AK"")) - SUMPRODUCT((IMPORTR"&amp;"ANGE(""17XjIPGwafStTRf_8bPPaoi2EFjHVy10_rRJ0uvy6YcU"",""M:M"")=B30)*1, IMPORTRANGE(""17XjIPGwafStTRf_8bPPaoi2EFjHVy10_rRJ0uvy6YcU"",""X:X""), IMPORTRANGE(""17XjIPGwafStTRf_8bPPaoi2EFjHVy10_rRJ0uvy6YcU"",""AL:AL""))"),624674.0)</f>
        <v>624674</v>
      </c>
      <c r="D30" s="24">
        <f>IFERROR(__xludf.DUMMYFUNCTION("SUMPRODUCT((IMPORTRANGE(""17XjIPGwafStTRf_8bPPaoi2EFjHVy10_rRJ0uvy6YcU"",""M:M"")=B30)*1, IMPORTRANGE(""17XjIPGwafStTRf_8bPPaoi2EFjHVy10_rRJ0uvy6YcU"",""X:X""), IMPORTRANGE(""17XjIPGwafStTRf_8bPPaoi2EFjHVy10_rRJ0uvy6YcU"",""AA:AA"")) + SUMPRODUCT((IMPORTR"&amp;"ANGE(""17XjIPGwafStTRf_8bPPaoi2EFjHVy10_rRJ0uvy6YcU"",""M:M"")=B30)*1, IMPORTRANGE(""17XjIPGwafStTRf_8bPPaoi2EFjHVy10_rRJ0uvy6YcU"",""X:X""), IMPORTRANGE(""17XjIPGwafStTRf_8bPPaoi2EFjHVy10_rRJ0uvy6YcU"",""AE:AE"")) + SUMPRODUCT((IMPORTRANGE(""17XjIPGwafSt"&amp;"TRf_8bPPaoi2EFjHVy10_rRJ0uvy6YcU"",""M:M"")=B30)*1, IMPORTRANGE(""17XjIPGwafStTRf_8bPPaoi2EFjHVy10_rRJ0uvy6YcU"",""X:X""), IMPORTRANGE(""17XjIPGwafStTRf_8bPPaoi2EFjHVy10_rRJ0uvy6YcU"",""AF:AF""))"),402839.3826827886)</f>
        <v>402839.3827</v>
      </c>
      <c r="E30" s="24">
        <f>IFERROR(__xludf.DUMMYFUNCTION("SUMPRODUCT((IMPORTRANGE(""17XjIPGwafStTRf_8bPPaoi2EFjHVy10_rRJ0uvy6YcU"",""M:M"")=B30)*1, IMPORTRANGE(""17XjIPGwafStTRf_8bPPaoi2EFjHVy10_rRJ0uvy6YcU"",""X:X""), IMPORTRANGE(""17XjIPGwafStTRf_8bPPaoi2EFjHVy10_rRJ0uvy6YcU"",""AO:AO""))"),113252.4735203129)</f>
        <v>113252.4735</v>
      </c>
      <c r="F30" s="25">
        <f>IFERROR(__xludf.DUMMYFUNCTION("SUMPRODUCT((IMPORTRANGE(""17XjIPGwafStTRf_8bPPaoi2EFjHVy10_rRJ0uvy6YcU"",""M:M"")=B30)*1, IMPORTRANGE(""17XjIPGwafStTRf_8bPPaoi2EFjHVy10_rRJ0uvy6YcU"",""X:X""))"),95.0)</f>
        <v>95</v>
      </c>
      <c r="G30" s="26">
        <f>IFERROR(__xludf.DUMMYFUNCTION("COUNTIF(IMPORTRANGE(""17XjIPGwafStTRf_8bPPaoi2EFjHVy10_rRJ0uvy6YcU"",""M:M""), B30)"),46.0)</f>
        <v>46</v>
      </c>
      <c r="H30" s="27">
        <f t="shared" si="1"/>
        <v>2.065217391</v>
      </c>
      <c r="I30" s="28">
        <f t="shared" si="2"/>
        <v>0.1812985229</v>
      </c>
      <c r="J30" s="29">
        <f t="shared" si="3"/>
        <v>0.2811355552</v>
      </c>
      <c r="K30" s="30"/>
      <c r="L30" s="31" t="str">
        <f t="shared" si="4"/>
        <v/>
      </c>
      <c r="M30" s="31" t="str">
        <f t="shared" si="5"/>
        <v/>
      </c>
      <c r="N30" s="4"/>
    </row>
    <row r="31">
      <c r="A31" s="1"/>
      <c r="B31" s="23">
        <f t="shared" si="6"/>
        <v>44434</v>
      </c>
      <c r="C31" s="24">
        <f>IFERROR(__xludf.DUMMYFUNCTION("SUMPRODUCT((IMPORTRANGE(""17XjIPGwafStTRf_8bPPaoi2EFjHVy10_rRJ0uvy6YcU"",""M:M"")=B31)*1, IMPORTRANGE(""17XjIPGwafStTRf_8bPPaoi2EFjHVy10_rRJ0uvy6YcU"",""X:X""), IMPORTRANGE(""17XjIPGwafStTRf_8bPPaoi2EFjHVy10_rRJ0uvy6YcU"",""AK:AK"")) - SUMPRODUCT((IMPORTR"&amp;"ANGE(""17XjIPGwafStTRf_8bPPaoi2EFjHVy10_rRJ0uvy6YcU"",""M:M"")=B31)*1, IMPORTRANGE(""17XjIPGwafStTRf_8bPPaoi2EFjHVy10_rRJ0uvy6YcU"",""X:X""), IMPORTRANGE(""17XjIPGwafStTRf_8bPPaoi2EFjHVy10_rRJ0uvy6YcU"",""AL:AL""))"),347520.0)</f>
        <v>347520</v>
      </c>
      <c r="D31" s="24">
        <f>IFERROR(__xludf.DUMMYFUNCTION("SUMPRODUCT((IMPORTRANGE(""17XjIPGwafStTRf_8bPPaoi2EFjHVy10_rRJ0uvy6YcU"",""M:M"")=B31)*1, IMPORTRANGE(""17XjIPGwafStTRf_8bPPaoi2EFjHVy10_rRJ0uvy6YcU"",""X:X""), IMPORTRANGE(""17XjIPGwafStTRf_8bPPaoi2EFjHVy10_rRJ0uvy6YcU"",""AA:AA"")) + SUMPRODUCT((IMPORTR"&amp;"ANGE(""17XjIPGwafStTRf_8bPPaoi2EFjHVy10_rRJ0uvy6YcU"",""M:M"")=B31)*1, IMPORTRANGE(""17XjIPGwafStTRf_8bPPaoi2EFjHVy10_rRJ0uvy6YcU"",""X:X""), IMPORTRANGE(""17XjIPGwafStTRf_8bPPaoi2EFjHVy10_rRJ0uvy6YcU"",""AE:AE"")) + SUMPRODUCT((IMPORTRANGE(""17XjIPGwafSt"&amp;"TRf_8bPPaoi2EFjHVy10_rRJ0uvy6YcU"",""M:M"")=B31)*1, IMPORTRANGE(""17XjIPGwafStTRf_8bPPaoi2EFjHVy10_rRJ0uvy6YcU"",""X:X""), IMPORTRANGE(""17XjIPGwafStTRf_8bPPaoi2EFjHVy10_rRJ0uvy6YcU"",""AF:AF""))"),236114.91936592277)</f>
        <v>236114.9194</v>
      </c>
      <c r="E31" s="24">
        <f>IFERROR(__xludf.DUMMYFUNCTION("SUMPRODUCT((IMPORTRANGE(""17XjIPGwafStTRf_8bPPaoi2EFjHVy10_rRJ0uvy6YcU"",""M:M"")=B31)*1, IMPORTRANGE(""17XjIPGwafStTRf_8bPPaoi2EFjHVy10_rRJ0uvy6YcU"",""X:X""), IMPORTRANGE(""17XjIPGwafStTRf_8bPPaoi2EFjHVy10_rRJ0uvy6YcU"",""AO:AO""))"),51977.5661155828)</f>
        <v>51977.56612</v>
      </c>
      <c r="F31" s="25">
        <f>IFERROR(__xludf.DUMMYFUNCTION("SUMPRODUCT((IMPORTRANGE(""17XjIPGwafStTRf_8bPPaoi2EFjHVy10_rRJ0uvy6YcU"",""M:M"")=B31)*1, IMPORTRANGE(""17XjIPGwafStTRf_8bPPaoi2EFjHVy10_rRJ0uvy6YcU"",""X:X""))"),51.0)</f>
        <v>51</v>
      </c>
      <c r="G31" s="26">
        <f>IFERROR(__xludf.DUMMYFUNCTION("COUNTIF(IMPORTRANGE(""17XjIPGwafStTRf_8bPPaoi2EFjHVy10_rRJ0uvy6YcU"",""M:M""), B31)"),27.0)</f>
        <v>27</v>
      </c>
      <c r="H31" s="27">
        <f t="shared" si="1"/>
        <v>1.888888889</v>
      </c>
      <c r="I31" s="28">
        <f t="shared" si="2"/>
        <v>0.1495671216</v>
      </c>
      <c r="J31" s="29">
        <f t="shared" si="3"/>
        <v>0.2201367294</v>
      </c>
      <c r="K31" s="30"/>
      <c r="L31" s="31" t="str">
        <f t="shared" si="4"/>
        <v/>
      </c>
      <c r="M31" s="31" t="str">
        <f t="shared" si="5"/>
        <v/>
      </c>
      <c r="N31" s="4"/>
    </row>
    <row r="32">
      <c r="A32" s="1"/>
      <c r="B32" s="23">
        <f t="shared" si="6"/>
        <v>44435</v>
      </c>
      <c r="C32" s="24">
        <f>IFERROR(__xludf.DUMMYFUNCTION("SUMPRODUCT((IMPORTRANGE(""17XjIPGwafStTRf_8bPPaoi2EFjHVy10_rRJ0uvy6YcU"",""M:M"")=B32)*1, IMPORTRANGE(""17XjIPGwafStTRf_8bPPaoi2EFjHVy10_rRJ0uvy6YcU"",""X:X""), IMPORTRANGE(""17XjIPGwafStTRf_8bPPaoi2EFjHVy10_rRJ0uvy6YcU"",""AK:AK"")) - SUMPRODUCT((IMPORTR"&amp;"ANGE(""17XjIPGwafStTRf_8bPPaoi2EFjHVy10_rRJ0uvy6YcU"",""M:M"")=B32)*1, IMPORTRANGE(""17XjIPGwafStTRf_8bPPaoi2EFjHVy10_rRJ0uvy6YcU"",""X:X""), IMPORTRANGE(""17XjIPGwafStTRf_8bPPaoi2EFjHVy10_rRJ0uvy6YcU"",""AL:AL""))"),325340.0)</f>
        <v>325340</v>
      </c>
      <c r="D32" s="24">
        <f>IFERROR(__xludf.DUMMYFUNCTION("SUMPRODUCT((IMPORTRANGE(""17XjIPGwafStTRf_8bPPaoi2EFjHVy10_rRJ0uvy6YcU"",""M:M"")=B32)*1, IMPORTRANGE(""17XjIPGwafStTRf_8bPPaoi2EFjHVy10_rRJ0uvy6YcU"",""X:X""), IMPORTRANGE(""17XjIPGwafStTRf_8bPPaoi2EFjHVy10_rRJ0uvy6YcU"",""AA:AA"")) + SUMPRODUCT((IMPORTR"&amp;"ANGE(""17XjIPGwafStTRf_8bPPaoi2EFjHVy10_rRJ0uvy6YcU"",""M:M"")=B32)*1, IMPORTRANGE(""17XjIPGwafStTRf_8bPPaoi2EFjHVy10_rRJ0uvy6YcU"",""X:X""), IMPORTRANGE(""17XjIPGwafStTRf_8bPPaoi2EFjHVy10_rRJ0uvy6YcU"",""AE:AE"")) + SUMPRODUCT((IMPORTRANGE(""17XjIPGwafSt"&amp;"TRf_8bPPaoi2EFjHVy10_rRJ0uvy6YcU"",""M:M"")=B32)*1, IMPORTRANGE(""17XjIPGwafStTRf_8bPPaoi2EFjHVy10_rRJ0uvy6YcU"",""X:X""), IMPORTRANGE(""17XjIPGwafStTRf_8bPPaoi2EFjHVy10_rRJ0uvy6YcU"",""AF:AF""))"),227865.61048031735)</f>
        <v>227865.6105</v>
      </c>
      <c r="E32" s="24">
        <f>IFERROR(__xludf.DUMMYFUNCTION("SUMPRODUCT((IMPORTRANGE(""17XjIPGwafStTRf_8bPPaoi2EFjHVy10_rRJ0uvy6YcU"",""M:M"")=B32)*1, IMPORTRANGE(""17XjIPGwafStTRf_8bPPaoi2EFjHVy10_rRJ0uvy6YcU"",""X:X""), IMPORTRANGE(""17XjIPGwafStTRf_8bPPaoi2EFjHVy10_rRJ0uvy6YcU"",""AO:AO""))"),33949.51167424333)</f>
        <v>33949.51167</v>
      </c>
      <c r="F32" s="25">
        <f>IFERROR(__xludf.DUMMYFUNCTION("SUMPRODUCT((IMPORTRANGE(""17XjIPGwafStTRf_8bPPaoi2EFjHVy10_rRJ0uvy6YcU"",""M:M"")=B32)*1, IMPORTRANGE(""17XjIPGwafStTRf_8bPPaoi2EFjHVy10_rRJ0uvy6YcU"",""X:X""))"),64.0)</f>
        <v>64</v>
      </c>
      <c r="G32" s="26">
        <f>IFERROR(__xludf.DUMMYFUNCTION("COUNTIF(IMPORTRANGE(""17XjIPGwafStTRf_8bPPaoi2EFjHVy10_rRJ0uvy6YcU"",""M:M""), B32)"),29.0)</f>
        <v>29</v>
      </c>
      <c r="H32" s="27">
        <f t="shared" si="1"/>
        <v>2.206896552</v>
      </c>
      <c r="I32" s="28">
        <f t="shared" si="2"/>
        <v>0.1043508689</v>
      </c>
      <c r="J32" s="29">
        <f t="shared" si="3"/>
        <v>0.1489891853</v>
      </c>
      <c r="K32" s="32"/>
      <c r="L32" s="31" t="str">
        <f t="shared" si="4"/>
        <v/>
      </c>
      <c r="M32" s="31" t="str">
        <f t="shared" si="5"/>
        <v/>
      </c>
      <c r="N32" s="4"/>
    </row>
    <row r="33">
      <c r="A33" s="1"/>
      <c r="B33" s="23">
        <f t="shared" si="6"/>
        <v>44436</v>
      </c>
      <c r="C33" s="24">
        <f>IFERROR(__xludf.DUMMYFUNCTION("SUMPRODUCT((IMPORTRANGE(""17XjIPGwafStTRf_8bPPaoi2EFjHVy10_rRJ0uvy6YcU"",""M:M"")=B33)*1, IMPORTRANGE(""17XjIPGwafStTRf_8bPPaoi2EFjHVy10_rRJ0uvy6YcU"",""X:X""), IMPORTRANGE(""17XjIPGwafStTRf_8bPPaoi2EFjHVy10_rRJ0uvy6YcU"",""AK:AK"")) - SUMPRODUCT((IMPORTR"&amp;"ANGE(""17XjIPGwafStTRf_8bPPaoi2EFjHVy10_rRJ0uvy6YcU"",""M:M"")=B33)*1, IMPORTRANGE(""17XjIPGwafStTRf_8bPPaoi2EFjHVy10_rRJ0uvy6YcU"",""X:X""), IMPORTRANGE(""17XjIPGwafStTRf_8bPPaoi2EFjHVy10_rRJ0uvy6YcU"",""AL:AL""))"),309693.0)</f>
        <v>309693</v>
      </c>
      <c r="D33" s="24">
        <f>IFERROR(__xludf.DUMMYFUNCTION("SUMPRODUCT((IMPORTRANGE(""17XjIPGwafStTRf_8bPPaoi2EFjHVy10_rRJ0uvy6YcU"",""M:M"")=B33)*1, IMPORTRANGE(""17XjIPGwafStTRf_8bPPaoi2EFjHVy10_rRJ0uvy6YcU"",""X:X""), IMPORTRANGE(""17XjIPGwafStTRf_8bPPaoi2EFjHVy10_rRJ0uvy6YcU"",""AA:AA"")) + SUMPRODUCT((IMPORTR"&amp;"ANGE(""17XjIPGwafStTRf_8bPPaoi2EFjHVy10_rRJ0uvy6YcU"",""M:M"")=B33)*1, IMPORTRANGE(""17XjIPGwafStTRf_8bPPaoi2EFjHVy10_rRJ0uvy6YcU"",""X:X""), IMPORTRANGE(""17XjIPGwafStTRf_8bPPaoi2EFjHVy10_rRJ0uvy6YcU"",""AE:AE"")) + SUMPRODUCT((IMPORTRANGE(""17XjIPGwafSt"&amp;"TRf_8bPPaoi2EFjHVy10_rRJ0uvy6YcU"",""M:M"")=B33)*1, IMPORTRANGE(""17XjIPGwafStTRf_8bPPaoi2EFjHVy10_rRJ0uvy6YcU"",""X:X""), IMPORTRANGE(""17XjIPGwafStTRf_8bPPaoi2EFjHVy10_rRJ0uvy6YcU"",""AF:AF""))"),222676.44020264238)</f>
        <v>222676.4402</v>
      </c>
      <c r="E33" s="24">
        <f>IFERROR(__xludf.DUMMYFUNCTION("SUMPRODUCT((IMPORTRANGE(""17XjIPGwafStTRf_8bPPaoi2EFjHVy10_rRJ0uvy6YcU"",""M:M"")=B33)*1, IMPORTRANGE(""17XjIPGwafStTRf_8bPPaoi2EFjHVy10_rRJ0uvy6YcU"",""X:X""), IMPORTRANGE(""17XjIPGwafStTRf_8bPPaoi2EFjHVy10_rRJ0uvy6YcU"",""AO:AO""))"),36231.14045229499)</f>
        <v>36231.14045</v>
      </c>
      <c r="F33" s="25">
        <f>IFERROR(__xludf.DUMMYFUNCTION("SUMPRODUCT((IMPORTRANGE(""17XjIPGwafStTRf_8bPPaoi2EFjHVy10_rRJ0uvy6YcU"",""M:M"")=B33)*1, IMPORTRANGE(""17XjIPGwafStTRf_8bPPaoi2EFjHVy10_rRJ0uvy6YcU"",""X:X""))"),43.0)</f>
        <v>43</v>
      </c>
      <c r="G33" s="26">
        <f>IFERROR(__xludf.DUMMYFUNCTION("COUNTIF(IMPORTRANGE(""17XjIPGwafStTRf_8bPPaoi2EFjHVy10_rRJ0uvy6YcU"",""M:M""), B33)"),25.0)</f>
        <v>25</v>
      </c>
      <c r="H33" s="27">
        <f t="shared" si="1"/>
        <v>1.72</v>
      </c>
      <c r="I33" s="28">
        <f t="shared" si="2"/>
        <v>0.116990505</v>
      </c>
      <c r="J33" s="29">
        <f t="shared" si="3"/>
        <v>0.1627075609</v>
      </c>
      <c r="K33" s="30"/>
      <c r="L33" s="31" t="str">
        <f t="shared" si="4"/>
        <v/>
      </c>
      <c r="M33" s="31" t="str">
        <f t="shared" si="5"/>
        <v/>
      </c>
      <c r="N33" s="4"/>
    </row>
    <row r="34">
      <c r="A34" s="1"/>
      <c r="B34" s="23">
        <f t="shared" ref="B34:B36" si="7">IFERROR(IF(MONTH(B33)=MONTH(B33+1),B33+1,"--"),"--")</f>
        <v>44437</v>
      </c>
      <c r="C34" s="24">
        <f>IFERROR(__xludf.DUMMYFUNCTION("SUMPRODUCT((IMPORTRANGE(""17XjIPGwafStTRf_8bPPaoi2EFjHVy10_rRJ0uvy6YcU"",""M:M"")=B34)*1, IMPORTRANGE(""17XjIPGwafStTRf_8bPPaoi2EFjHVy10_rRJ0uvy6YcU"",""X:X""), IMPORTRANGE(""17XjIPGwafStTRf_8bPPaoi2EFjHVy10_rRJ0uvy6YcU"",""AK:AK"")) - SUMPRODUCT((IMPORTR"&amp;"ANGE(""17XjIPGwafStTRf_8bPPaoi2EFjHVy10_rRJ0uvy6YcU"",""M:M"")=B34)*1, IMPORTRANGE(""17XjIPGwafStTRf_8bPPaoi2EFjHVy10_rRJ0uvy6YcU"",""X:X""), IMPORTRANGE(""17XjIPGwafStTRf_8bPPaoi2EFjHVy10_rRJ0uvy6YcU"",""AL:AL""))"),522806.0)</f>
        <v>522806</v>
      </c>
      <c r="D34" s="24">
        <f>IFERROR(__xludf.DUMMYFUNCTION("SUMPRODUCT((IMPORTRANGE(""17XjIPGwafStTRf_8bPPaoi2EFjHVy10_rRJ0uvy6YcU"",""M:M"")=B34)*1, IMPORTRANGE(""17XjIPGwafStTRf_8bPPaoi2EFjHVy10_rRJ0uvy6YcU"",""X:X""), IMPORTRANGE(""17XjIPGwafStTRf_8bPPaoi2EFjHVy10_rRJ0uvy6YcU"",""AA:AA"")) + SUMPRODUCT((IMPORTR"&amp;"ANGE(""17XjIPGwafStTRf_8bPPaoi2EFjHVy10_rRJ0uvy6YcU"",""M:M"")=B34)*1, IMPORTRANGE(""17XjIPGwafStTRf_8bPPaoi2EFjHVy10_rRJ0uvy6YcU"",""X:X""), IMPORTRANGE(""17XjIPGwafStTRf_8bPPaoi2EFjHVy10_rRJ0uvy6YcU"",""AE:AE"")) + SUMPRODUCT((IMPORTRANGE(""17XjIPGwafSt"&amp;"TRf_8bPPaoi2EFjHVy10_rRJ0uvy6YcU"",""M:M"")=B34)*1, IMPORTRANGE(""17XjIPGwafStTRf_8bPPaoi2EFjHVy10_rRJ0uvy6YcU"",""X:X""), IMPORTRANGE(""17XjIPGwafStTRf_8bPPaoi2EFjHVy10_rRJ0uvy6YcU"",""AF:AF""))"),361907.1035650241)</f>
        <v>361907.1036</v>
      </c>
      <c r="E34" s="24">
        <f>IFERROR(__xludf.DUMMYFUNCTION("SUMPRODUCT((IMPORTRANGE(""17XjIPGwafStTRf_8bPPaoi2EFjHVy10_rRJ0uvy6YcU"",""M:M"")=B34)*1, IMPORTRANGE(""17XjIPGwafStTRf_8bPPaoi2EFjHVy10_rRJ0uvy6YcU"",""X:X""), IMPORTRANGE(""17XjIPGwafStTRf_8bPPaoi2EFjHVy10_rRJ0uvy6YcU"",""AO:AO""))"),63917.03470510391)</f>
        <v>63917.03471</v>
      </c>
      <c r="F34" s="25">
        <f>IFERROR(__xludf.DUMMYFUNCTION("SUMPRODUCT((IMPORTRANGE(""17XjIPGwafStTRf_8bPPaoi2EFjHVy10_rRJ0uvy6YcU"",""M:M"")=B34)*1, IMPORTRANGE(""17XjIPGwafStTRf_8bPPaoi2EFjHVy10_rRJ0uvy6YcU"",""X:X""))"),72.0)</f>
        <v>72</v>
      </c>
      <c r="G34" s="26">
        <f>IFERROR(__xludf.DUMMYFUNCTION("COUNTIF(IMPORTRANGE(""17XjIPGwafStTRf_8bPPaoi2EFjHVy10_rRJ0uvy6YcU"",""M:M""), B34)"),37.0)</f>
        <v>37</v>
      </c>
      <c r="H34" s="27">
        <f t="shared" si="1"/>
        <v>1.945945946</v>
      </c>
      <c r="I34" s="28">
        <f t="shared" si="2"/>
        <v>0.1222576533</v>
      </c>
      <c r="J34" s="29">
        <f t="shared" si="3"/>
        <v>0.1766117163</v>
      </c>
      <c r="K34" s="30"/>
      <c r="L34" s="31" t="str">
        <f t="shared" si="4"/>
        <v/>
      </c>
      <c r="M34" s="31" t="str">
        <f t="shared" si="5"/>
        <v/>
      </c>
      <c r="N34" s="4"/>
    </row>
    <row r="35">
      <c r="A35" s="1"/>
      <c r="B35" s="23">
        <f t="shared" si="7"/>
        <v>44438</v>
      </c>
      <c r="C35" s="24">
        <f>IFERROR(__xludf.DUMMYFUNCTION("SUMPRODUCT((IMPORTRANGE(""17XjIPGwafStTRf_8bPPaoi2EFjHVy10_rRJ0uvy6YcU"",""M:M"")=B35)*1, IMPORTRANGE(""17XjIPGwafStTRf_8bPPaoi2EFjHVy10_rRJ0uvy6YcU"",""X:X""), IMPORTRANGE(""17XjIPGwafStTRf_8bPPaoi2EFjHVy10_rRJ0uvy6YcU"",""AK:AK"")) - SUMPRODUCT((IMPORTR"&amp;"ANGE(""17XjIPGwafStTRf_8bPPaoi2EFjHVy10_rRJ0uvy6YcU"",""M:M"")=B35)*1, IMPORTRANGE(""17XjIPGwafStTRf_8bPPaoi2EFjHVy10_rRJ0uvy6YcU"",""X:X""), IMPORTRANGE(""17XjIPGwafStTRf_8bPPaoi2EFjHVy10_rRJ0uvy6YcU"",""AL:AL""))"),352494.0)</f>
        <v>352494</v>
      </c>
      <c r="D35" s="24">
        <f>IFERROR(__xludf.DUMMYFUNCTION("SUMPRODUCT((IMPORTRANGE(""17XjIPGwafStTRf_8bPPaoi2EFjHVy10_rRJ0uvy6YcU"",""M:M"")=B35)*1, IMPORTRANGE(""17XjIPGwafStTRf_8bPPaoi2EFjHVy10_rRJ0uvy6YcU"",""X:X""), IMPORTRANGE(""17XjIPGwafStTRf_8bPPaoi2EFjHVy10_rRJ0uvy6YcU"",""AA:AA"")) + SUMPRODUCT((IMPORTR"&amp;"ANGE(""17XjIPGwafStTRf_8bPPaoi2EFjHVy10_rRJ0uvy6YcU"",""M:M"")=B35)*1, IMPORTRANGE(""17XjIPGwafStTRf_8bPPaoi2EFjHVy10_rRJ0uvy6YcU"",""X:X""), IMPORTRANGE(""17XjIPGwafStTRf_8bPPaoi2EFjHVy10_rRJ0uvy6YcU"",""AE:AE"")) + SUMPRODUCT((IMPORTRANGE(""17XjIPGwafSt"&amp;"TRf_8bPPaoi2EFjHVy10_rRJ0uvy6YcU"",""M:M"")=B35)*1, IMPORTRANGE(""17XjIPGwafStTRf_8bPPaoi2EFjHVy10_rRJ0uvy6YcU"",""X:X""), IMPORTRANGE(""17XjIPGwafStTRf_8bPPaoi2EFjHVy10_rRJ0uvy6YcU"",""AF:AF""))"),246470.46928017336)</f>
        <v>246470.4693</v>
      </c>
      <c r="E35" s="24">
        <f>IFERROR(__xludf.DUMMYFUNCTION("SUMPRODUCT((IMPORTRANGE(""17XjIPGwafStTRf_8bPPaoi2EFjHVy10_rRJ0uvy6YcU"",""M:M"")=B35)*1, IMPORTRANGE(""17XjIPGwafStTRf_8bPPaoi2EFjHVy10_rRJ0uvy6YcU"",""X:X""), IMPORTRANGE(""17XjIPGwafStTRf_8bPPaoi2EFjHVy10_rRJ0uvy6YcU"",""AO:AO""))"),45435.79405398865)</f>
        <v>45435.79405</v>
      </c>
      <c r="F35" s="25">
        <f>IFERROR(__xludf.DUMMYFUNCTION("SUMPRODUCT((IMPORTRANGE(""17XjIPGwafStTRf_8bPPaoi2EFjHVy10_rRJ0uvy6YcU"",""M:M"")=B35)*1, IMPORTRANGE(""17XjIPGwafStTRf_8bPPaoi2EFjHVy10_rRJ0uvy6YcU"",""X:X""))"),55.0)</f>
        <v>55</v>
      </c>
      <c r="G35" s="26">
        <f>IFERROR(__xludf.DUMMYFUNCTION("COUNTIF(IMPORTRANGE(""17XjIPGwafStTRf_8bPPaoi2EFjHVy10_rRJ0uvy6YcU"",""M:M""), B35)"),26.0)</f>
        <v>26</v>
      </c>
      <c r="H35" s="27">
        <f t="shared" si="1"/>
        <v>2.115384615</v>
      </c>
      <c r="I35" s="28">
        <f t="shared" si="2"/>
        <v>0.1288980637</v>
      </c>
      <c r="J35" s="29">
        <f t="shared" si="3"/>
        <v>0.1843457928</v>
      </c>
      <c r="K35" s="32"/>
      <c r="L35" s="31" t="str">
        <f t="shared" si="4"/>
        <v/>
      </c>
      <c r="M35" s="31" t="str">
        <f t="shared" si="5"/>
        <v/>
      </c>
      <c r="N35" s="4"/>
    </row>
    <row r="36">
      <c r="A36" s="1"/>
      <c r="B36" s="23">
        <f t="shared" si="7"/>
        <v>44439</v>
      </c>
      <c r="C36" s="24">
        <f>IFERROR(__xludf.DUMMYFUNCTION("SUMPRODUCT((IMPORTRANGE(""17XjIPGwafStTRf_8bPPaoi2EFjHVy10_rRJ0uvy6YcU"",""M:M"")=B36)*1, IMPORTRANGE(""17XjIPGwafStTRf_8bPPaoi2EFjHVy10_rRJ0uvy6YcU"",""X:X""), IMPORTRANGE(""17XjIPGwafStTRf_8bPPaoi2EFjHVy10_rRJ0uvy6YcU"",""AK:AK"")) - SUMPRODUCT((IMPORTR"&amp;"ANGE(""17XjIPGwafStTRf_8bPPaoi2EFjHVy10_rRJ0uvy6YcU"",""M:M"")=B36)*1, IMPORTRANGE(""17XjIPGwafStTRf_8bPPaoi2EFjHVy10_rRJ0uvy6YcU"",""X:X""), IMPORTRANGE(""17XjIPGwafStTRf_8bPPaoi2EFjHVy10_rRJ0uvy6YcU"",""AL:AL""))"),8350.0)</f>
        <v>8350</v>
      </c>
      <c r="D36" s="24">
        <f>IFERROR(__xludf.DUMMYFUNCTION("SUMPRODUCT((IMPORTRANGE(""17XjIPGwafStTRf_8bPPaoi2EFjHVy10_rRJ0uvy6YcU"",""M:M"")=B36)*1, IMPORTRANGE(""17XjIPGwafStTRf_8bPPaoi2EFjHVy10_rRJ0uvy6YcU"",""X:X""), IMPORTRANGE(""17XjIPGwafStTRf_8bPPaoi2EFjHVy10_rRJ0uvy6YcU"",""AA:AA"")) + SUMPRODUCT((IMPORTR"&amp;"ANGE(""17XjIPGwafStTRf_8bPPaoi2EFjHVy10_rRJ0uvy6YcU"",""M:M"")=B36)*1, IMPORTRANGE(""17XjIPGwafStTRf_8bPPaoi2EFjHVy10_rRJ0uvy6YcU"",""X:X""), IMPORTRANGE(""17XjIPGwafStTRf_8bPPaoi2EFjHVy10_rRJ0uvy6YcU"",""AE:AE"")) + SUMPRODUCT((IMPORTRANGE(""17XjIPGwafSt"&amp;"TRf_8bPPaoi2EFjHVy10_rRJ0uvy6YcU"",""M:M"")=B36)*1, IMPORTRANGE(""17XjIPGwafStTRf_8bPPaoi2EFjHVy10_rRJ0uvy6YcU"",""X:X""), IMPORTRANGE(""17XjIPGwafStTRf_8bPPaoi2EFjHVy10_rRJ0uvy6YcU"",""AF:AF""))"),4090.5466500138323)</f>
        <v>4090.54665</v>
      </c>
      <c r="E36" s="24">
        <f>IFERROR(__xludf.DUMMYFUNCTION("SUMPRODUCT((IMPORTRANGE(""17XjIPGwafStTRf_8bPPaoi2EFjHVy10_rRJ0uvy6YcU"",""M:M"")=B36)*1, IMPORTRANGE(""17XjIPGwafStTRf_8bPPaoi2EFjHVy10_rRJ0uvy6YcU"",""X:X""), IMPORTRANGE(""17XjIPGwafStTRf_8bPPaoi2EFjHVy10_rRJ0uvy6YcU"",""AO:AO""))"),1020.4533499861673)</f>
        <v>1020.45335</v>
      </c>
      <c r="F36" s="25">
        <f>IFERROR(__xludf.DUMMYFUNCTION("SUMPRODUCT((IMPORTRANGE(""17XjIPGwafStTRf_8bPPaoi2EFjHVy10_rRJ0uvy6YcU"",""M:M"")=B36)*1, IMPORTRANGE(""17XjIPGwafStTRf_8bPPaoi2EFjHVy10_rRJ0uvy6YcU"",""X:X""))"),1.0)</f>
        <v>1</v>
      </c>
      <c r="G36" s="26">
        <f>IFERROR(__xludf.DUMMYFUNCTION("COUNTIF(IMPORTRANGE(""17XjIPGwafStTRf_8bPPaoi2EFjHVy10_rRJ0uvy6YcU"",""M:M""), B36)"),1.0)</f>
        <v>1</v>
      </c>
      <c r="H36" s="27">
        <f t="shared" si="1"/>
        <v>1</v>
      </c>
      <c r="I36" s="28">
        <f t="shared" si="2"/>
        <v>0.122209982</v>
      </c>
      <c r="J36" s="29">
        <f t="shared" si="3"/>
        <v>0.2494662541</v>
      </c>
      <c r="K36" s="30"/>
      <c r="L36" s="31" t="str">
        <f>if(B36="","",IF(K36="","",E36/K36))</f>
        <v/>
      </c>
      <c r="M36" s="31" t="str">
        <f>if(B36="","",IF(K36="","",D36/K36))</f>
        <v/>
      </c>
      <c r="N36" s="4"/>
    </row>
    <row r="37">
      <c r="A37" s="4"/>
      <c r="B37" s="33" t="s">
        <v>16</v>
      </c>
      <c r="C37" s="34">
        <f t="shared" ref="C37:H37" si="8">SUM(C6:C36)</f>
        <v>10080073</v>
      </c>
      <c r="D37" s="34">
        <f t="shared" si="8"/>
        <v>6494659.843</v>
      </c>
      <c r="E37" s="34">
        <f t="shared" si="8"/>
        <v>1947786.58</v>
      </c>
      <c r="F37" s="34">
        <f t="shared" si="8"/>
        <v>1879</v>
      </c>
      <c r="G37" s="34">
        <f t="shared" si="8"/>
        <v>713</v>
      </c>
      <c r="H37" s="34">
        <f t="shared" si="8"/>
        <v>94.37214073</v>
      </c>
      <c r="I37" s="35">
        <f t="shared" si="2"/>
        <v>0.1932313963</v>
      </c>
      <c r="J37" s="35">
        <f t="shared" si="3"/>
        <v>0.2999058653</v>
      </c>
      <c r="K37" s="33">
        <f>SUM(K6:K36)</f>
        <v>0</v>
      </c>
      <c r="L37" s="34" t="str">
        <f>iferror(IF(K37="","",E37/K37),"")</f>
        <v/>
      </c>
      <c r="M37" s="34" t="str">
        <f>iferror(IF(K37="","",D37/K37),"")</f>
        <v/>
      </c>
      <c r="N37" s="4"/>
    </row>
    <row r="38">
      <c r="A38" s="4"/>
      <c r="B38" s="4"/>
      <c r="C38" s="4"/>
      <c r="D38" s="36" t="s">
        <v>17</v>
      </c>
      <c r="E38" s="4"/>
      <c r="F38" s="4"/>
      <c r="G38" s="4"/>
      <c r="H38" s="4"/>
      <c r="I38" s="4"/>
      <c r="J38" s="4"/>
      <c r="K38" s="4"/>
      <c r="L38" s="4"/>
      <c r="M38" s="4"/>
      <c r="N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2" max="2" width="7.38"/>
    <col customWidth="1" min="3" max="5" width="11.38"/>
    <col customWidth="1" min="6" max="8" width="5.75"/>
    <col customWidth="1" min="9" max="11" width="8.88"/>
    <col customWidth="1" min="12" max="13" width="11.38"/>
    <col customWidth="1" min="14" max="14" width="2.38"/>
  </cols>
  <sheetData>
    <row r="1" ht="7.5" customHeight="1">
      <c r="A1" s="1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</row>
    <row r="2">
      <c r="A2" s="1"/>
      <c r="B2" s="5">
        <v>44378.0</v>
      </c>
      <c r="C2" s="6"/>
      <c r="D2" s="3"/>
      <c r="E2" s="4"/>
      <c r="F2" s="4"/>
      <c r="G2" s="4"/>
      <c r="H2" s="4"/>
      <c r="I2" s="4"/>
      <c r="J2" s="4"/>
      <c r="K2" s="4"/>
      <c r="L2" s="7" t="s">
        <v>0</v>
      </c>
      <c r="M2" s="8">
        <v>1.5</v>
      </c>
      <c r="N2" s="4"/>
    </row>
    <row r="3">
      <c r="A3" s="4"/>
      <c r="B3" s="9" t="s">
        <v>1</v>
      </c>
      <c r="C3" s="10">
        <f>iferror((E3*M2)/I37,"")</f>
        <v>17507625.82</v>
      </c>
      <c r="D3" s="11" t="s">
        <v>2</v>
      </c>
      <c r="E3" s="12">
        <v>2000000.0</v>
      </c>
      <c r="F3" s="13"/>
      <c r="G3" s="4"/>
      <c r="H3" s="4"/>
      <c r="I3" s="4"/>
      <c r="J3" s="4"/>
      <c r="K3" s="4"/>
      <c r="L3" s="14"/>
      <c r="M3" s="15"/>
      <c r="N3" s="13"/>
    </row>
    <row r="4">
      <c r="A4" s="4"/>
      <c r="B4" s="9" t="s">
        <v>3</v>
      </c>
      <c r="C4" s="16">
        <f>iferror(C37/C3,"")</f>
        <v>0.45835421</v>
      </c>
      <c r="D4" s="9"/>
      <c r="E4" s="16"/>
      <c r="F4" s="4"/>
      <c r="G4" s="4"/>
      <c r="H4" s="4"/>
      <c r="I4" s="4"/>
      <c r="J4" s="4"/>
      <c r="K4" s="17"/>
      <c r="L4" s="4"/>
      <c r="M4" s="4"/>
      <c r="N4" s="4"/>
    </row>
    <row r="5" ht="28.5" customHeight="1">
      <c r="A5" s="18"/>
      <c r="B5" s="19" t="s">
        <v>4</v>
      </c>
      <c r="C5" s="20" t="s">
        <v>5</v>
      </c>
      <c r="D5" s="20" t="s">
        <v>6</v>
      </c>
      <c r="E5" s="20" t="s">
        <v>7</v>
      </c>
      <c r="F5" s="21" t="s">
        <v>8</v>
      </c>
      <c r="G5" s="22" t="s">
        <v>9</v>
      </c>
      <c r="H5" s="22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18"/>
    </row>
    <row r="6">
      <c r="A6" s="1"/>
      <c r="B6" s="23">
        <f>B2</f>
        <v>44378</v>
      </c>
      <c r="C6" s="24">
        <f>IFERROR(__xludf.DUMMYFUNCTION("SUMPRODUCT((IMPORTRANGE(""17XjIPGwafStTRf_8bPPaoi2EFjHVy10_rRJ0uvy6YcU"",""M:M"")=B6)*1, IMPORTRANGE(""17XjIPGwafStTRf_8bPPaoi2EFjHVy10_rRJ0uvy6YcU"",""X:X""), IMPORTRANGE(""17XjIPGwafStTRf_8bPPaoi2EFjHVy10_rRJ0uvy6YcU"",""AK:AK"")) - SUMPRODUCT((IMPORTRA"&amp;"NGE(""17XjIPGwafStTRf_8bPPaoi2EFjHVy10_rRJ0uvy6YcU"",""M:M"")=B6)*1, IMPORTRANGE(""17XjIPGwafStTRf_8bPPaoi2EFjHVy10_rRJ0uvy6YcU"",""X:X""), IMPORTRANGE(""17XjIPGwafStTRf_8bPPaoi2EFjHVy10_rRJ0uvy6YcU"",""AL:AL""))"),395868.0)</f>
        <v>395868</v>
      </c>
      <c r="D6" s="24">
        <f>IFERROR(__xludf.DUMMYFUNCTION("SUMPRODUCT((IMPORTRANGE(""17XjIPGwafStTRf_8bPPaoi2EFjHVy10_rRJ0uvy6YcU"",""M:M"")=B6)*1, IMPORTRANGE(""17XjIPGwafStTRf_8bPPaoi2EFjHVy10_rRJ0uvy6YcU"",""X:X""), IMPORTRANGE(""17XjIPGwafStTRf_8bPPaoi2EFjHVy10_rRJ0uvy6YcU"",""AA:AA"")) + SUMPRODUCT((IMPORTRA"&amp;"NGE(""17XjIPGwafStTRf_8bPPaoi2EFjHVy10_rRJ0uvy6YcU"",""M:M"")=B6)*1, IMPORTRANGE(""17XjIPGwafStTRf_8bPPaoi2EFjHVy10_rRJ0uvy6YcU"",""X:X""), IMPORTRANGE(""17XjIPGwafStTRf_8bPPaoi2EFjHVy10_rRJ0uvy6YcU"",""AE:AE"")) + SUMPRODUCT((IMPORTRANGE(""17XjIPGwafStTR"&amp;"f_8bPPaoi2EFjHVy10_rRJ0uvy6YcU"",""M:M"")=B6)*1, IMPORTRANGE(""17XjIPGwafStTRf_8bPPaoi2EFjHVy10_rRJ0uvy6YcU"",""X:X""), IMPORTRANGE(""17XjIPGwafStTRf_8bPPaoi2EFjHVy10_rRJ0uvy6YcU"",""AF:AF""))"),353864.3611416046)</f>
        <v>353864.3611</v>
      </c>
      <c r="E6" s="24">
        <f>IFERROR(__xludf.DUMMYFUNCTION("SUMPRODUCT((IMPORTRANGE(""17XjIPGwafStTRf_8bPPaoi2EFjHVy10_rRJ0uvy6YcU"",""M:M"")=B6)*1, IMPORTRANGE(""17XjIPGwafStTRf_8bPPaoi2EFjHVy10_rRJ0uvy6YcU"",""X:X""), IMPORTRANGE(""17XjIPGwafStTRf_8bPPaoi2EFjHVy10_rRJ0uvy6YcU"",""AO:AO""))"),-5288.03828446177)</f>
        <v>-5288.038284</v>
      </c>
      <c r="F6" s="25">
        <f>IFERROR(__xludf.DUMMYFUNCTION("SUMPRODUCT((IMPORTRANGE(""17XjIPGwafStTRf_8bPPaoi2EFjHVy10_rRJ0uvy6YcU"",""M:M"")=B6)*1, IMPORTRANGE(""17XjIPGwafStTRf_8bPPaoi2EFjHVy10_rRJ0uvy6YcU"",""X:X""))"),63.0)</f>
        <v>63</v>
      </c>
      <c r="G6" s="26">
        <f>IFERROR(__xludf.DUMMYFUNCTION("COUNTIF(IMPORTRANGE(""17XjIPGwafStTRf_8bPPaoi2EFjHVy10_rRJ0uvy6YcU"",""M:M""), B6)"),26.0)</f>
        <v>26</v>
      </c>
      <c r="H6" s="27">
        <f t="shared" ref="H6:H36" si="1">IF(F6=0,"",F6/G6)</f>
        <v>2.423076923</v>
      </c>
      <c r="I6" s="28">
        <f t="shared" ref="I6:I37" si="2">IF(C6=0,"",E6/C6)</f>
        <v>-0.01335808473</v>
      </c>
      <c r="J6" s="29">
        <f t="shared" ref="J6:J37" si="3">IF(D6=0,"",E6/D6)</f>
        <v>-0.01494368709</v>
      </c>
      <c r="K6" s="30"/>
      <c r="L6" s="31" t="str">
        <f t="shared" ref="L6:L35" si="4">IF(K6="","",E6/K6)</f>
        <v/>
      </c>
      <c r="M6" s="31" t="str">
        <f t="shared" ref="M6:M35" si="5">IF(K6="","",D6/K6)</f>
        <v/>
      </c>
      <c r="N6" s="4"/>
    </row>
    <row r="7">
      <c r="A7" s="1"/>
      <c r="B7" s="23">
        <f t="shared" ref="B7:B33" si="6">B6+1</f>
        <v>44379</v>
      </c>
      <c r="C7" s="24">
        <f>IFERROR(__xludf.DUMMYFUNCTION("SUMPRODUCT((IMPORTRANGE(""17XjIPGwafStTRf_8bPPaoi2EFjHVy10_rRJ0uvy6YcU"",""M:M"")=B7)*1, IMPORTRANGE(""17XjIPGwafStTRf_8bPPaoi2EFjHVy10_rRJ0uvy6YcU"",""X:X""), IMPORTRANGE(""17XjIPGwafStTRf_8bPPaoi2EFjHVy10_rRJ0uvy6YcU"",""AK:AK"")) - SUMPRODUCT((IMPORTRA"&amp;"NGE(""17XjIPGwafStTRf_8bPPaoi2EFjHVy10_rRJ0uvy6YcU"",""M:M"")=B7)*1, IMPORTRANGE(""17XjIPGwafStTRf_8bPPaoi2EFjHVy10_rRJ0uvy6YcU"",""X:X""), IMPORTRANGE(""17XjIPGwafStTRf_8bPPaoi2EFjHVy10_rRJ0uvy6YcU"",""AL:AL""))"),163834.0)</f>
        <v>163834</v>
      </c>
      <c r="D7" s="24">
        <f>IFERROR(__xludf.DUMMYFUNCTION("SUMPRODUCT((IMPORTRANGE(""17XjIPGwafStTRf_8bPPaoi2EFjHVy10_rRJ0uvy6YcU"",""M:M"")=B7)*1, IMPORTRANGE(""17XjIPGwafStTRf_8bPPaoi2EFjHVy10_rRJ0uvy6YcU"",""X:X""), IMPORTRANGE(""17XjIPGwafStTRf_8bPPaoi2EFjHVy10_rRJ0uvy6YcU"",""AA:AA"")) + SUMPRODUCT((IMPORTRA"&amp;"NGE(""17XjIPGwafStTRf_8bPPaoi2EFjHVy10_rRJ0uvy6YcU"",""M:M"")=B7)*1, IMPORTRANGE(""17XjIPGwafStTRf_8bPPaoi2EFjHVy10_rRJ0uvy6YcU"",""X:X""), IMPORTRANGE(""17XjIPGwafStTRf_8bPPaoi2EFjHVy10_rRJ0uvy6YcU"",""AE:AE"")) + SUMPRODUCT((IMPORTRANGE(""17XjIPGwafStTR"&amp;"f_8bPPaoi2EFjHVy10_rRJ0uvy6YcU"",""M:M"")=B7)*1, IMPORTRANGE(""17XjIPGwafStTRf_8bPPaoi2EFjHVy10_rRJ0uvy6YcU"",""X:X""), IMPORTRANGE(""17XjIPGwafStTRf_8bPPaoi2EFjHVy10_rRJ0uvy6YcU"",""AF:AF""))"),124565.04415734403)</f>
        <v>124565.0442</v>
      </c>
      <c r="E7" s="24">
        <f>IFERROR(__xludf.DUMMYFUNCTION("SUMPRODUCT((IMPORTRANGE(""17XjIPGwafStTRf_8bPPaoi2EFjHVy10_rRJ0uvy6YcU"",""M:M"")=B7)*1, IMPORTRANGE(""17XjIPGwafStTRf_8bPPaoi2EFjHVy10_rRJ0uvy6YcU"",""X:X""), IMPORTRANGE(""17XjIPGwafStTRf_8bPPaoi2EFjHVy10_rRJ0uvy6YcU"",""AO:AO""))"),11975.80448723428)</f>
        <v>11975.80449</v>
      </c>
      <c r="F7" s="25">
        <f>IFERROR(__xludf.DUMMYFUNCTION("SUMPRODUCT((IMPORTRANGE(""17XjIPGwafStTRf_8bPPaoi2EFjHVy10_rRJ0uvy6YcU"",""M:M"")=B7)*1, IMPORTRANGE(""17XjIPGwafStTRf_8bPPaoi2EFjHVy10_rRJ0uvy6YcU"",""X:X""))"),36.0)</f>
        <v>36</v>
      </c>
      <c r="G7" s="26">
        <f>IFERROR(__xludf.DUMMYFUNCTION("COUNTIF(IMPORTRANGE(""17XjIPGwafStTRf_8bPPaoi2EFjHVy10_rRJ0uvy6YcU"",""M:M""), B7)"),17.0)</f>
        <v>17</v>
      </c>
      <c r="H7" s="27">
        <f t="shared" si="1"/>
        <v>2.117647059</v>
      </c>
      <c r="I7" s="28">
        <f t="shared" si="2"/>
        <v>0.07309718671</v>
      </c>
      <c r="J7" s="29">
        <f t="shared" si="3"/>
        <v>0.09614097252</v>
      </c>
      <c r="K7" s="30"/>
      <c r="L7" s="31" t="str">
        <f t="shared" si="4"/>
        <v/>
      </c>
      <c r="M7" s="31" t="str">
        <f t="shared" si="5"/>
        <v/>
      </c>
      <c r="N7" s="4"/>
    </row>
    <row r="8">
      <c r="A8" s="1"/>
      <c r="B8" s="23">
        <f t="shared" si="6"/>
        <v>44380</v>
      </c>
      <c r="C8" s="24">
        <f>IFERROR(__xludf.DUMMYFUNCTION("SUMPRODUCT((IMPORTRANGE(""17XjIPGwafStTRf_8bPPaoi2EFjHVy10_rRJ0uvy6YcU"",""M:M"")=B8)*1, IMPORTRANGE(""17XjIPGwafStTRf_8bPPaoi2EFjHVy10_rRJ0uvy6YcU"",""X:X""), IMPORTRANGE(""17XjIPGwafStTRf_8bPPaoi2EFjHVy10_rRJ0uvy6YcU"",""AK:AK"")) - SUMPRODUCT((IMPORTRA"&amp;"NGE(""17XjIPGwafStTRf_8bPPaoi2EFjHVy10_rRJ0uvy6YcU"",""M:M"")=B8)*1, IMPORTRANGE(""17XjIPGwafStTRf_8bPPaoi2EFjHVy10_rRJ0uvy6YcU"",""X:X""), IMPORTRANGE(""17XjIPGwafStTRf_8bPPaoi2EFjHVy10_rRJ0uvy6YcU"",""AL:AL""))"),203688.0)</f>
        <v>203688</v>
      </c>
      <c r="D8" s="24">
        <f>IFERROR(__xludf.DUMMYFUNCTION("SUMPRODUCT((IMPORTRANGE(""17XjIPGwafStTRf_8bPPaoi2EFjHVy10_rRJ0uvy6YcU"",""M:M"")=B8)*1, IMPORTRANGE(""17XjIPGwafStTRf_8bPPaoi2EFjHVy10_rRJ0uvy6YcU"",""X:X""), IMPORTRANGE(""17XjIPGwafStTRf_8bPPaoi2EFjHVy10_rRJ0uvy6YcU"",""AA:AA"")) + SUMPRODUCT((IMPORTRA"&amp;"NGE(""17XjIPGwafStTRf_8bPPaoi2EFjHVy10_rRJ0uvy6YcU"",""M:M"")=B8)*1, IMPORTRANGE(""17XjIPGwafStTRf_8bPPaoi2EFjHVy10_rRJ0uvy6YcU"",""X:X""), IMPORTRANGE(""17XjIPGwafStTRf_8bPPaoi2EFjHVy10_rRJ0uvy6YcU"",""AE:AE"")) + SUMPRODUCT((IMPORTRANGE(""17XjIPGwafStTR"&amp;"f_8bPPaoi2EFjHVy10_rRJ0uvy6YcU"",""M:M"")=B8)*1, IMPORTRANGE(""17XjIPGwafStTRf_8bPPaoi2EFjHVy10_rRJ0uvy6YcU"",""X:X""), IMPORTRANGE(""17XjIPGwafStTRf_8bPPaoi2EFjHVy10_rRJ0uvy6YcU"",""AF:AF""))"),134227.0241460491)</f>
        <v>134227.0241</v>
      </c>
      <c r="E8" s="24">
        <f>IFERROR(__xludf.DUMMYFUNCTION("SUMPRODUCT((IMPORTRANGE(""17XjIPGwafStTRf_8bPPaoi2EFjHVy10_rRJ0uvy6YcU"",""M:M"")=B8)*1, IMPORTRANGE(""17XjIPGwafStTRf_8bPPaoi2EFjHVy10_rRJ0uvy6YcU"",""X:X""), IMPORTRANGE(""17XjIPGwafStTRf_8bPPaoi2EFjHVy10_rRJ0uvy6YcU"",""AO:AO""))"),25154.4758539509)</f>
        <v>25154.47585</v>
      </c>
      <c r="F8" s="25">
        <f>IFERROR(__xludf.DUMMYFUNCTION("SUMPRODUCT((IMPORTRANGE(""17XjIPGwafStTRf_8bPPaoi2EFjHVy10_rRJ0uvy6YcU"",""M:M"")=B8)*1, IMPORTRANGE(""17XjIPGwafStTRf_8bPPaoi2EFjHVy10_rRJ0uvy6YcU"",""X:X""))"),46.0)</f>
        <v>46</v>
      </c>
      <c r="G8" s="26">
        <f>IFERROR(__xludf.DUMMYFUNCTION("COUNTIF(IMPORTRANGE(""17XjIPGwafStTRf_8bPPaoi2EFjHVy10_rRJ0uvy6YcU"",""M:M""), B8)"),18.0)</f>
        <v>18</v>
      </c>
      <c r="H8" s="27">
        <f t="shared" si="1"/>
        <v>2.555555556</v>
      </c>
      <c r="I8" s="28">
        <f t="shared" si="2"/>
        <v>0.1234951291</v>
      </c>
      <c r="J8" s="29">
        <f t="shared" si="3"/>
        <v>0.1874024699</v>
      </c>
      <c r="K8" s="30"/>
      <c r="L8" s="31" t="str">
        <f t="shared" si="4"/>
        <v/>
      </c>
      <c r="M8" s="31" t="str">
        <f t="shared" si="5"/>
        <v/>
      </c>
      <c r="N8" s="4"/>
    </row>
    <row r="9">
      <c r="A9" s="1"/>
      <c r="B9" s="23">
        <f t="shared" si="6"/>
        <v>44381</v>
      </c>
      <c r="C9" s="24">
        <f>IFERROR(__xludf.DUMMYFUNCTION("SUMPRODUCT((IMPORTRANGE(""17XjIPGwafStTRf_8bPPaoi2EFjHVy10_rRJ0uvy6YcU"",""M:M"")=B9)*1, IMPORTRANGE(""17XjIPGwafStTRf_8bPPaoi2EFjHVy10_rRJ0uvy6YcU"",""X:X""), IMPORTRANGE(""17XjIPGwafStTRf_8bPPaoi2EFjHVy10_rRJ0uvy6YcU"",""AK:AK"")) - SUMPRODUCT((IMPORTRA"&amp;"NGE(""17XjIPGwafStTRf_8bPPaoi2EFjHVy10_rRJ0uvy6YcU"",""M:M"")=B9)*1, IMPORTRANGE(""17XjIPGwafStTRf_8bPPaoi2EFjHVy10_rRJ0uvy6YcU"",""X:X""), IMPORTRANGE(""17XjIPGwafStTRf_8bPPaoi2EFjHVy10_rRJ0uvy6YcU"",""AL:AL""))"),0.0)</f>
        <v>0</v>
      </c>
      <c r="D9" s="24">
        <f>IFERROR(__xludf.DUMMYFUNCTION("SUMPRODUCT((IMPORTRANGE(""17XjIPGwafStTRf_8bPPaoi2EFjHVy10_rRJ0uvy6YcU"",""M:M"")=B9)*1, IMPORTRANGE(""17XjIPGwafStTRf_8bPPaoi2EFjHVy10_rRJ0uvy6YcU"",""X:X""), IMPORTRANGE(""17XjIPGwafStTRf_8bPPaoi2EFjHVy10_rRJ0uvy6YcU"",""AA:AA"")) + SUMPRODUCT((IMPORTRA"&amp;"NGE(""17XjIPGwafStTRf_8bPPaoi2EFjHVy10_rRJ0uvy6YcU"",""M:M"")=B9)*1, IMPORTRANGE(""17XjIPGwafStTRf_8bPPaoi2EFjHVy10_rRJ0uvy6YcU"",""X:X""), IMPORTRANGE(""17XjIPGwafStTRf_8bPPaoi2EFjHVy10_rRJ0uvy6YcU"",""AE:AE"")) + SUMPRODUCT((IMPORTRANGE(""17XjIPGwafStTR"&amp;"f_8bPPaoi2EFjHVy10_rRJ0uvy6YcU"",""M:M"")=B9)*1, IMPORTRANGE(""17XjIPGwafStTRf_8bPPaoi2EFjHVy10_rRJ0uvy6YcU"",""X:X""), IMPORTRANGE(""17XjIPGwafStTRf_8bPPaoi2EFjHVy10_rRJ0uvy6YcU"",""AF:AF""))"),0.0)</f>
        <v>0</v>
      </c>
      <c r="E9" s="24">
        <f>IFERROR(__xludf.DUMMYFUNCTION("SUMPRODUCT((IMPORTRANGE(""17XjIPGwafStTRf_8bPPaoi2EFjHVy10_rRJ0uvy6YcU"",""M:M"")=B9)*1, IMPORTRANGE(""17XjIPGwafStTRf_8bPPaoi2EFjHVy10_rRJ0uvy6YcU"",""X:X""), IMPORTRANGE(""17XjIPGwafStTRf_8bPPaoi2EFjHVy10_rRJ0uvy6YcU"",""AO:AO""))"),0.0)</f>
        <v>0</v>
      </c>
      <c r="F9" s="25">
        <f>IFERROR(__xludf.DUMMYFUNCTION("SUMPRODUCT((IMPORTRANGE(""17XjIPGwafStTRf_8bPPaoi2EFjHVy10_rRJ0uvy6YcU"",""M:M"")=B9)*1, IMPORTRANGE(""17XjIPGwafStTRf_8bPPaoi2EFjHVy10_rRJ0uvy6YcU"",""X:X""))"),0.0)</f>
        <v>0</v>
      </c>
      <c r="G9" s="26">
        <f>IFERROR(__xludf.DUMMYFUNCTION("COUNTIF(IMPORTRANGE(""17XjIPGwafStTRf_8bPPaoi2EFjHVy10_rRJ0uvy6YcU"",""M:M""), B9)"),0.0)</f>
        <v>0</v>
      </c>
      <c r="H9" s="27" t="str">
        <f t="shared" si="1"/>
        <v/>
      </c>
      <c r="I9" s="28" t="str">
        <f t="shared" si="2"/>
        <v/>
      </c>
      <c r="J9" s="29" t="str">
        <f t="shared" si="3"/>
        <v/>
      </c>
      <c r="K9" s="32"/>
      <c r="L9" s="31" t="str">
        <f t="shared" si="4"/>
        <v/>
      </c>
      <c r="M9" s="31" t="str">
        <f t="shared" si="5"/>
        <v/>
      </c>
      <c r="N9" s="4"/>
    </row>
    <row r="10">
      <c r="A10" s="1"/>
      <c r="B10" s="23">
        <f t="shared" si="6"/>
        <v>44382</v>
      </c>
      <c r="C10" s="24">
        <f>IFERROR(__xludf.DUMMYFUNCTION("SUMPRODUCT((IMPORTRANGE(""17XjIPGwafStTRf_8bPPaoi2EFjHVy10_rRJ0uvy6YcU"",""M:M"")=B10)*1, IMPORTRANGE(""17XjIPGwafStTRf_8bPPaoi2EFjHVy10_rRJ0uvy6YcU"",""X:X""), IMPORTRANGE(""17XjIPGwafStTRf_8bPPaoi2EFjHVy10_rRJ0uvy6YcU"",""AK:AK"")) - SUMPRODUCT((IMPORTR"&amp;"ANGE(""17XjIPGwafStTRf_8bPPaoi2EFjHVy10_rRJ0uvy6YcU"",""M:M"")=B10)*1, IMPORTRANGE(""17XjIPGwafStTRf_8bPPaoi2EFjHVy10_rRJ0uvy6YcU"",""X:X""), IMPORTRANGE(""17XjIPGwafStTRf_8bPPaoi2EFjHVy10_rRJ0uvy6YcU"",""AL:AL""))"),412716.0)</f>
        <v>412716</v>
      </c>
      <c r="D10" s="24">
        <f>IFERROR(__xludf.DUMMYFUNCTION("SUMPRODUCT((IMPORTRANGE(""17XjIPGwafStTRf_8bPPaoi2EFjHVy10_rRJ0uvy6YcU"",""M:M"")=B10)*1, IMPORTRANGE(""17XjIPGwafStTRf_8bPPaoi2EFjHVy10_rRJ0uvy6YcU"",""X:X""), IMPORTRANGE(""17XjIPGwafStTRf_8bPPaoi2EFjHVy10_rRJ0uvy6YcU"",""AA:AA"")) + SUMPRODUCT((IMPORTR"&amp;"ANGE(""17XjIPGwafStTRf_8bPPaoi2EFjHVy10_rRJ0uvy6YcU"",""M:M"")=B10)*1, IMPORTRANGE(""17XjIPGwafStTRf_8bPPaoi2EFjHVy10_rRJ0uvy6YcU"",""X:X""), IMPORTRANGE(""17XjIPGwafStTRf_8bPPaoi2EFjHVy10_rRJ0uvy6YcU"",""AE:AE"")) + SUMPRODUCT((IMPORTRANGE(""17XjIPGwafSt"&amp;"TRf_8bPPaoi2EFjHVy10_rRJ0uvy6YcU"",""M:M"")=B10)*1, IMPORTRANGE(""17XjIPGwafStTRf_8bPPaoi2EFjHVy10_rRJ0uvy6YcU"",""X:X""), IMPORTRANGE(""17XjIPGwafStTRf_8bPPaoi2EFjHVy10_rRJ0uvy6YcU"",""AF:AF""))"),162530.06789218145)</f>
        <v>162530.0679</v>
      </c>
      <c r="E10" s="24">
        <f>IFERROR(__xludf.DUMMYFUNCTION("SUMPRODUCT((IMPORTRANGE(""17XjIPGwafStTRf_8bPPaoi2EFjHVy10_rRJ0uvy6YcU"",""M:M"")=B10)*1, IMPORTRANGE(""17XjIPGwafStTRf_8bPPaoi2EFjHVy10_rRJ0uvy6YcU"",""X:X""), IMPORTRANGE(""17XjIPGwafStTRf_8bPPaoi2EFjHVy10_rRJ0uvy6YcU"",""AO:AO""))"),163466.5963631456)</f>
        <v>163466.5964</v>
      </c>
      <c r="F10" s="25">
        <f>IFERROR(__xludf.DUMMYFUNCTION("SUMPRODUCT((IMPORTRANGE(""17XjIPGwafStTRf_8bPPaoi2EFjHVy10_rRJ0uvy6YcU"",""M:M"")=B10)*1, IMPORTRANGE(""17XjIPGwafStTRf_8bPPaoi2EFjHVy10_rRJ0uvy6YcU"",""X:X""))"),87.0)</f>
        <v>87</v>
      </c>
      <c r="G10" s="26">
        <f>IFERROR(__xludf.DUMMYFUNCTION("COUNTIF(IMPORTRANGE(""17XjIPGwafStTRf_8bPPaoi2EFjHVy10_rRJ0uvy6YcU"",""M:M""), B10)"),21.0)</f>
        <v>21</v>
      </c>
      <c r="H10" s="27">
        <f t="shared" si="1"/>
        <v>4.142857143</v>
      </c>
      <c r="I10" s="28">
        <f t="shared" si="2"/>
        <v>0.3960752584</v>
      </c>
      <c r="J10" s="29">
        <f t="shared" si="3"/>
        <v>1.005762186</v>
      </c>
      <c r="K10" s="32"/>
      <c r="L10" s="31" t="str">
        <f t="shared" si="4"/>
        <v/>
      </c>
      <c r="M10" s="31" t="str">
        <f t="shared" si="5"/>
        <v/>
      </c>
      <c r="N10" s="4"/>
    </row>
    <row r="11">
      <c r="A11" s="1"/>
      <c r="B11" s="23">
        <f t="shared" si="6"/>
        <v>44383</v>
      </c>
      <c r="C11" s="24">
        <f>IFERROR(__xludf.DUMMYFUNCTION("SUMPRODUCT((IMPORTRANGE(""17XjIPGwafStTRf_8bPPaoi2EFjHVy10_rRJ0uvy6YcU"",""M:M"")=B11)*1, IMPORTRANGE(""17XjIPGwafStTRf_8bPPaoi2EFjHVy10_rRJ0uvy6YcU"",""X:X""), IMPORTRANGE(""17XjIPGwafStTRf_8bPPaoi2EFjHVy10_rRJ0uvy6YcU"",""AK:AK"")) - SUMPRODUCT((IMPORTR"&amp;"ANGE(""17XjIPGwafStTRf_8bPPaoi2EFjHVy10_rRJ0uvy6YcU"",""M:M"")=B11)*1, IMPORTRANGE(""17XjIPGwafStTRf_8bPPaoi2EFjHVy10_rRJ0uvy6YcU"",""X:X""), IMPORTRANGE(""17XjIPGwafStTRf_8bPPaoi2EFjHVy10_rRJ0uvy6YcU"",""AL:AL""))"),355922.0)</f>
        <v>355922</v>
      </c>
      <c r="D11" s="24">
        <f>IFERROR(__xludf.DUMMYFUNCTION("SUMPRODUCT((IMPORTRANGE(""17XjIPGwafStTRf_8bPPaoi2EFjHVy10_rRJ0uvy6YcU"",""M:M"")=B11)*1, IMPORTRANGE(""17XjIPGwafStTRf_8bPPaoi2EFjHVy10_rRJ0uvy6YcU"",""X:X""), IMPORTRANGE(""17XjIPGwafStTRf_8bPPaoi2EFjHVy10_rRJ0uvy6YcU"",""AA:AA"")) + SUMPRODUCT((IMPORTR"&amp;"ANGE(""17XjIPGwafStTRf_8bPPaoi2EFjHVy10_rRJ0uvy6YcU"",""M:M"")=B11)*1, IMPORTRANGE(""17XjIPGwafStTRf_8bPPaoi2EFjHVy10_rRJ0uvy6YcU"",""X:X""), IMPORTRANGE(""17XjIPGwafStTRf_8bPPaoi2EFjHVy10_rRJ0uvy6YcU"",""AE:AE"")) + SUMPRODUCT((IMPORTRANGE(""17XjIPGwafSt"&amp;"TRf_8bPPaoi2EFjHVy10_rRJ0uvy6YcU"",""M:M"")=B11)*1, IMPORTRANGE(""17XjIPGwafStTRf_8bPPaoi2EFjHVy10_rRJ0uvy6YcU"",""X:X""), IMPORTRANGE(""17XjIPGwafStTRf_8bPPaoi2EFjHVy10_rRJ0uvy6YcU"",""AF:AF""))"),227242.2396312448)</f>
        <v>227242.2396</v>
      </c>
      <c r="E11" s="24">
        <f>IFERROR(__xludf.DUMMYFUNCTION("SUMPRODUCT((IMPORTRANGE(""17XjIPGwafStTRf_8bPPaoi2EFjHVy10_rRJ0uvy6YcU"",""M:M"")=B11)*1, IMPORTRANGE(""17XjIPGwafStTRf_8bPPaoi2EFjHVy10_rRJ0uvy6YcU"",""X:X""), IMPORTRANGE(""17XjIPGwafStTRf_8bPPaoi2EFjHVy10_rRJ0uvy6YcU"",""AO:AO""))"),62111.28495915472)</f>
        <v>62111.28496</v>
      </c>
      <c r="F11" s="25">
        <f>IFERROR(__xludf.DUMMYFUNCTION("SUMPRODUCT((IMPORTRANGE(""17XjIPGwafStTRf_8bPPaoi2EFjHVy10_rRJ0uvy6YcU"",""M:M"")=B11)*1, IMPORTRANGE(""17XjIPGwafStTRf_8bPPaoi2EFjHVy10_rRJ0uvy6YcU"",""X:X""))"),55.0)</f>
        <v>55</v>
      </c>
      <c r="G11" s="26">
        <f>IFERROR(__xludf.DUMMYFUNCTION("COUNTIF(IMPORTRANGE(""17XjIPGwafStTRf_8bPPaoi2EFjHVy10_rRJ0uvy6YcU"",""M:M""), B11)"),29.0)</f>
        <v>29</v>
      </c>
      <c r="H11" s="27">
        <f t="shared" si="1"/>
        <v>1.896551724</v>
      </c>
      <c r="I11" s="28">
        <f t="shared" si="2"/>
        <v>0.1745081365</v>
      </c>
      <c r="J11" s="29">
        <f t="shared" si="3"/>
        <v>0.2733263193</v>
      </c>
      <c r="K11" s="30"/>
      <c r="L11" s="31" t="str">
        <f t="shared" si="4"/>
        <v/>
      </c>
      <c r="M11" s="31" t="str">
        <f t="shared" si="5"/>
        <v/>
      </c>
      <c r="N11" s="4"/>
    </row>
    <row r="12">
      <c r="A12" s="1"/>
      <c r="B12" s="23">
        <f t="shared" si="6"/>
        <v>44384</v>
      </c>
      <c r="C12" s="24">
        <f>IFERROR(__xludf.DUMMYFUNCTION("SUMPRODUCT((IMPORTRANGE(""17XjIPGwafStTRf_8bPPaoi2EFjHVy10_rRJ0uvy6YcU"",""M:M"")=B12)*1, IMPORTRANGE(""17XjIPGwafStTRf_8bPPaoi2EFjHVy10_rRJ0uvy6YcU"",""X:X""), IMPORTRANGE(""17XjIPGwafStTRf_8bPPaoi2EFjHVy10_rRJ0uvy6YcU"",""AK:AK"")) - SUMPRODUCT((IMPORTR"&amp;"ANGE(""17XjIPGwafStTRf_8bPPaoi2EFjHVy10_rRJ0uvy6YcU"",""M:M"")=B12)*1, IMPORTRANGE(""17XjIPGwafStTRf_8bPPaoi2EFjHVy10_rRJ0uvy6YcU"",""X:X""), IMPORTRANGE(""17XjIPGwafStTRf_8bPPaoi2EFjHVy10_rRJ0uvy6YcU"",""AL:AL""))"),96650.0)</f>
        <v>96650</v>
      </c>
      <c r="D12" s="24">
        <f>IFERROR(__xludf.DUMMYFUNCTION("SUMPRODUCT((IMPORTRANGE(""17XjIPGwafStTRf_8bPPaoi2EFjHVy10_rRJ0uvy6YcU"",""M:M"")=B12)*1, IMPORTRANGE(""17XjIPGwafStTRf_8bPPaoi2EFjHVy10_rRJ0uvy6YcU"",""X:X""), IMPORTRANGE(""17XjIPGwafStTRf_8bPPaoi2EFjHVy10_rRJ0uvy6YcU"",""AA:AA"")) + SUMPRODUCT((IMPORTR"&amp;"ANGE(""17XjIPGwafStTRf_8bPPaoi2EFjHVy10_rRJ0uvy6YcU"",""M:M"")=B12)*1, IMPORTRANGE(""17XjIPGwafStTRf_8bPPaoi2EFjHVy10_rRJ0uvy6YcU"",""X:X""), IMPORTRANGE(""17XjIPGwafStTRf_8bPPaoi2EFjHVy10_rRJ0uvy6YcU"",""AE:AE"")) + SUMPRODUCT((IMPORTRANGE(""17XjIPGwafSt"&amp;"TRf_8bPPaoi2EFjHVy10_rRJ0uvy6YcU"",""M:M"")=B12)*1, IMPORTRANGE(""17XjIPGwafStTRf_8bPPaoi2EFjHVy10_rRJ0uvy6YcU"",""X:X""), IMPORTRANGE(""17XjIPGwafStTRf_8bPPaoi2EFjHVy10_rRJ0uvy6YcU"",""AF:AF""))"),53818.11205992603)</f>
        <v>53818.11206</v>
      </c>
      <c r="E12" s="24">
        <f>IFERROR(__xludf.DUMMYFUNCTION("SUMPRODUCT((IMPORTRANGE(""17XjIPGwafStTRf_8bPPaoi2EFjHVy10_rRJ0uvy6YcU"",""M:M"")=B12)*1, IMPORTRANGE(""17XjIPGwafStTRf_8bPPaoi2EFjHVy10_rRJ0uvy6YcU"",""X:X""), IMPORTRANGE(""17XjIPGwafStTRf_8bPPaoi2EFjHVy10_rRJ0uvy6YcU"",""AO:AO""))"),23402.491845947276)</f>
        <v>23402.49185</v>
      </c>
      <c r="F12" s="25">
        <f>IFERROR(__xludf.DUMMYFUNCTION("SUMPRODUCT((IMPORTRANGE(""17XjIPGwafStTRf_8bPPaoi2EFjHVy10_rRJ0uvy6YcU"",""M:M"")=B12)*1, IMPORTRANGE(""17XjIPGwafStTRf_8bPPaoi2EFjHVy10_rRJ0uvy6YcU"",""X:X""))"),17.0)</f>
        <v>17</v>
      </c>
      <c r="G12" s="26">
        <f>IFERROR(__xludf.DUMMYFUNCTION("COUNTIF(IMPORTRANGE(""17XjIPGwafStTRf_8bPPaoi2EFjHVy10_rRJ0uvy6YcU"",""M:M""), B12)"),13.0)</f>
        <v>13</v>
      </c>
      <c r="H12" s="27">
        <f t="shared" si="1"/>
        <v>1.307692308</v>
      </c>
      <c r="I12" s="28">
        <f t="shared" si="2"/>
        <v>0.2421364909</v>
      </c>
      <c r="J12" s="29">
        <f t="shared" si="3"/>
        <v>0.4348441621</v>
      </c>
      <c r="K12" s="32"/>
      <c r="L12" s="31" t="str">
        <f t="shared" si="4"/>
        <v/>
      </c>
      <c r="M12" s="31" t="str">
        <f t="shared" si="5"/>
        <v/>
      </c>
      <c r="N12" s="4"/>
    </row>
    <row r="13">
      <c r="A13" s="1"/>
      <c r="B13" s="23">
        <f t="shared" si="6"/>
        <v>44385</v>
      </c>
      <c r="C13" s="24">
        <f>IFERROR(__xludf.DUMMYFUNCTION("SUMPRODUCT((IMPORTRANGE(""17XjIPGwafStTRf_8bPPaoi2EFjHVy10_rRJ0uvy6YcU"",""M:M"")=B13)*1, IMPORTRANGE(""17XjIPGwafStTRf_8bPPaoi2EFjHVy10_rRJ0uvy6YcU"",""X:X""), IMPORTRANGE(""17XjIPGwafStTRf_8bPPaoi2EFjHVy10_rRJ0uvy6YcU"",""AK:AK"")) - SUMPRODUCT((IMPORTR"&amp;"ANGE(""17XjIPGwafStTRf_8bPPaoi2EFjHVy10_rRJ0uvy6YcU"",""M:M"")=B13)*1, IMPORTRANGE(""17XjIPGwafStTRf_8bPPaoi2EFjHVy10_rRJ0uvy6YcU"",""X:X""), IMPORTRANGE(""17XjIPGwafStTRf_8bPPaoi2EFjHVy10_rRJ0uvy6YcU"",""AL:AL""))"),147154.0)</f>
        <v>147154</v>
      </c>
      <c r="D13" s="24">
        <f>IFERROR(__xludf.DUMMYFUNCTION("SUMPRODUCT((IMPORTRANGE(""17XjIPGwafStTRf_8bPPaoi2EFjHVy10_rRJ0uvy6YcU"",""M:M"")=B13)*1, IMPORTRANGE(""17XjIPGwafStTRf_8bPPaoi2EFjHVy10_rRJ0uvy6YcU"",""X:X""), IMPORTRANGE(""17XjIPGwafStTRf_8bPPaoi2EFjHVy10_rRJ0uvy6YcU"",""AA:AA"")) + SUMPRODUCT((IMPORTR"&amp;"ANGE(""17XjIPGwafStTRf_8bPPaoi2EFjHVy10_rRJ0uvy6YcU"",""M:M"")=B13)*1, IMPORTRANGE(""17XjIPGwafStTRf_8bPPaoi2EFjHVy10_rRJ0uvy6YcU"",""X:X""), IMPORTRANGE(""17XjIPGwafStTRf_8bPPaoi2EFjHVy10_rRJ0uvy6YcU"",""AE:AE"")) + SUMPRODUCT((IMPORTRANGE(""17XjIPGwafSt"&amp;"TRf_8bPPaoi2EFjHVy10_rRJ0uvy6YcU"",""M:M"")=B13)*1, IMPORTRANGE(""17XjIPGwafStTRf_8bPPaoi2EFjHVy10_rRJ0uvy6YcU"",""X:X""), IMPORTRANGE(""17XjIPGwafStTRf_8bPPaoi2EFjHVy10_rRJ0uvy6YcU"",""AF:AF""))"),100814.23251543174)</f>
        <v>100814.2325</v>
      </c>
      <c r="E13" s="24">
        <f>IFERROR(__xludf.DUMMYFUNCTION("SUMPRODUCT((IMPORTRANGE(""17XjIPGwafStTRf_8bPPaoi2EFjHVy10_rRJ0uvy6YcU"",""M:M"")=B13)*1, IMPORTRANGE(""17XjIPGwafStTRf_8bPPaoi2EFjHVy10_rRJ0uvy6YcU"",""X:X""), IMPORTRANGE(""17XjIPGwafStTRf_8bPPaoi2EFjHVy10_rRJ0uvy6YcU"",""AO:AO""))"),13076.942209842977)</f>
        <v>13076.94221</v>
      </c>
      <c r="F13" s="25">
        <f>IFERROR(__xludf.DUMMYFUNCTION("SUMPRODUCT((IMPORTRANGE(""17XjIPGwafStTRf_8bPPaoi2EFjHVy10_rRJ0uvy6YcU"",""M:M"")=B13)*1, IMPORTRANGE(""17XjIPGwafStTRf_8bPPaoi2EFjHVy10_rRJ0uvy6YcU"",""X:X""))"),39.0)</f>
        <v>39</v>
      </c>
      <c r="G13" s="26">
        <f>IFERROR(__xludf.DUMMYFUNCTION("COUNTIF(IMPORTRANGE(""17XjIPGwafStTRf_8bPPaoi2EFjHVy10_rRJ0uvy6YcU"",""M:M""), B13)"),17.0)</f>
        <v>17</v>
      </c>
      <c r="H13" s="27">
        <f t="shared" si="1"/>
        <v>2.294117647</v>
      </c>
      <c r="I13" s="28">
        <f t="shared" si="2"/>
        <v>0.08886569315</v>
      </c>
      <c r="J13" s="29">
        <f t="shared" si="3"/>
        <v>0.1297132546</v>
      </c>
      <c r="K13" s="32"/>
      <c r="L13" s="31" t="str">
        <f t="shared" si="4"/>
        <v/>
      </c>
      <c r="M13" s="31" t="str">
        <f t="shared" si="5"/>
        <v/>
      </c>
      <c r="N13" s="4"/>
    </row>
    <row r="14">
      <c r="A14" s="1"/>
      <c r="B14" s="23">
        <f t="shared" si="6"/>
        <v>44386</v>
      </c>
      <c r="C14" s="24">
        <f>IFERROR(__xludf.DUMMYFUNCTION("SUMPRODUCT((IMPORTRANGE(""17XjIPGwafStTRf_8bPPaoi2EFjHVy10_rRJ0uvy6YcU"",""M:M"")=B14)*1, IMPORTRANGE(""17XjIPGwafStTRf_8bPPaoi2EFjHVy10_rRJ0uvy6YcU"",""X:X""), IMPORTRANGE(""17XjIPGwafStTRf_8bPPaoi2EFjHVy10_rRJ0uvy6YcU"",""AK:AK"")) - SUMPRODUCT((IMPORTR"&amp;"ANGE(""17XjIPGwafStTRf_8bPPaoi2EFjHVy10_rRJ0uvy6YcU"",""M:M"")=B14)*1, IMPORTRANGE(""17XjIPGwafStTRf_8bPPaoi2EFjHVy10_rRJ0uvy6YcU"",""X:X""), IMPORTRANGE(""17XjIPGwafStTRf_8bPPaoi2EFjHVy10_rRJ0uvy6YcU"",""AL:AL""))"),239125.0)</f>
        <v>239125</v>
      </c>
      <c r="D14" s="24">
        <f>IFERROR(__xludf.DUMMYFUNCTION("SUMPRODUCT((IMPORTRANGE(""17XjIPGwafStTRf_8bPPaoi2EFjHVy10_rRJ0uvy6YcU"",""M:M"")=B14)*1, IMPORTRANGE(""17XjIPGwafStTRf_8bPPaoi2EFjHVy10_rRJ0uvy6YcU"",""X:X""), IMPORTRANGE(""17XjIPGwafStTRf_8bPPaoi2EFjHVy10_rRJ0uvy6YcU"",""AA:AA"")) + SUMPRODUCT((IMPORTR"&amp;"ANGE(""17XjIPGwafStTRf_8bPPaoi2EFjHVy10_rRJ0uvy6YcU"",""M:M"")=B14)*1, IMPORTRANGE(""17XjIPGwafStTRf_8bPPaoi2EFjHVy10_rRJ0uvy6YcU"",""X:X""), IMPORTRANGE(""17XjIPGwafStTRf_8bPPaoi2EFjHVy10_rRJ0uvy6YcU"",""AE:AE"")) + SUMPRODUCT((IMPORTRANGE(""17XjIPGwafSt"&amp;"TRf_8bPPaoi2EFjHVy10_rRJ0uvy6YcU"",""M:M"")=B14)*1, IMPORTRANGE(""17XjIPGwafStTRf_8bPPaoi2EFjHVy10_rRJ0uvy6YcU"",""X:X""), IMPORTRANGE(""17XjIPGwafStTRf_8bPPaoi2EFjHVy10_rRJ0uvy6YcU"",""AF:AF""))"),150154.8435308879)</f>
        <v>150154.8435</v>
      </c>
      <c r="E14" s="24">
        <f>IFERROR(__xludf.DUMMYFUNCTION("SUMPRODUCT((IMPORTRANGE(""17XjIPGwafStTRf_8bPPaoi2EFjHVy10_rRJ0uvy6YcU"",""M:M"")=B14)*1, IMPORTRANGE(""17XjIPGwafStTRf_8bPPaoi2EFjHVy10_rRJ0uvy6YcU"",""X:X""), IMPORTRANGE(""17XjIPGwafStTRf_8bPPaoi2EFjHVy10_rRJ0uvy6YcU"",""AO:AO""))"),53706.9792482596)</f>
        <v>53706.97925</v>
      </c>
      <c r="F14" s="25">
        <f>IFERROR(__xludf.DUMMYFUNCTION("SUMPRODUCT((IMPORTRANGE(""17XjIPGwafStTRf_8bPPaoi2EFjHVy10_rRJ0uvy6YcU"",""M:M"")=B14)*1, IMPORTRANGE(""17XjIPGwafStTRf_8bPPaoi2EFjHVy10_rRJ0uvy6YcU"",""X:X""))"),40.0)</f>
        <v>40</v>
      </c>
      <c r="G14" s="26">
        <f>IFERROR(__xludf.DUMMYFUNCTION("COUNTIF(IMPORTRANGE(""17XjIPGwafStTRf_8bPPaoi2EFjHVy10_rRJ0uvy6YcU"",""M:M""), B14)"),24.0)</f>
        <v>24</v>
      </c>
      <c r="H14" s="27">
        <f t="shared" si="1"/>
        <v>1.666666667</v>
      </c>
      <c r="I14" s="28">
        <f t="shared" si="2"/>
        <v>0.2245979268</v>
      </c>
      <c r="J14" s="29">
        <f t="shared" si="3"/>
        <v>0.3576773015</v>
      </c>
      <c r="K14" s="32"/>
      <c r="L14" s="31" t="str">
        <f t="shared" si="4"/>
        <v/>
      </c>
      <c r="M14" s="31" t="str">
        <f t="shared" si="5"/>
        <v/>
      </c>
      <c r="N14" s="4"/>
    </row>
    <row r="15">
      <c r="A15" s="1"/>
      <c r="B15" s="23">
        <f t="shared" si="6"/>
        <v>44387</v>
      </c>
      <c r="C15" s="24">
        <f>IFERROR(__xludf.DUMMYFUNCTION("SUMPRODUCT((IMPORTRANGE(""17XjIPGwafStTRf_8bPPaoi2EFjHVy10_rRJ0uvy6YcU"",""M:M"")=B15)*1, IMPORTRANGE(""17XjIPGwafStTRf_8bPPaoi2EFjHVy10_rRJ0uvy6YcU"",""X:X""), IMPORTRANGE(""17XjIPGwafStTRf_8bPPaoi2EFjHVy10_rRJ0uvy6YcU"",""AK:AK"")) - SUMPRODUCT((IMPORTR"&amp;"ANGE(""17XjIPGwafStTRf_8bPPaoi2EFjHVy10_rRJ0uvy6YcU"",""M:M"")=B15)*1, IMPORTRANGE(""17XjIPGwafStTRf_8bPPaoi2EFjHVy10_rRJ0uvy6YcU"",""X:X""), IMPORTRANGE(""17XjIPGwafStTRf_8bPPaoi2EFjHVy10_rRJ0uvy6YcU"",""AL:AL""))"),234331.0)</f>
        <v>234331</v>
      </c>
      <c r="D15" s="24">
        <f>IFERROR(__xludf.DUMMYFUNCTION("SUMPRODUCT((IMPORTRANGE(""17XjIPGwafStTRf_8bPPaoi2EFjHVy10_rRJ0uvy6YcU"",""M:M"")=B15)*1, IMPORTRANGE(""17XjIPGwafStTRf_8bPPaoi2EFjHVy10_rRJ0uvy6YcU"",""X:X""), IMPORTRANGE(""17XjIPGwafStTRf_8bPPaoi2EFjHVy10_rRJ0uvy6YcU"",""AA:AA"")) + SUMPRODUCT((IMPORTR"&amp;"ANGE(""17XjIPGwafStTRf_8bPPaoi2EFjHVy10_rRJ0uvy6YcU"",""M:M"")=B15)*1, IMPORTRANGE(""17XjIPGwafStTRf_8bPPaoi2EFjHVy10_rRJ0uvy6YcU"",""X:X""), IMPORTRANGE(""17XjIPGwafStTRf_8bPPaoi2EFjHVy10_rRJ0uvy6YcU"",""AE:AE"")) + SUMPRODUCT((IMPORTRANGE(""17XjIPGwafSt"&amp;"TRf_8bPPaoi2EFjHVy10_rRJ0uvy6YcU"",""M:M"")=B15)*1, IMPORTRANGE(""17XjIPGwafStTRf_8bPPaoi2EFjHVy10_rRJ0uvy6YcU"",""X:X""), IMPORTRANGE(""17XjIPGwafStTRf_8bPPaoi2EFjHVy10_rRJ0uvy6YcU"",""AF:AF""))"),168010.1388625263)</f>
        <v>168010.1389</v>
      </c>
      <c r="E15" s="24">
        <f>IFERROR(__xludf.DUMMYFUNCTION("SUMPRODUCT((IMPORTRANGE(""17XjIPGwafStTRf_8bPPaoi2EFjHVy10_rRJ0uvy6YcU"",""M:M"")=B15)*1, IMPORTRANGE(""17XjIPGwafStTRf_8bPPaoi2EFjHVy10_rRJ0uvy6YcU"",""X:X""), IMPORTRANGE(""17XjIPGwafStTRf_8bPPaoi2EFjHVy10_rRJ0uvy6YcU"",""AO:AO""))"),29761.81212641408)</f>
        <v>29761.81213</v>
      </c>
      <c r="F15" s="25">
        <f>IFERROR(__xludf.DUMMYFUNCTION("SUMPRODUCT((IMPORTRANGE(""17XjIPGwafStTRf_8bPPaoi2EFjHVy10_rRJ0uvy6YcU"",""M:M"")=B15)*1, IMPORTRANGE(""17XjIPGwafStTRf_8bPPaoi2EFjHVy10_rRJ0uvy6YcU"",""X:X""))"),36.0)</f>
        <v>36</v>
      </c>
      <c r="G15" s="26">
        <f>IFERROR(__xludf.DUMMYFUNCTION("COUNTIF(IMPORTRANGE(""17XjIPGwafStTRf_8bPPaoi2EFjHVy10_rRJ0uvy6YcU"",""M:M""), B15)"),24.0)</f>
        <v>24</v>
      </c>
      <c r="H15" s="27">
        <f t="shared" si="1"/>
        <v>1.5</v>
      </c>
      <c r="I15" s="28">
        <f t="shared" si="2"/>
        <v>0.1270075753</v>
      </c>
      <c r="J15" s="29">
        <f t="shared" si="3"/>
        <v>0.177142953</v>
      </c>
      <c r="K15" s="30"/>
      <c r="L15" s="31" t="str">
        <f t="shared" si="4"/>
        <v/>
      </c>
      <c r="M15" s="31" t="str">
        <f t="shared" si="5"/>
        <v/>
      </c>
      <c r="N15" s="4"/>
    </row>
    <row r="16">
      <c r="A16" s="1"/>
      <c r="B16" s="23">
        <f t="shared" si="6"/>
        <v>44388</v>
      </c>
      <c r="C16" s="24">
        <f>IFERROR(__xludf.DUMMYFUNCTION("SUMPRODUCT((IMPORTRANGE(""17XjIPGwafStTRf_8bPPaoi2EFjHVy10_rRJ0uvy6YcU"",""M:M"")=B16)*1, IMPORTRANGE(""17XjIPGwafStTRf_8bPPaoi2EFjHVy10_rRJ0uvy6YcU"",""X:X""), IMPORTRANGE(""17XjIPGwafStTRf_8bPPaoi2EFjHVy10_rRJ0uvy6YcU"",""AK:AK"")) - SUMPRODUCT((IMPORTR"&amp;"ANGE(""17XjIPGwafStTRf_8bPPaoi2EFjHVy10_rRJ0uvy6YcU"",""M:M"")=B16)*1, IMPORTRANGE(""17XjIPGwafStTRf_8bPPaoi2EFjHVy10_rRJ0uvy6YcU"",""X:X""), IMPORTRANGE(""17XjIPGwafStTRf_8bPPaoi2EFjHVy10_rRJ0uvy6YcU"",""AL:AL""))"),73074.0)</f>
        <v>73074</v>
      </c>
      <c r="D16" s="24">
        <f>IFERROR(__xludf.DUMMYFUNCTION("SUMPRODUCT((IMPORTRANGE(""17XjIPGwafStTRf_8bPPaoi2EFjHVy10_rRJ0uvy6YcU"",""M:M"")=B16)*1, IMPORTRANGE(""17XjIPGwafStTRf_8bPPaoi2EFjHVy10_rRJ0uvy6YcU"",""X:X""), IMPORTRANGE(""17XjIPGwafStTRf_8bPPaoi2EFjHVy10_rRJ0uvy6YcU"",""AA:AA"")) + SUMPRODUCT((IMPORTR"&amp;"ANGE(""17XjIPGwafStTRf_8bPPaoi2EFjHVy10_rRJ0uvy6YcU"",""M:M"")=B16)*1, IMPORTRANGE(""17XjIPGwafStTRf_8bPPaoi2EFjHVy10_rRJ0uvy6YcU"",""X:X""), IMPORTRANGE(""17XjIPGwafStTRf_8bPPaoi2EFjHVy10_rRJ0uvy6YcU"",""AE:AE"")) + SUMPRODUCT((IMPORTRANGE(""17XjIPGwafSt"&amp;"TRf_8bPPaoi2EFjHVy10_rRJ0uvy6YcU"",""M:M"")=B16)*1, IMPORTRANGE(""17XjIPGwafStTRf_8bPPaoi2EFjHVy10_rRJ0uvy6YcU"",""X:X""), IMPORTRANGE(""17XjIPGwafStTRf_8bPPaoi2EFjHVy10_rRJ0uvy6YcU"",""AF:AF""))"),48419.700632404754)</f>
        <v>48419.70063</v>
      </c>
      <c r="E16" s="24">
        <f>IFERROR(__xludf.DUMMYFUNCTION("SUMPRODUCT((IMPORTRANGE(""17XjIPGwafStTRf_8bPPaoi2EFjHVy10_rRJ0uvy6YcU"",""M:M"")=B16)*1, IMPORTRANGE(""17XjIPGwafStTRf_8bPPaoi2EFjHVy10_rRJ0uvy6YcU"",""X:X""), IMPORTRANGE(""17XjIPGwafStTRf_8bPPaoi2EFjHVy10_rRJ0uvy6YcU"",""AO:AO""))"),5213.845589665867)</f>
        <v>5213.84559</v>
      </c>
      <c r="F16" s="25">
        <f>IFERROR(__xludf.DUMMYFUNCTION("SUMPRODUCT((IMPORTRANGE(""17XjIPGwafStTRf_8bPPaoi2EFjHVy10_rRJ0uvy6YcU"",""M:M"")=B16)*1, IMPORTRANGE(""17XjIPGwafStTRf_8bPPaoi2EFjHVy10_rRJ0uvy6YcU"",""X:X""))"),16.0)</f>
        <v>16</v>
      </c>
      <c r="G16" s="26">
        <f>IFERROR(__xludf.DUMMYFUNCTION("COUNTIF(IMPORTRANGE(""17XjIPGwafStTRf_8bPPaoi2EFjHVy10_rRJ0uvy6YcU"",""M:M""), B16)"),11.0)</f>
        <v>11</v>
      </c>
      <c r="H16" s="27">
        <f t="shared" si="1"/>
        <v>1.454545455</v>
      </c>
      <c r="I16" s="28">
        <f t="shared" si="2"/>
        <v>0.07135021471</v>
      </c>
      <c r="J16" s="29">
        <f t="shared" si="3"/>
        <v>0.1076802525</v>
      </c>
      <c r="K16" s="32"/>
      <c r="L16" s="31" t="str">
        <f t="shared" si="4"/>
        <v/>
      </c>
      <c r="M16" s="31" t="str">
        <f t="shared" si="5"/>
        <v/>
      </c>
      <c r="N16" s="4"/>
    </row>
    <row r="17">
      <c r="A17" s="1"/>
      <c r="B17" s="23">
        <f t="shared" si="6"/>
        <v>44389</v>
      </c>
      <c r="C17" s="24">
        <f>IFERROR(__xludf.DUMMYFUNCTION("SUMPRODUCT((IMPORTRANGE(""17XjIPGwafStTRf_8bPPaoi2EFjHVy10_rRJ0uvy6YcU"",""M:M"")=B17)*1, IMPORTRANGE(""17XjIPGwafStTRf_8bPPaoi2EFjHVy10_rRJ0uvy6YcU"",""X:X""), IMPORTRANGE(""17XjIPGwafStTRf_8bPPaoi2EFjHVy10_rRJ0uvy6YcU"",""AK:AK"")) - SUMPRODUCT((IMPORTR"&amp;"ANGE(""17XjIPGwafStTRf_8bPPaoi2EFjHVy10_rRJ0uvy6YcU"",""M:M"")=B17)*1, IMPORTRANGE(""17XjIPGwafStTRf_8bPPaoi2EFjHVy10_rRJ0uvy6YcU"",""X:X""), IMPORTRANGE(""17XjIPGwafStTRf_8bPPaoi2EFjHVy10_rRJ0uvy6YcU"",""AL:AL""))"),295123.0)</f>
        <v>295123</v>
      </c>
      <c r="D17" s="24">
        <f>IFERROR(__xludf.DUMMYFUNCTION("SUMPRODUCT((IMPORTRANGE(""17XjIPGwafStTRf_8bPPaoi2EFjHVy10_rRJ0uvy6YcU"",""M:M"")=B17)*1, IMPORTRANGE(""17XjIPGwafStTRf_8bPPaoi2EFjHVy10_rRJ0uvy6YcU"",""X:X""), IMPORTRANGE(""17XjIPGwafStTRf_8bPPaoi2EFjHVy10_rRJ0uvy6YcU"",""AA:AA"")) + SUMPRODUCT((IMPORTR"&amp;"ANGE(""17XjIPGwafStTRf_8bPPaoi2EFjHVy10_rRJ0uvy6YcU"",""M:M"")=B17)*1, IMPORTRANGE(""17XjIPGwafStTRf_8bPPaoi2EFjHVy10_rRJ0uvy6YcU"",""X:X""), IMPORTRANGE(""17XjIPGwafStTRf_8bPPaoi2EFjHVy10_rRJ0uvy6YcU"",""AE:AE"")) + SUMPRODUCT((IMPORTRANGE(""17XjIPGwafSt"&amp;"TRf_8bPPaoi2EFjHVy10_rRJ0uvy6YcU"",""M:M"")=B17)*1, IMPORTRANGE(""17XjIPGwafStTRf_8bPPaoi2EFjHVy10_rRJ0uvy6YcU"",""X:X""), IMPORTRANGE(""17XjIPGwafStTRf_8bPPaoi2EFjHVy10_rRJ0uvy6YcU"",""AF:AF""))"),202282.39399234095)</f>
        <v>202282.394</v>
      </c>
      <c r="E17" s="24">
        <f>IFERROR(__xludf.DUMMYFUNCTION("SUMPRODUCT((IMPORTRANGE(""17XjIPGwafStTRf_8bPPaoi2EFjHVy10_rRJ0uvy6YcU"",""M:M"")=B17)*1, IMPORTRANGE(""17XjIPGwafStTRf_8bPPaoi2EFjHVy10_rRJ0uvy6YcU"",""X:X""), IMPORTRANGE(""17XjIPGwafStTRf_8bPPaoi2EFjHVy10_rRJ0uvy6YcU"",""AO:AO""))"),36326.477485075724)</f>
        <v>36326.47749</v>
      </c>
      <c r="F17" s="25">
        <f>IFERROR(__xludf.DUMMYFUNCTION("SUMPRODUCT((IMPORTRANGE(""17XjIPGwafStTRf_8bPPaoi2EFjHVy10_rRJ0uvy6YcU"",""M:M"")=B17)*1, IMPORTRANGE(""17XjIPGwafStTRf_8bPPaoi2EFjHVy10_rRJ0uvy6YcU"",""X:X""))"),46.0)</f>
        <v>46</v>
      </c>
      <c r="G17" s="26">
        <f>IFERROR(__xludf.DUMMYFUNCTION("COUNTIF(IMPORTRANGE(""17XjIPGwafStTRf_8bPPaoi2EFjHVy10_rRJ0uvy6YcU"",""M:M""), B17)"),21.0)</f>
        <v>21</v>
      </c>
      <c r="H17" s="27">
        <f t="shared" si="1"/>
        <v>2.19047619</v>
      </c>
      <c r="I17" s="28">
        <f t="shared" si="2"/>
        <v>0.1230892797</v>
      </c>
      <c r="J17" s="29">
        <f t="shared" si="3"/>
        <v>0.1795829917</v>
      </c>
      <c r="K17" s="32"/>
      <c r="L17" s="31" t="str">
        <f t="shared" si="4"/>
        <v/>
      </c>
      <c r="M17" s="31" t="str">
        <f t="shared" si="5"/>
        <v/>
      </c>
      <c r="N17" s="4"/>
    </row>
    <row r="18">
      <c r="A18" s="1"/>
      <c r="B18" s="23">
        <f t="shared" si="6"/>
        <v>44390</v>
      </c>
      <c r="C18" s="24">
        <f>IFERROR(__xludf.DUMMYFUNCTION("SUMPRODUCT((IMPORTRANGE(""17XjIPGwafStTRf_8bPPaoi2EFjHVy10_rRJ0uvy6YcU"",""M:M"")=B18)*1, IMPORTRANGE(""17XjIPGwafStTRf_8bPPaoi2EFjHVy10_rRJ0uvy6YcU"",""X:X""), IMPORTRANGE(""17XjIPGwafStTRf_8bPPaoi2EFjHVy10_rRJ0uvy6YcU"",""AK:AK"")) - SUMPRODUCT((IMPORTR"&amp;"ANGE(""17XjIPGwafStTRf_8bPPaoi2EFjHVy10_rRJ0uvy6YcU"",""M:M"")=B18)*1, IMPORTRANGE(""17XjIPGwafStTRf_8bPPaoi2EFjHVy10_rRJ0uvy6YcU"",""X:X""), IMPORTRANGE(""17XjIPGwafStTRf_8bPPaoi2EFjHVy10_rRJ0uvy6YcU"",""AL:AL""))"),0.0)</f>
        <v>0</v>
      </c>
      <c r="D18" s="24">
        <f>IFERROR(__xludf.DUMMYFUNCTION("SUMPRODUCT((IMPORTRANGE(""17XjIPGwafStTRf_8bPPaoi2EFjHVy10_rRJ0uvy6YcU"",""M:M"")=B18)*1, IMPORTRANGE(""17XjIPGwafStTRf_8bPPaoi2EFjHVy10_rRJ0uvy6YcU"",""X:X""), IMPORTRANGE(""17XjIPGwafStTRf_8bPPaoi2EFjHVy10_rRJ0uvy6YcU"",""AA:AA"")) + SUMPRODUCT((IMPORTR"&amp;"ANGE(""17XjIPGwafStTRf_8bPPaoi2EFjHVy10_rRJ0uvy6YcU"",""M:M"")=B18)*1, IMPORTRANGE(""17XjIPGwafStTRf_8bPPaoi2EFjHVy10_rRJ0uvy6YcU"",""X:X""), IMPORTRANGE(""17XjIPGwafStTRf_8bPPaoi2EFjHVy10_rRJ0uvy6YcU"",""AE:AE"")) + SUMPRODUCT((IMPORTRANGE(""17XjIPGwafSt"&amp;"TRf_8bPPaoi2EFjHVy10_rRJ0uvy6YcU"",""M:M"")=B18)*1, IMPORTRANGE(""17XjIPGwafStTRf_8bPPaoi2EFjHVy10_rRJ0uvy6YcU"",""X:X""), IMPORTRANGE(""17XjIPGwafStTRf_8bPPaoi2EFjHVy10_rRJ0uvy6YcU"",""AF:AF""))"),0.0)</f>
        <v>0</v>
      </c>
      <c r="E18" s="24">
        <f>IFERROR(__xludf.DUMMYFUNCTION("SUMPRODUCT((IMPORTRANGE(""17XjIPGwafStTRf_8bPPaoi2EFjHVy10_rRJ0uvy6YcU"",""M:M"")=B18)*1, IMPORTRANGE(""17XjIPGwafStTRf_8bPPaoi2EFjHVy10_rRJ0uvy6YcU"",""X:X""), IMPORTRANGE(""17XjIPGwafStTRf_8bPPaoi2EFjHVy10_rRJ0uvy6YcU"",""AO:AO""))"),0.0)</f>
        <v>0</v>
      </c>
      <c r="F18" s="25">
        <f>IFERROR(__xludf.DUMMYFUNCTION("SUMPRODUCT((IMPORTRANGE(""17XjIPGwafStTRf_8bPPaoi2EFjHVy10_rRJ0uvy6YcU"",""M:M"")=B18)*1, IMPORTRANGE(""17XjIPGwafStTRf_8bPPaoi2EFjHVy10_rRJ0uvy6YcU"",""X:X""))"),0.0)</f>
        <v>0</v>
      </c>
      <c r="G18" s="26">
        <f>IFERROR(__xludf.DUMMYFUNCTION("COUNTIF(IMPORTRANGE(""17XjIPGwafStTRf_8bPPaoi2EFjHVy10_rRJ0uvy6YcU"",""M:M""), B18)"),0.0)</f>
        <v>0</v>
      </c>
      <c r="H18" s="27" t="str">
        <f t="shared" si="1"/>
        <v/>
      </c>
      <c r="I18" s="28" t="str">
        <f t="shared" si="2"/>
        <v/>
      </c>
      <c r="J18" s="29" t="str">
        <f t="shared" si="3"/>
        <v/>
      </c>
      <c r="K18" s="32"/>
      <c r="L18" s="31" t="str">
        <f t="shared" si="4"/>
        <v/>
      </c>
      <c r="M18" s="31" t="str">
        <f t="shared" si="5"/>
        <v/>
      </c>
      <c r="N18" s="4"/>
    </row>
    <row r="19">
      <c r="A19" s="1"/>
      <c r="B19" s="23">
        <f t="shared" si="6"/>
        <v>44391</v>
      </c>
      <c r="C19" s="24">
        <f>IFERROR(__xludf.DUMMYFUNCTION("SUMPRODUCT((IMPORTRANGE(""17XjIPGwafStTRf_8bPPaoi2EFjHVy10_rRJ0uvy6YcU"",""M:M"")=B19)*1, IMPORTRANGE(""17XjIPGwafStTRf_8bPPaoi2EFjHVy10_rRJ0uvy6YcU"",""X:X""), IMPORTRANGE(""17XjIPGwafStTRf_8bPPaoi2EFjHVy10_rRJ0uvy6YcU"",""AK:AK"")) - SUMPRODUCT((IMPORTR"&amp;"ANGE(""17XjIPGwafStTRf_8bPPaoi2EFjHVy10_rRJ0uvy6YcU"",""M:M"")=B19)*1, IMPORTRANGE(""17XjIPGwafStTRf_8bPPaoi2EFjHVy10_rRJ0uvy6YcU"",""X:X""), IMPORTRANGE(""17XjIPGwafStTRf_8bPPaoi2EFjHVy10_rRJ0uvy6YcU"",""AL:AL""))"),319772.0)</f>
        <v>319772</v>
      </c>
      <c r="D19" s="24">
        <f>IFERROR(__xludf.DUMMYFUNCTION("SUMPRODUCT((IMPORTRANGE(""17XjIPGwafStTRf_8bPPaoi2EFjHVy10_rRJ0uvy6YcU"",""M:M"")=B19)*1, IMPORTRANGE(""17XjIPGwafStTRf_8bPPaoi2EFjHVy10_rRJ0uvy6YcU"",""X:X""), IMPORTRANGE(""17XjIPGwafStTRf_8bPPaoi2EFjHVy10_rRJ0uvy6YcU"",""AA:AA"")) + SUMPRODUCT((IMPORTR"&amp;"ANGE(""17XjIPGwafStTRf_8bPPaoi2EFjHVy10_rRJ0uvy6YcU"",""M:M"")=B19)*1, IMPORTRANGE(""17XjIPGwafStTRf_8bPPaoi2EFjHVy10_rRJ0uvy6YcU"",""X:X""), IMPORTRANGE(""17XjIPGwafStTRf_8bPPaoi2EFjHVy10_rRJ0uvy6YcU"",""AE:AE"")) + SUMPRODUCT((IMPORTRANGE(""17XjIPGwafSt"&amp;"TRf_8bPPaoi2EFjHVy10_rRJ0uvy6YcU"",""M:M"")=B19)*1, IMPORTRANGE(""17XjIPGwafStTRf_8bPPaoi2EFjHVy10_rRJ0uvy6YcU"",""X:X""), IMPORTRANGE(""17XjIPGwafStTRf_8bPPaoi2EFjHVy10_rRJ0uvy6YcU"",""AF:AF""))"),197628.62220565075)</f>
        <v>197628.6222</v>
      </c>
      <c r="E19" s="24">
        <f>IFERROR(__xludf.DUMMYFUNCTION("SUMPRODUCT((IMPORTRANGE(""17XjIPGwafStTRf_8bPPaoi2EFjHVy10_rRJ0uvy6YcU"",""M:M"")=B19)*1, IMPORTRANGE(""17XjIPGwafStTRf_8bPPaoi2EFjHVy10_rRJ0uvy6YcU"",""X:X""), IMPORTRANGE(""17XjIPGwafStTRf_8bPPaoi2EFjHVy10_rRJ0uvy6YcU"",""AO:AO""))"),67957.01690377215)</f>
        <v>67957.0169</v>
      </c>
      <c r="F19" s="25">
        <f>IFERROR(__xludf.DUMMYFUNCTION("SUMPRODUCT((IMPORTRANGE(""17XjIPGwafStTRf_8bPPaoi2EFjHVy10_rRJ0uvy6YcU"",""M:M"")=B19)*1, IMPORTRANGE(""17XjIPGwafStTRf_8bPPaoi2EFjHVy10_rRJ0uvy6YcU"",""X:X""))"),47.0)</f>
        <v>47</v>
      </c>
      <c r="G19" s="26">
        <f>IFERROR(__xludf.DUMMYFUNCTION("COUNTIF(IMPORTRANGE(""17XjIPGwafStTRf_8bPPaoi2EFjHVy10_rRJ0uvy6YcU"",""M:M""), B19)"),27.0)</f>
        <v>27</v>
      </c>
      <c r="H19" s="27">
        <f t="shared" si="1"/>
        <v>1.740740741</v>
      </c>
      <c r="I19" s="28">
        <f t="shared" si="2"/>
        <v>0.2125170963</v>
      </c>
      <c r="J19" s="29">
        <f t="shared" si="3"/>
        <v>0.3438622207</v>
      </c>
      <c r="K19" s="32"/>
      <c r="L19" s="31" t="str">
        <f t="shared" si="4"/>
        <v/>
      </c>
      <c r="M19" s="31" t="str">
        <f t="shared" si="5"/>
        <v/>
      </c>
      <c r="N19" s="4"/>
    </row>
    <row r="20">
      <c r="A20" s="1"/>
      <c r="B20" s="23">
        <f t="shared" si="6"/>
        <v>44392</v>
      </c>
      <c r="C20" s="24">
        <f>IFERROR(__xludf.DUMMYFUNCTION("SUMPRODUCT((IMPORTRANGE(""17XjIPGwafStTRf_8bPPaoi2EFjHVy10_rRJ0uvy6YcU"",""M:M"")=B20)*1, IMPORTRANGE(""17XjIPGwafStTRf_8bPPaoi2EFjHVy10_rRJ0uvy6YcU"",""X:X""), IMPORTRANGE(""17XjIPGwafStTRf_8bPPaoi2EFjHVy10_rRJ0uvy6YcU"",""AK:AK"")) - SUMPRODUCT((IMPORTR"&amp;"ANGE(""17XjIPGwafStTRf_8bPPaoi2EFjHVy10_rRJ0uvy6YcU"",""M:M"")=B20)*1, IMPORTRANGE(""17XjIPGwafStTRf_8bPPaoi2EFjHVy10_rRJ0uvy6YcU"",""X:X""), IMPORTRANGE(""17XjIPGwafStTRf_8bPPaoi2EFjHVy10_rRJ0uvy6YcU"",""AL:AL""))"),243027.0)</f>
        <v>243027</v>
      </c>
      <c r="D20" s="24">
        <f>IFERROR(__xludf.DUMMYFUNCTION("SUMPRODUCT((IMPORTRANGE(""17XjIPGwafStTRf_8bPPaoi2EFjHVy10_rRJ0uvy6YcU"",""M:M"")=B20)*1, IMPORTRANGE(""17XjIPGwafStTRf_8bPPaoi2EFjHVy10_rRJ0uvy6YcU"",""X:X""), IMPORTRANGE(""17XjIPGwafStTRf_8bPPaoi2EFjHVy10_rRJ0uvy6YcU"",""AA:AA"")) + SUMPRODUCT((IMPORTR"&amp;"ANGE(""17XjIPGwafStTRf_8bPPaoi2EFjHVy10_rRJ0uvy6YcU"",""M:M"")=B20)*1, IMPORTRANGE(""17XjIPGwafStTRf_8bPPaoi2EFjHVy10_rRJ0uvy6YcU"",""X:X""), IMPORTRANGE(""17XjIPGwafStTRf_8bPPaoi2EFjHVy10_rRJ0uvy6YcU"",""AE:AE"")) + SUMPRODUCT((IMPORTRANGE(""17XjIPGwafSt"&amp;"TRf_8bPPaoi2EFjHVy10_rRJ0uvy6YcU"",""M:M"")=B20)*1, IMPORTRANGE(""17XjIPGwafStTRf_8bPPaoi2EFjHVy10_rRJ0uvy6YcU"",""X:X""), IMPORTRANGE(""17XjIPGwafStTRf_8bPPaoi2EFjHVy10_rRJ0uvy6YcU"",""AF:AF""))"),193716.74382693678)</f>
        <v>193716.7438</v>
      </c>
      <c r="E20" s="24">
        <f>IFERROR(__xludf.DUMMYFUNCTION("SUMPRODUCT((IMPORTRANGE(""17XjIPGwafStTRf_8bPPaoi2EFjHVy10_rRJ0uvy6YcU"",""M:M"")=B20)*1, IMPORTRANGE(""17XjIPGwafStTRf_8bPPaoi2EFjHVy10_rRJ0uvy6YcU"",""X:X""), IMPORTRANGE(""17XjIPGwafStTRf_8bPPaoi2EFjHVy10_rRJ0uvy6YcU"",""AO:AO""))"),11879.256173063226)</f>
        <v>11879.25617</v>
      </c>
      <c r="F20" s="25">
        <f>IFERROR(__xludf.DUMMYFUNCTION("SUMPRODUCT((IMPORTRANGE(""17XjIPGwafStTRf_8bPPaoi2EFjHVy10_rRJ0uvy6YcU"",""M:M"")=B20)*1, IMPORTRANGE(""17XjIPGwafStTRf_8bPPaoi2EFjHVy10_rRJ0uvy6YcU"",""X:X""))"),49.0)</f>
        <v>49</v>
      </c>
      <c r="G20" s="26">
        <f>IFERROR(__xludf.DUMMYFUNCTION("COUNTIF(IMPORTRANGE(""17XjIPGwafStTRf_8bPPaoi2EFjHVy10_rRJ0uvy6YcU"",""M:M""), B20)"),17.0)</f>
        <v>17</v>
      </c>
      <c r="H20" s="27">
        <f t="shared" si="1"/>
        <v>2.882352941</v>
      </c>
      <c r="I20" s="28">
        <f t="shared" si="2"/>
        <v>0.04888039672</v>
      </c>
      <c r="J20" s="29">
        <f t="shared" si="3"/>
        <v>0.06132281567</v>
      </c>
      <c r="K20" s="32"/>
      <c r="L20" s="31" t="str">
        <f t="shared" si="4"/>
        <v/>
      </c>
      <c r="M20" s="31" t="str">
        <f t="shared" si="5"/>
        <v/>
      </c>
      <c r="N20" s="4"/>
    </row>
    <row r="21">
      <c r="A21" s="1"/>
      <c r="B21" s="23">
        <f t="shared" si="6"/>
        <v>44393</v>
      </c>
      <c r="C21" s="24">
        <f>IFERROR(__xludf.DUMMYFUNCTION("SUMPRODUCT((IMPORTRANGE(""17XjIPGwafStTRf_8bPPaoi2EFjHVy10_rRJ0uvy6YcU"",""M:M"")=B21)*1, IMPORTRANGE(""17XjIPGwafStTRf_8bPPaoi2EFjHVy10_rRJ0uvy6YcU"",""X:X""), IMPORTRANGE(""17XjIPGwafStTRf_8bPPaoi2EFjHVy10_rRJ0uvy6YcU"",""AK:AK"")) - SUMPRODUCT((IMPORTR"&amp;"ANGE(""17XjIPGwafStTRf_8bPPaoi2EFjHVy10_rRJ0uvy6YcU"",""M:M"")=B21)*1, IMPORTRANGE(""17XjIPGwafStTRf_8bPPaoi2EFjHVy10_rRJ0uvy6YcU"",""X:X""), IMPORTRANGE(""17XjIPGwafStTRf_8bPPaoi2EFjHVy10_rRJ0uvy6YcU"",""AL:AL""))"),597308.0)</f>
        <v>597308</v>
      </c>
      <c r="D21" s="24">
        <f>IFERROR(__xludf.DUMMYFUNCTION("SUMPRODUCT((IMPORTRANGE(""17XjIPGwafStTRf_8bPPaoi2EFjHVy10_rRJ0uvy6YcU"",""M:M"")=B21)*1, IMPORTRANGE(""17XjIPGwafStTRf_8bPPaoi2EFjHVy10_rRJ0uvy6YcU"",""X:X""), IMPORTRANGE(""17XjIPGwafStTRf_8bPPaoi2EFjHVy10_rRJ0uvy6YcU"",""AA:AA"")) + SUMPRODUCT((IMPORTR"&amp;"ANGE(""17XjIPGwafStTRf_8bPPaoi2EFjHVy10_rRJ0uvy6YcU"",""M:M"")=B21)*1, IMPORTRANGE(""17XjIPGwafStTRf_8bPPaoi2EFjHVy10_rRJ0uvy6YcU"",""X:X""), IMPORTRANGE(""17XjIPGwafStTRf_8bPPaoi2EFjHVy10_rRJ0uvy6YcU"",""AE:AE"")) + SUMPRODUCT((IMPORTRANGE(""17XjIPGwafSt"&amp;"TRf_8bPPaoi2EFjHVy10_rRJ0uvy6YcU"",""M:M"")=B21)*1, IMPORTRANGE(""17XjIPGwafStTRf_8bPPaoi2EFjHVy10_rRJ0uvy6YcU"",""X:X""), IMPORTRANGE(""17XjIPGwafStTRf_8bPPaoi2EFjHVy10_rRJ0uvy6YcU"",""AF:AF""))"),347942.9892458473)</f>
        <v>347942.9892</v>
      </c>
      <c r="E21" s="24">
        <f>IFERROR(__xludf.DUMMYFUNCTION("SUMPRODUCT((IMPORTRANGE(""17XjIPGwafStTRf_8bPPaoi2EFjHVy10_rRJ0uvy6YcU"",""M:M"")=B21)*1, IMPORTRANGE(""17XjIPGwafStTRf_8bPPaoi2EFjHVy10_rRJ0uvy6YcU"",""X:X""), IMPORTRANGE(""17XjIPGwafStTRf_8bPPaoi2EFjHVy10_rRJ0uvy6YcU"",""AO:AO""))"),101190.1800892259)</f>
        <v>101190.1801</v>
      </c>
      <c r="F21" s="25">
        <f>IFERROR(__xludf.DUMMYFUNCTION("SUMPRODUCT((IMPORTRANGE(""17XjIPGwafStTRf_8bPPaoi2EFjHVy10_rRJ0uvy6YcU"",""M:M"")=B21)*1, IMPORTRANGE(""17XjIPGwafStTRf_8bPPaoi2EFjHVy10_rRJ0uvy6YcU"",""X:X""))"),137.0)</f>
        <v>137</v>
      </c>
      <c r="G21" s="26">
        <f>IFERROR(__xludf.DUMMYFUNCTION("COUNTIF(IMPORTRANGE(""17XjIPGwafStTRf_8bPPaoi2EFjHVy10_rRJ0uvy6YcU"",""M:M""), B21)"),18.0)</f>
        <v>18</v>
      </c>
      <c r="H21" s="27">
        <f t="shared" si="1"/>
        <v>7.611111111</v>
      </c>
      <c r="I21" s="28">
        <f t="shared" si="2"/>
        <v>0.1694103881</v>
      </c>
      <c r="J21" s="29">
        <f t="shared" si="3"/>
        <v>0.2908240235</v>
      </c>
      <c r="K21" s="32"/>
      <c r="L21" s="31" t="str">
        <f t="shared" si="4"/>
        <v/>
      </c>
      <c r="M21" s="31" t="str">
        <f t="shared" si="5"/>
        <v/>
      </c>
      <c r="N21" s="4"/>
    </row>
    <row r="22">
      <c r="A22" s="1"/>
      <c r="B22" s="23">
        <f t="shared" si="6"/>
        <v>44394</v>
      </c>
      <c r="C22" s="24">
        <f>IFERROR(__xludf.DUMMYFUNCTION("SUMPRODUCT((IMPORTRANGE(""17XjIPGwafStTRf_8bPPaoi2EFjHVy10_rRJ0uvy6YcU"",""M:M"")=B22)*1, IMPORTRANGE(""17XjIPGwafStTRf_8bPPaoi2EFjHVy10_rRJ0uvy6YcU"",""X:X""), IMPORTRANGE(""17XjIPGwafStTRf_8bPPaoi2EFjHVy10_rRJ0uvy6YcU"",""AK:AK"")) - SUMPRODUCT((IMPORTR"&amp;"ANGE(""17XjIPGwafStTRf_8bPPaoi2EFjHVy10_rRJ0uvy6YcU"",""M:M"")=B22)*1, IMPORTRANGE(""17XjIPGwafStTRf_8bPPaoi2EFjHVy10_rRJ0uvy6YcU"",""X:X""), IMPORTRANGE(""17XjIPGwafStTRf_8bPPaoi2EFjHVy10_rRJ0uvy6YcU"",""AL:AL""))"),274438.0)</f>
        <v>274438</v>
      </c>
      <c r="D22" s="24">
        <f>IFERROR(__xludf.DUMMYFUNCTION("SUMPRODUCT((IMPORTRANGE(""17XjIPGwafStTRf_8bPPaoi2EFjHVy10_rRJ0uvy6YcU"",""M:M"")=B22)*1, IMPORTRANGE(""17XjIPGwafStTRf_8bPPaoi2EFjHVy10_rRJ0uvy6YcU"",""X:X""), IMPORTRANGE(""17XjIPGwafStTRf_8bPPaoi2EFjHVy10_rRJ0uvy6YcU"",""AA:AA"")) + SUMPRODUCT((IMPORTR"&amp;"ANGE(""17XjIPGwafStTRf_8bPPaoi2EFjHVy10_rRJ0uvy6YcU"",""M:M"")=B22)*1, IMPORTRANGE(""17XjIPGwafStTRf_8bPPaoi2EFjHVy10_rRJ0uvy6YcU"",""X:X""), IMPORTRANGE(""17XjIPGwafStTRf_8bPPaoi2EFjHVy10_rRJ0uvy6YcU"",""AE:AE"")) + SUMPRODUCT((IMPORTRANGE(""17XjIPGwafSt"&amp;"TRf_8bPPaoi2EFjHVy10_rRJ0uvy6YcU"",""M:M"")=B22)*1, IMPORTRANGE(""17XjIPGwafStTRf_8bPPaoi2EFjHVy10_rRJ0uvy6YcU"",""X:X""), IMPORTRANGE(""17XjIPGwafStTRf_8bPPaoi2EFjHVy10_rRJ0uvy6YcU"",""AF:AF""))"),180005.8322229677)</f>
        <v>180005.8322</v>
      </c>
      <c r="E22" s="24">
        <f>IFERROR(__xludf.DUMMYFUNCTION("SUMPRODUCT((IMPORTRANGE(""17XjIPGwafStTRf_8bPPaoi2EFjHVy10_rRJ0uvy6YcU"",""M:M"")=B22)*1, IMPORTRANGE(""17XjIPGwafStTRf_8bPPaoi2EFjHVy10_rRJ0uvy6YcU"",""X:X""), IMPORTRANGE(""17XjIPGwafStTRf_8bPPaoi2EFjHVy10_rRJ0uvy6YcU"",""AO:AO""))"),46082.599510750515)</f>
        <v>46082.59951</v>
      </c>
      <c r="F22" s="25">
        <f>IFERROR(__xludf.DUMMYFUNCTION("SUMPRODUCT((IMPORTRANGE(""17XjIPGwafStTRf_8bPPaoi2EFjHVy10_rRJ0uvy6YcU"",""M:M"")=B22)*1, IMPORTRANGE(""17XjIPGwafStTRf_8bPPaoi2EFjHVy10_rRJ0uvy6YcU"",""X:X""))"),45.0)</f>
        <v>45</v>
      </c>
      <c r="G22" s="26">
        <f>IFERROR(__xludf.DUMMYFUNCTION("COUNTIF(IMPORTRANGE(""17XjIPGwafStTRf_8bPPaoi2EFjHVy10_rRJ0uvy6YcU"",""M:M""), B22)"),27.0)</f>
        <v>27</v>
      </c>
      <c r="H22" s="27">
        <f t="shared" si="1"/>
        <v>1.666666667</v>
      </c>
      <c r="I22" s="28">
        <f t="shared" si="2"/>
        <v>0.1679162489</v>
      </c>
      <c r="J22" s="29">
        <f t="shared" si="3"/>
        <v>0.2560061468</v>
      </c>
      <c r="K22" s="32"/>
      <c r="L22" s="31" t="str">
        <f t="shared" si="4"/>
        <v/>
      </c>
      <c r="M22" s="31" t="str">
        <f t="shared" si="5"/>
        <v/>
      </c>
      <c r="N22" s="4"/>
    </row>
    <row r="23">
      <c r="A23" s="1"/>
      <c r="B23" s="23">
        <f t="shared" si="6"/>
        <v>44395</v>
      </c>
      <c r="C23" s="24">
        <f>IFERROR(__xludf.DUMMYFUNCTION("SUMPRODUCT((IMPORTRANGE(""17XjIPGwafStTRf_8bPPaoi2EFjHVy10_rRJ0uvy6YcU"",""M:M"")=B23)*1, IMPORTRANGE(""17XjIPGwafStTRf_8bPPaoi2EFjHVy10_rRJ0uvy6YcU"",""X:X""), IMPORTRANGE(""17XjIPGwafStTRf_8bPPaoi2EFjHVy10_rRJ0uvy6YcU"",""AK:AK"")) - SUMPRODUCT((IMPORTR"&amp;"ANGE(""17XjIPGwafStTRf_8bPPaoi2EFjHVy10_rRJ0uvy6YcU"",""M:M"")=B23)*1, IMPORTRANGE(""17XjIPGwafStTRf_8bPPaoi2EFjHVy10_rRJ0uvy6YcU"",""X:X""), IMPORTRANGE(""17XjIPGwafStTRf_8bPPaoi2EFjHVy10_rRJ0uvy6YcU"",""AL:AL""))"),188917.0)</f>
        <v>188917</v>
      </c>
      <c r="D23" s="24">
        <f>IFERROR(__xludf.DUMMYFUNCTION("SUMPRODUCT((IMPORTRANGE(""17XjIPGwafStTRf_8bPPaoi2EFjHVy10_rRJ0uvy6YcU"",""M:M"")=B23)*1, IMPORTRANGE(""17XjIPGwafStTRf_8bPPaoi2EFjHVy10_rRJ0uvy6YcU"",""X:X""), IMPORTRANGE(""17XjIPGwafStTRf_8bPPaoi2EFjHVy10_rRJ0uvy6YcU"",""AA:AA"")) + SUMPRODUCT((IMPORTR"&amp;"ANGE(""17XjIPGwafStTRf_8bPPaoi2EFjHVy10_rRJ0uvy6YcU"",""M:M"")=B23)*1, IMPORTRANGE(""17XjIPGwafStTRf_8bPPaoi2EFjHVy10_rRJ0uvy6YcU"",""X:X""), IMPORTRANGE(""17XjIPGwafStTRf_8bPPaoi2EFjHVy10_rRJ0uvy6YcU"",""AE:AE"")) + SUMPRODUCT((IMPORTRANGE(""17XjIPGwafSt"&amp;"TRf_8bPPaoi2EFjHVy10_rRJ0uvy6YcU"",""M:M"")=B23)*1, IMPORTRANGE(""17XjIPGwafStTRf_8bPPaoi2EFjHVy10_rRJ0uvy6YcU"",""X:X""), IMPORTRANGE(""17XjIPGwafStTRf_8bPPaoi2EFjHVy10_rRJ0uvy6YcU"",""AF:AF""))"),117592.48290392237)</f>
        <v>117592.4829</v>
      </c>
      <c r="E23" s="24">
        <f>IFERROR(__xludf.DUMMYFUNCTION("SUMPRODUCT((IMPORTRANGE(""17XjIPGwafStTRf_8bPPaoi2EFjHVy10_rRJ0uvy6YcU"",""M:M"")=B23)*1, IMPORTRANGE(""17XjIPGwafStTRf_8bPPaoi2EFjHVy10_rRJ0uvy6YcU"",""X:X""), IMPORTRANGE(""17XjIPGwafStTRf_8bPPaoi2EFjHVy10_rRJ0uvy6YcU"",""AO:AO""))"),35116.41709607761)</f>
        <v>35116.4171</v>
      </c>
      <c r="F23" s="25">
        <f>IFERROR(__xludf.DUMMYFUNCTION("SUMPRODUCT((IMPORTRANGE(""17XjIPGwafStTRf_8bPPaoi2EFjHVy10_rRJ0uvy6YcU"",""M:M"")=B23)*1, IMPORTRANGE(""17XjIPGwafStTRf_8bPPaoi2EFjHVy10_rRJ0uvy6YcU"",""X:X""))"),37.0)</f>
        <v>37</v>
      </c>
      <c r="G23" s="26">
        <f>IFERROR(__xludf.DUMMYFUNCTION("COUNTIF(IMPORTRANGE(""17XjIPGwafStTRf_8bPPaoi2EFjHVy10_rRJ0uvy6YcU"",""M:M""), B23)"),15.0)</f>
        <v>15</v>
      </c>
      <c r="H23" s="27">
        <f t="shared" si="1"/>
        <v>2.466666667</v>
      </c>
      <c r="I23" s="28">
        <f t="shared" si="2"/>
        <v>0.1858827797</v>
      </c>
      <c r="J23" s="29">
        <f t="shared" si="3"/>
        <v>0.2986280775</v>
      </c>
      <c r="K23" s="32"/>
      <c r="L23" s="31" t="str">
        <f t="shared" si="4"/>
        <v/>
      </c>
      <c r="M23" s="31" t="str">
        <f t="shared" si="5"/>
        <v/>
      </c>
      <c r="N23" s="4"/>
    </row>
    <row r="24">
      <c r="A24" s="1"/>
      <c r="B24" s="23">
        <f t="shared" si="6"/>
        <v>44396</v>
      </c>
      <c r="C24" s="24">
        <f>IFERROR(__xludf.DUMMYFUNCTION("SUMPRODUCT((IMPORTRANGE(""17XjIPGwafStTRf_8bPPaoi2EFjHVy10_rRJ0uvy6YcU"",""M:M"")=B24)*1, IMPORTRANGE(""17XjIPGwafStTRf_8bPPaoi2EFjHVy10_rRJ0uvy6YcU"",""X:X""), IMPORTRANGE(""17XjIPGwafStTRf_8bPPaoi2EFjHVy10_rRJ0uvy6YcU"",""AK:AK"")) - SUMPRODUCT((IMPORTR"&amp;"ANGE(""17XjIPGwafStTRf_8bPPaoi2EFjHVy10_rRJ0uvy6YcU"",""M:M"")=B24)*1, IMPORTRANGE(""17XjIPGwafStTRf_8bPPaoi2EFjHVy10_rRJ0uvy6YcU"",""X:X""), IMPORTRANGE(""17XjIPGwafStTRf_8bPPaoi2EFjHVy10_rRJ0uvy6YcU"",""AL:AL""))"),355932.0)</f>
        <v>355932</v>
      </c>
      <c r="D24" s="24">
        <f>IFERROR(__xludf.DUMMYFUNCTION("SUMPRODUCT((IMPORTRANGE(""17XjIPGwafStTRf_8bPPaoi2EFjHVy10_rRJ0uvy6YcU"",""M:M"")=B24)*1, IMPORTRANGE(""17XjIPGwafStTRf_8bPPaoi2EFjHVy10_rRJ0uvy6YcU"",""X:X""), IMPORTRANGE(""17XjIPGwafStTRf_8bPPaoi2EFjHVy10_rRJ0uvy6YcU"",""AA:AA"")) + SUMPRODUCT((IMPORTR"&amp;"ANGE(""17XjIPGwafStTRf_8bPPaoi2EFjHVy10_rRJ0uvy6YcU"",""M:M"")=B24)*1, IMPORTRANGE(""17XjIPGwafStTRf_8bPPaoi2EFjHVy10_rRJ0uvy6YcU"",""X:X""), IMPORTRANGE(""17XjIPGwafStTRf_8bPPaoi2EFjHVy10_rRJ0uvy6YcU"",""AE:AE"")) + SUMPRODUCT((IMPORTRANGE(""17XjIPGwafSt"&amp;"TRf_8bPPaoi2EFjHVy10_rRJ0uvy6YcU"",""M:M"")=B24)*1, IMPORTRANGE(""17XjIPGwafStTRf_8bPPaoi2EFjHVy10_rRJ0uvy6YcU"",""X:X""), IMPORTRANGE(""17XjIPGwafStTRf_8bPPaoi2EFjHVy10_rRJ0uvy6YcU"",""AF:AF""))"),223499.5886517161)</f>
        <v>223499.5887</v>
      </c>
      <c r="E24" s="24">
        <f>IFERROR(__xludf.DUMMYFUNCTION("SUMPRODUCT((IMPORTRANGE(""17XjIPGwafStTRf_8bPPaoi2EFjHVy10_rRJ0uvy6YcU"",""M:M"")=B24)*1, IMPORTRANGE(""17XjIPGwafStTRf_8bPPaoi2EFjHVy10_rRJ0uvy6YcU"",""X:X""), IMPORTRANGE(""17XjIPGwafStTRf_8bPPaoi2EFjHVy10_rRJ0uvy6YcU"",""AO:AO""))"),69427.27862120584)</f>
        <v>69427.27862</v>
      </c>
      <c r="F24" s="25">
        <f>IFERROR(__xludf.DUMMYFUNCTION("SUMPRODUCT((IMPORTRANGE(""17XjIPGwafStTRf_8bPPaoi2EFjHVy10_rRJ0uvy6YcU"",""M:M"")=B24)*1, IMPORTRANGE(""17XjIPGwafStTRf_8bPPaoi2EFjHVy10_rRJ0uvy6YcU"",""X:X""))"),56.0)</f>
        <v>56</v>
      </c>
      <c r="G24" s="26">
        <f>IFERROR(__xludf.DUMMYFUNCTION("COUNTIF(IMPORTRANGE(""17XjIPGwafStTRf_8bPPaoi2EFjHVy10_rRJ0uvy6YcU"",""M:M""), B24)"),17.0)</f>
        <v>17</v>
      </c>
      <c r="H24" s="27">
        <f t="shared" si="1"/>
        <v>3.294117647</v>
      </c>
      <c r="I24" s="28">
        <f t="shared" si="2"/>
        <v>0.1950577038</v>
      </c>
      <c r="J24" s="29">
        <f t="shared" si="3"/>
        <v>0.3106371651</v>
      </c>
      <c r="K24" s="30"/>
      <c r="L24" s="31" t="str">
        <f t="shared" si="4"/>
        <v/>
      </c>
      <c r="M24" s="31" t="str">
        <f t="shared" si="5"/>
        <v/>
      </c>
      <c r="N24" s="4"/>
    </row>
    <row r="25">
      <c r="A25" s="1"/>
      <c r="B25" s="23">
        <f t="shared" si="6"/>
        <v>44397</v>
      </c>
      <c r="C25" s="24">
        <f>IFERROR(__xludf.DUMMYFUNCTION("SUMPRODUCT((IMPORTRANGE(""17XjIPGwafStTRf_8bPPaoi2EFjHVy10_rRJ0uvy6YcU"",""M:M"")=B25)*1, IMPORTRANGE(""17XjIPGwafStTRf_8bPPaoi2EFjHVy10_rRJ0uvy6YcU"",""X:X""), IMPORTRANGE(""17XjIPGwafStTRf_8bPPaoi2EFjHVy10_rRJ0uvy6YcU"",""AK:AK"")) - SUMPRODUCT((IMPORTR"&amp;"ANGE(""17XjIPGwafStTRf_8bPPaoi2EFjHVy10_rRJ0uvy6YcU"",""M:M"")=B25)*1, IMPORTRANGE(""17XjIPGwafStTRf_8bPPaoi2EFjHVy10_rRJ0uvy6YcU"",""X:X""), IMPORTRANGE(""17XjIPGwafStTRf_8bPPaoi2EFjHVy10_rRJ0uvy6YcU"",""AL:AL""))"),647465.0)</f>
        <v>647465</v>
      </c>
      <c r="D25" s="24">
        <f>IFERROR(__xludf.DUMMYFUNCTION("SUMPRODUCT((IMPORTRANGE(""17XjIPGwafStTRf_8bPPaoi2EFjHVy10_rRJ0uvy6YcU"",""M:M"")=B25)*1, IMPORTRANGE(""17XjIPGwafStTRf_8bPPaoi2EFjHVy10_rRJ0uvy6YcU"",""X:X""), IMPORTRANGE(""17XjIPGwafStTRf_8bPPaoi2EFjHVy10_rRJ0uvy6YcU"",""AA:AA"")) + SUMPRODUCT((IMPORTR"&amp;"ANGE(""17XjIPGwafStTRf_8bPPaoi2EFjHVy10_rRJ0uvy6YcU"",""M:M"")=B25)*1, IMPORTRANGE(""17XjIPGwafStTRf_8bPPaoi2EFjHVy10_rRJ0uvy6YcU"",""X:X""), IMPORTRANGE(""17XjIPGwafStTRf_8bPPaoi2EFjHVy10_rRJ0uvy6YcU"",""AE:AE"")) + SUMPRODUCT((IMPORTRANGE(""17XjIPGwafSt"&amp;"TRf_8bPPaoi2EFjHVy10_rRJ0uvy6YcU"",""M:M"")=B25)*1, IMPORTRANGE(""17XjIPGwafStTRf_8bPPaoi2EFjHVy10_rRJ0uvy6YcU"",""X:X""), IMPORTRANGE(""17XjIPGwafStTRf_8bPPaoi2EFjHVy10_rRJ0uvy6YcU"",""AF:AF""))"),390652.2062177231)</f>
        <v>390652.2062</v>
      </c>
      <c r="E25" s="24">
        <f>IFERROR(__xludf.DUMMYFUNCTION("SUMPRODUCT((IMPORTRANGE(""17XjIPGwafStTRf_8bPPaoi2EFjHVy10_rRJ0uvy6YcU"",""M:M"")=B25)*1, IMPORTRANGE(""17XjIPGwafStTRf_8bPPaoi2EFjHVy10_rRJ0uvy6YcU"",""X:X""), IMPORTRANGE(""17XjIPGwafStTRf_8bPPaoi2EFjHVy10_rRJ0uvy6YcU"",""AO:AO""))"),147585.09378227708)</f>
        <v>147585.0938</v>
      </c>
      <c r="F25" s="25">
        <f>IFERROR(__xludf.DUMMYFUNCTION("SUMPRODUCT((IMPORTRANGE(""17XjIPGwafStTRf_8bPPaoi2EFjHVy10_rRJ0uvy6YcU"",""M:M"")=B25)*1, IMPORTRANGE(""17XjIPGwafStTRf_8bPPaoi2EFjHVy10_rRJ0uvy6YcU"",""X:X""))"),155.0)</f>
        <v>155</v>
      </c>
      <c r="G25" s="26">
        <f>IFERROR(__xludf.DUMMYFUNCTION("COUNTIF(IMPORTRANGE(""17XjIPGwafStTRf_8bPPaoi2EFjHVy10_rRJ0uvy6YcU"",""M:M""), B25)"),31.0)</f>
        <v>31</v>
      </c>
      <c r="H25" s="27">
        <f t="shared" si="1"/>
        <v>5</v>
      </c>
      <c r="I25" s="28">
        <f t="shared" si="2"/>
        <v>0.227942968</v>
      </c>
      <c r="J25" s="29">
        <f t="shared" si="3"/>
        <v>0.3777915277</v>
      </c>
      <c r="K25" s="32"/>
      <c r="L25" s="31" t="str">
        <f t="shared" si="4"/>
        <v/>
      </c>
      <c r="M25" s="31" t="str">
        <f t="shared" si="5"/>
        <v/>
      </c>
      <c r="N25" s="4"/>
    </row>
    <row r="26">
      <c r="A26" s="1"/>
      <c r="B26" s="23">
        <f t="shared" si="6"/>
        <v>44398</v>
      </c>
      <c r="C26" s="24">
        <f>IFERROR(__xludf.DUMMYFUNCTION("SUMPRODUCT((IMPORTRANGE(""17XjIPGwafStTRf_8bPPaoi2EFjHVy10_rRJ0uvy6YcU"",""M:M"")=B26)*1, IMPORTRANGE(""17XjIPGwafStTRf_8bPPaoi2EFjHVy10_rRJ0uvy6YcU"",""X:X""), IMPORTRANGE(""17XjIPGwafStTRf_8bPPaoi2EFjHVy10_rRJ0uvy6YcU"",""AK:AK"")) - SUMPRODUCT((IMPORTR"&amp;"ANGE(""17XjIPGwafStTRf_8bPPaoi2EFjHVy10_rRJ0uvy6YcU"",""M:M"")=B26)*1, IMPORTRANGE(""17XjIPGwafStTRf_8bPPaoi2EFjHVy10_rRJ0uvy6YcU"",""X:X""), IMPORTRANGE(""17XjIPGwafStTRf_8bPPaoi2EFjHVy10_rRJ0uvy6YcU"",""AL:AL""))"),570938.0)</f>
        <v>570938</v>
      </c>
      <c r="D26" s="24">
        <f>IFERROR(__xludf.DUMMYFUNCTION("SUMPRODUCT((IMPORTRANGE(""17XjIPGwafStTRf_8bPPaoi2EFjHVy10_rRJ0uvy6YcU"",""M:M"")=B26)*1, IMPORTRANGE(""17XjIPGwafStTRf_8bPPaoi2EFjHVy10_rRJ0uvy6YcU"",""X:X""), IMPORTRANGE(""17XjIPGwafStTRf_8bPPaoi2EFjHVy10_rRJ0uvy6YcU"",""AA:AA"")) + SUMPRODUCT((IMPORTR"&amp;"ANGE(""17XjIPGwafStTRf_8bPPaoi2EFjHVy10_rRJ0uvy6YcU"",""M:M"")=B26)*1, IMPORTRANGE(""17XjIPGwafStTRf_8bPPaoi2EFjHVy10_rRJ0uvy6YcU"",""X:X""), IMPORTRANGE(""17XjIPGwafStTRf_8bPPaoi2EFjHVy10_rRJ0uvy6YcU"",""AE:AE"")) + SUMPRODUCT((IMPORTRANGE(""17XjIPGwafSt"&amp;"TRf_8bPPaoi2EFjHVy10_rRJ0uvy6YcU"",""M:M"")=B26)*1, IMPORTRANGE(""17XjIPGwafStTRf_8bPPaoi2EFjHVy10_rRJ0uvy6YcU"",""X:X""), IMPORTRANGE(""17XjIPGwafStTRf_8bPPaoi2EFjHVy10_rRJ0uvy6YcU"",""AF:AF""))"),388270.42500230944)</f>
        <v>388270.425</v>
      </c>
      <c r="E26" s="24">
        <f>IFERROR(__xludf.DUMMYFUNCTION("SUMPRODUCT((IMPORTRANGE(""17XjIPGwafStTRf_8bPPaoi2EFjHVy10_rRJ0uvy6YcU"",""M:M"")=B26)*1, IMPORTRANGE(""17XjIPGwafStTRf_8bPPaoi2EFjHVy10_rRJ0uvy6YcU"",""X:X""), IMPORTRANGE(""17XjIPGwafStTRf_8bPPaoi2EFjHVy10_rRJ0uvy6YcU"",""AO:AO""))"),94369.47915102515)</f>
        <v>94369.47915</v>
      </c>
      <c r="F26" s="25">
        <f>IFERROR(__xludf.DUMMYFUNCTION("SUMPRODUCT((IMPORTRANGE(""17XjIPGwafStTRf_8bPPaoi2EFjHVy10_rRJ0uvy6YcU"",""M:M"")=B26)*1, IMPORTRANGE(""17XjIPGwafStTRf_8bPPaoi2EFjHVy10_rRJ0uvy6YcU"",""X:X""))"),84.0)</f>
        <v>84</v>
      </c>
      <c r="G26" s="26">
        <f>IFERROR(__xludf.DUMMYFUNCTION("COUNTIF(IMPORTRANGE(""17XjIPGwafStTRf_8bPPaoi2EFjHVy10_rRJ0uvy6YcU"",""M:M""), B26)"),32.0)</f>
        <v>32</v>
      </c>
      <c r="H26" s="27">
        <f t="shared" si="1"/>
        <v>2.625</v>
      </c>
      <c r="I26" s="28">
        <f t="shared" si="2"/>
        <v>0.1652884887</v>
      </c>
      <c r="J26" s="29">
        <f t="shared" si="3"/>
        <v>0.2430509075</v>
      </c>
      <c r="K26" s="30"/>
      <c r="L26" s="31" t="str">
        <f t="shared" si="4"/>
        <v/>
      </c>
      <c r="M26" s="31" t="str">
        <f t="shared" si="5"/>
        <v/>
      </c>
      <c r="N26" s="4"/>
    </row>
    <row r="27">
      <c r="A27" s="1"/>
      <c r="B27" s="23">
        <f t="shared" si="6"/>
        <v>44399</v>
      </c>
      <c r="C27" s="24">
        <f>IFERROR(__xludf.DUMMYFUNCTION("SUMPRODUCT((IMPORTRANGE(""17XjIPGwafStTRf_8bPPaoi2EFjHVy10_rRJ0uvy6YcU"",""M:M"")=B27)*1, IMPORTRANGE(""17XjIPGwafStTRf_8bPPaoi2EFjHVy10_rRJ0uvy6YcU"",""X:X""), IMPORTRANGE(""17XjIPGwafStTRf_8bPPaoi2EFjHVy10_rRJ0uvy6YcU"",""AK:AK"")) - SUMPRODUCT((IMPORTR"&amp;"ANGE(""17XjIPGwafStTRf_8bPPaoi2EFjHVy10_rRJ0uvy6YcU"",""M:M"")=B27)*1, IMPORTRANGE(""17XjIPGwafStTRf_8bPPaoi2EFjHVy10_rRJ0uvy6YcU"",""X:X""), IMPORTRANGE(""17XjIPGwafStTRf_8bPPaoi2EFjHVy10_rRJ0uvy6YcU"",""AL:AL""))"),333279.0)</f>
        <v>333279</v>
      </c>
      <c r="D27" s="24">
        <f>IFERROR(__xludf.DUMMYFUNCTION("SUMPRODUCT((IMPORTRANGE(""17XjIPGwafStTRf_8bPPaoi2EFjHVy10_rRJ0uvy6YcU"",""M:M"")=B27)*1, IMPORTRANGE(""17XjIPGwafStTRf_8bPPaoi2EFjHVy10_rRJ0uvy6YcU"",""X:X""), IMPORTRANGE(""17XjIPGwafStTRf_8bPPaoi2EFjHVy10_rRJ0uvy6YcU"",""AA:AA"")) + SUMPRODUCT((IMPORTR"&amp;"ANGE(""17XjIPGwafStTRf_8bPPaoi2EFjHVy10_rRJ0uvy6YcU"",""M:M"")=B27)*1, IMPORTRANGE(""17XjIPGwafStTRf_8bPPaoi2EFjHVy10_rRJ0uvy6YcU"",""X:X""), IMPORTRANGE(""17XjIPGwafStTRf_8bPPaoi2EFjHVy10_rRJ0uvy6YcU"",""AE:AE"")) + SUMPRODUCT((IMPORTRANGE(""17XjIPGwafSt"&amp;"TRf_8bPPaoi2EFjHVy10_rRJ0uvy6YcU"",""M:M"")=B27)*1, IMPORTRANGE(""17XjIPGwafStTRf_8bPPaoi2EFjHVy10_rRJ0uvy6YcU"",""X:X""), IMPORTRANGE(""17XjIPGwafStTRf_8bPPaoi2EFjHVy10_rRJ0uvy6YcU"",""AF:AF""))"),216402.40137329098)</f>
        <v>216402.4014</v>
      </c>
      <c r="E27" s="24">
        <f>IFERROR(__xludf.DUMMYFUNCTION("SUMPRODUCT((IMPORTRANGE(""17XjIPGwafStTRf_8bPPaoi2EFjHVy10_rRJ0uvy6YcU"",""M:M"")=B27)*1, IMPORTRANGE(""17XjIPGwafStTRf_8bPPaoi2EFjHVy10_rRJ0uvy6YcU"",""X:X""), IMPORTRANGE(""17XjIPGwafStTRf_8bPPaoi2EFjHVy10_rRJ0uvy6YcU"",""AO:AO""))"),63759.0978637439)</f>
        <v>63759.09786</v>
      </c>
      <c r="F27" s="25">
        <f>IFERROR(__xludf.DUMMYFUNCTION("SUMPRODUCT((IMPORTRANGE(""17XjIPGwafStTRf_8bPPaoi2EFjHVy10_rRJ0uvy6YcU"",""M:M"")=B27)*1, IMPORTRANGE(""17XjIPGwafStTRf_8bPPaoi2EFjHVy10_rRJ0uvy6YcU"",""X:X""))"),41.0)</f>
        <v>41</v>
      </c>
      <c r="G27" s="26">
        <f>IFERROR(__xludf.DUMMYFUNCTION("COUNTIF(IMPORTRANGE(""17XjIPGwafStTRf_8bPPaoi2EFjHVy10_rRJ0uvy6YcU"",""M:M""), B27)"),12.0)</f>
        <v>12</v>
      </c>
      <c r="H27" s="27">
        <f t="shared" si="1"/>
        <v>3.416666667</v>
      </c>
      <c r="I27" s="28">
        <f t="shared" si="2"/>
        <v>0.1913084769</v>
      </c>
      <c r="J27" s="29">
        <f t="shared" si="3"/>
        <v>0.294632118</v>
      </c>
      <c r="K27" s="32"/>
      <c r="L27" s="31" t="str">
        <f t="shared" si="4"/>
        <v/>
      </c>
      <c r="M27" s="31" t="str">
        <f t="shared" si="5"/>
        <v/>
      </c>
      <c r="N27" s="4"/>
    </row>
    <row r="28">
      <c r="A28" s="1"/>
      <c r="B28" s="23">
        <f t="shared" si="6"/>
        <v>44400</v>
      </c>
      <c r="C28" s="24">
        <f>IFERROR(__xludf.DUMMYFUNCTION("SUMPRODUCT((IMPORTRANGE(""17XjIPGwafStTRf_8bPPaoi2EFjHVy10_rRJ0uvy6YcU"",""M:M"")=B28)*1, IMPORTRANGE(""17XjIPGwafStTRf_8bPPaoi2EFjHVy10_rRJ0uvy6YcU"",""X:X""), IMPORTRANGE(""17XjIPGwafStTRf_8bPPaoi2EFjHVy10_rRJ0uvy6YcU"",""AK:AK"")) - SUMPRODUCT((IMPORTR"&amp;"ANGE(""17XjIPGwafStTRf_8bPPaoi2EFjHVy10_rRJ0uvy6YcU"",""M:M"")=B28)*1, IMPORTRANGE(""17XjIPGwafStTRf_8bPPaoi2EFjHVy10_rRJ0uvy6YcU"",""X:X""), IMPORTRANGE(""17XjIPGwafStTRf_8bPPaoi2EFjHVy10_rRJ0uvy6YcU"",""AL:AL""))"),122962.0)</f>
        <v>122962</v>
      </c>
      <c r="D28" s="24">
        <f>IFERROR(__xludf.DUMMYFUNCTION("SUMPRODUCT((IMPORTRANGE(""17XjIPGwafStTRf_8bPPaoi2EFjHVy10_rRJ0uvy6YcU"",""M:M"")=B28)*1, IMPORTRANGE(""17XjIPGwafStTRf_8bPPaoi2EFjHVy10_rRJ0uvy6YcU"",""X:X""), IMPORTRANGE(""17XjIPGwafStTRf_8bPPaoi2EFjHVy10_rRJ0uvy6YcU"",""AA:AA"")) + SUMPRODUCT((IMPORTR"&amp;"ANGE(""17XjIPGwafStTRf_8bPPaoi2EFjHVy10_rRJ0uvy6YcU"",""M:M"")=B28)*1, IMPORTRANGE(""17XjIPGwafStTRf_8bPPaoi2EFjHVy10_rRJ0uvy6YcU"",""X:X""), IMPORTRANGE(""17XjIPGwafStTRf_8bPPaoi2EFjHVy10_rRJ0uvy6YcU"",""AE:AE"")) + SUMPRODUCT((IMPORTRANGE(""17XjIPGwafSt"&amp;"TRf_8bPPaoi2EFjHVy10_rRJ0uvy6YcU"",""M:M"")=B28)*1, IMPORTRANGE(""17XjIPGwafStTRf_8bPPaoi2EFjHVy10_rRJ0uvy6YcU"",""X:X""), IMPORTRANGE(""17XjIPGwafStTRf_8bPPaoi2EFjHVy10_rRJ0uvy6YcU"",""AF:AF""))"),71167.77734114368)</f>
        <v>71167.77734</v>
      </c>
      <c r="E28" s="24">
        <f>IFERROR(__xludf.DUMMYFUNCTION("SUMPRODUCT((IMPORTRANGE(""17XjIPGwafStTRf_8bPPaoi2EFjHVy10_rRJ0uvy6YcU"",""M:M"")=B28)*1, IMPORTRANGE(""17XjIPGwafStTRf_8bPPaoi2EFjHVy10_rRJ0uvy6YcU"",""X:X""), IMPORTRANGE(""17XjIPGwafStTRf_8bPPaoi2EFjHVy10_rRJ0uvy6YcU"",""AO:AO""))"),27764.62748427236)</f>
        <v>27764.62748</v>
      </c>
      <c r="F28" s="25">
        <f>IFERROR(__xludf.DUMMYFUNCTION("SUMPRODUCT((IMPORTRANGE(""17XjIPGwafStTRf_8bPPaoi2EFjHVy10_rRJ0uvy6YcU"",""M:M"")=B28)*1, IMPORTRANGE(""17XjIPGwafStTRf_8bPPaoi2EFjHVy10_rRJ0uvy6YcU"",""X:X""))"),20.0)</f>
        <v>20</v>
      </c>
      <c r="G28" s="26">
        <f>IFERROR(__xludf.DUMMYFUNCTION("COUNTIF(IMPORTRANGE(""17XjIPGwafStTRf_8bPPaoi2EFjHVy10_rRJ0uvy6YcU"",""M:M""), B28)"),13.0)</f>
        <v>13</v>
      </c>
      <c r="H28" s="27">
        <f t="shared" si="1"/>
        <v>1.538461538</v>
      </c>
      <c r="I28" s="28">
        <f t="shared" si="2"/>
        <v>0.2257984376</v>
      </c>
      <c r="J28" s="29">
        <f t="shared" si="3"/>
        <v>0.3901291922</v>
      </c>
      <c r="K28" s="32"/>
      <c r="L28" s="31" t="str">
        <f t="shared" si="4"/>
        <v/>
      </c>
      <c r="M28" s="31" t="str">
        <f t="shared" si="5"/>
        <v/>
      </c>
      <c r="N28" s="4"/>
    </row>
    <row r="29">
      <c r="A29" s="1"/>
      <c r="B29" s="23">
        <f t="shared" si="6"/>
        <v>44401</v>
      </c>
      <c r="C29" s="24">
        <f>IFERROR(__xludf.DUMMYFUNCTION("SUMPRODUCT((IMPORTRANGE(""17XjIPGwafStTRf_8bPPaoi2EFjHVy10_rRJ0uvy6YcU"",""M:M"")=B29)*1, IMPORTRANGE(""17XjIPGwafStTRf_8bPPaoi2EFjHVy10_rRJ0uvy6YcU"",""X:X""), IMPORTRANGE(""17XjIPGwafStTRf_8bPPaoi2EFjHVy10_rRJ0uvy6YcU"",""AK:AK"")) - SUMPRODUCT((IMPORTR"&amp;"ANGE(""17XjIPGwafStTRf_8bPPaoi2EFjHVy10_rRJ0uvy6YcU"",""M:M"")=B29)*1, IMPORTRANGE(""17XjIPGwafStTRf_8bPPaoi2EFjHVy10_rRJ0uvy6YcU"",""X:X""), IMPORTRANGE(""17XjIPGwafStTRf_8bPPaoi2EFjHVy10_rRJ0uvy6YcU"",""AL:AL""))"),124431.0)</f>
        <v>124431</v>
      </c>
      <c r="D29" s="24">
        <f>IFERROR(__xludf.DUMMYFUNCTION("SUMPRODUCT((IMPORTRANGE(""17XjIPGwafStTRf_8bPPaoi2EFjHVy10_rRJ0uvy6YcU"",""M:M"")=B29)*1, IMPORTRANGE(""17XjIPGwafStTRf_8bPPaoi2EFjHVy10_rRJ0uvy6YcU"",""X:X""), IMPORTRANGE(""17XjIPGwafStTRf_8bPPaoi2EFjHVy10_rRJ0uvy6YcU"",""AA:AA"")) + SUMPRODUCT((IMPORTR"&amp;"ANGE(""17XjIPGwafStTRf_8bPPaoi2EFjHVy10_rRJ0uvy6YcU"",""M:M"")=B29)*1, IMPORTRANGE(""17XjIPGwafStTRf_8bPPaoi2EFjHVy10_rRJ0uvy6YcU"",""X:X""), IMPORTRANGE(""17XjIPGwafStTRf_8bPPaoi2EFjHVy10_rRJ0uvy6YcU"",""AE:AE"")) + SUMPRODUCT((IMPORTRANGE(""17XjIPGwafSt"&amp;"TRf_8bPPaoi2EFjHVy10_rRJ0uvy6YcU"",""M:M"")=B29)*1, IMPORTRANGE(""17XjIPGwafStTRf_8bPPaoi2EFjHVy10_rRJ0uvy6YcU"",""X:X""), IMPORTRANGE(""17XjIPGwafStTRf_8bPPaoi2EFjHVy10_rRJ0uvy6YcU"",""AF:AF""))"),83637.16482040627)</f>
        <v>83637.16482</v>
      </c>
      <c r="E29" s="24">
        <f>IFERROR(__xludf.DUMMYFUNCTION("SUMPRODUCT((IMPORTRANGE(""17XjIPGwafStTRf_8bPPaoi2EFjHVy10_rRJ0uvy6YcU"",""M:M"")=B29)*1, IMPORTRANGE(""17XjIPGwafStTRf_8bPPaoi2EFjHVy10_rRJ0uvy6YcU"",""X:X""), IMPORTRANGE(""17XjIPGwafStTRf_8bPPaoi2EFjHVy10_rRJ0uvy6YcU"",""AO:AO""))"),15455.399087327798)</f>
        <v>15455.39909</v>
      </c>
      <c r="F29" s="25">
        <f>IFERROR(__xludf.DUMMYFUNCTION("SUMPRODUCT((IMPORTRANGE(""17XjIPGwafStTRf_8bPPaoi2EFjHVy10_rRJ0uvy6YcU"",""M:M"")=B29)*1, IMPORTRANGE(""17XjIPGwafStTRf_8bPPaoi2EFjHVy10_rRJ0uvy6YcU"",""X:X""))"),22.0)</f>
        <v>22</v>
      </c>
      <c r="G29" s="26">
        <f>IFERROR(__xludf.DUMMYFUNCTION("COUNTIF(IMPORTRANGE(""17XjIPGwafStTRf_8bPPaoi2EFjHVy10_rRJ0uvy6YcU"",""M:M""), B29)"),16.0)</f>
        <v>16</v>
      </c>
      <c r="H29" s="27">
        <f t="shared" si="1"/>
        <v>1.375</v>
      </c>
      <c r="I29" s="28">
        <f t="shared" si="2"/>
        <v>0.1242085902</v>
      </c>
      <c r="J29" s="29">
        <f t="shared" si="3"/>
        <v>0.184791045</v>
      </c>
      <c r="K29" s="32"/>
      <c r="L29" s="31" t="str">
        <f t="shared" si="4"/>
        <v/>
      </c>
      <c r="M29" s="31" t="str">
        <f t="shared" si="5"/>
        <v/>
      </c>
      <c r="N29" s="4"/>
    </row>
    <row r="30">
      <c r="A30" s="1"/>
      <c r="B30" s="23">
        <f t="shared" si="6"/>
        <v>44402</v>
      </c>
      <c r="C30" s="24">
        <f>IFERROR(__xludf.DUMMYFUNCTION("SUMPRODUCT((IMPORTRANGE(""17XjIPGwafStTRf_8bPPaoi2EFjHVy10_rRJ0uvy6YcU"",""M:M"")=B30)*1, IMPORTRANGE(""17XjIPGwafStTRf_8bPPaoi2EFjHVy10_rRJ0uvy6YcU"",""X:X""), IMPORTRANGE(""17XjIPGwafStTRf_8bPPaoi2EFjHVy10_rRJ0uvy6YcU"",""AK:AK"")) - SUMPRODUCT((IMPORTR"&amp;"ANGE(""17XjIPGwafStTRf_8bPPaoi2EFjHVy10_rRJ0uvy6YcU"",""M:M"")=B30)*1, IMPORTRANGE(""17XjIPGwafStTRf_8bPPaoi2EFjHVy10_rRJ0uvy6YcU"",""X:X""), IMPORTRANGE(""17XjIPGwafStTRf_8bPPaoi2EFjHVy10_rRJ0uvy6YcU"",""AL:AL""))"),299879.0)</f>
        <v>299879</v>
      </c>
      <c r="D30" s="24">
        <f>IFERROR(__xludf.DUMMYFUNCTION("SUMPRODUCT((IMPORTRANGE(""17XjIPGwafStTRf_8bPPaoi2EFjHVy10_rRJ0uvy6YcU"",""M:M"")=B30)*1, IMPORTRANGE(""17XjIPGwafStTRf_8bPPaoi2EFjHVy10_rRJ0uvy6YcU"",""X:X""), IMPORTRANGE(""17XjIPGwafStTRf_8bPPaoi2EFjHVy10_rRJ0uvy6YcU"",""AA:AA"")) + SUMPRODUCT((IMPORTR"&amp;"ANGE(""17XjIPGwafStTRf_8bPPaoi2EFjHVy10_rRJ0uvy6YcU"",""M:M"")=B30)*1, IMPORTRANGE(""17XjIPGwafStTRf_8bPPaoi2EFjHVy10_rRJ0uvy6YcU"",""X:X""), IMPORTRANGE(""17XjIPGwafStTRf_8bPPaoi2EFjHVy10_rRJ0uvy6YcU"",""AE:AE"")) + SUMPRODUCT((IMPORTRANGE(""17XjIPGwafSt"&amp;"TRf_8bPPaoi2EFjHVy10_rRJ0uvy6YcU"",""M:M"")=B30)*1, IMPORTRANGE(""17XjIPGwafStTRf_8bPPaoi2EFjHVy10_rRJ0uvy6YcU"",""X:X""), IMPORTRANGE(""17XjIPGwafStTRf_8bPPaoi2EFjHVy10_rRJ0uvy6YcU"",""AF:AF""))"),185701.32874353946)</f>
        <v>185701.3287</v>
      </c>
      <c r="E30" s="24">
        <f>IFERROR(__xludf.DUMMYFUNCTION("SUMPRODUCT((IMPORTRANGE(""17XjIPGwafStTRf_8bPPaoi2EFjHVy10_rRJ0uvy6YcU"",""M:M"")=B30)*1, IMPORTRANGE(""17XjIPGwafStTRf_8bPPaoi2EFjHVy10_rRJ0uvy6YcU"",""X:X""), IMPORTRANGE(""17XjIPGwafStTRf_8bPPaoi2EFjHVy10_rRJ0uvy6YcU"",""AO:AO""))"),56198.60239946168)</f>
        <v>56198.6024</v>
      </c>
      <c r="F30" s="25">
        <f>IFERROR(__xludf.DUMMYFUNCTION("SUMPRODUCT((IMPORTRANGE(""17XjIPGwafStTRf_8bPPaoi2EFjHVy10_rRJ0uvy6YcU"",""M:M"")=B30)*1, IMPORTRANGE(""17XjIPGwafStTRf_8bPPaoi2EFjHVy10_rRJ0uvy6YcU"",""X:X""))"),57.0)</f>
        <v>57</v>
      </c>
      <c r="G30" s="26">
        <f>IFERROR(__xludf.DUMMYFUNCTION("COUNTIF(IMPORTRANGE(""17XjIPGwafStTRf_8bPPaoi2EFjHVy10_rRJ0uvy6YcU"",""M:M""), B30)"),36.0)</f>
        <v>36</v>
      </c>
      <c r="H30" s="27">
        <f t="shared" si="1"/>
        <v>1.583333333</v>
      </c>
      <c r="I30" s="28">
        <f t="shared" si="2"/>
        <v>0.1874042611</v>
      </c>
      <c r="J30" s="29">
        <f t="shared" si="3"/>
        <v>0.302628973</v>
      </c>
      <c r="K30" s="30"/>
      <c r="L30" s="31" t="str">
        <f t="shared" si="4"/>
        <v/>
      </c>
      <c r="M30" s="31" t="str">
        <f t="shared" si="5"/>
        <v/>
      </c>
      <c r="N30" s="4"/>
    </row>
    <row r="31">
      <c r="A31" s="1"/>
      <c r="B31" s="23">
        <f t="shared" si="6"/>
        <v>44403</v>
      </c>
      <c r="C31" s="24">
        <f>IFERROR(__xludf.DUMMYFUNCTION("SUMPRODUCT((IMPORTRANGE(""17XjIPGwafStTRf_8bPPaoi2EFjHVy10_rRJ0uvy6YcU"",""M:M"")=B31)*1, IMPORTRANGE(""17XjIPGwafStTRf_8bPPaoi2EFjHVy10_rRJ0uvy6YcU"",""X:X""), IMPORTRANGE(""17XjIPGwafStTRf_8bPPaoi2EFjHVy10_rRJ0uvy6YcU"",""AK:AK"")) - SUMPRODUCT((IMPORTR"&amp;"ANGE(""17XjIPGwafStTRf_8bPPaoi2EFjHVy10_rRJ0uvy6YcU"",""M:M"")=B31)*1, IMPORTRANGE(""17XjIPGwafStTRf_8bPPaoi2EFjHVy10_rRJ0uvy6YcU"",""X:X""), IMPORTRANGE(""17XjIPGwafStTRf_8bPPaoi2EFjHVy10_rRJ0uvy6YcU"",""AL:AL""))"),311634.0)</f>
        <v>311634</v>
      </c>
      <c r="D31" s="24">
        <f>IFERROR(__xludf.DUMMYFUNCTION("SUMPRODUCT((IMPORTRANGE(""17XjIPGwafStTRf_8bPPaoi2EFjHVy10_rRJ0uvy6YcU"",""M:M"")=B31)*1, IMPORTRANGE(""17XjIPGwafStTRf_8bPPaoi2EFjHVy10_rRJ0uvy6YcU"",""X:X""), IMPORTRANGE(""17XjIPGwafStTRf_8bPPaoi2EFjHVy10_rRJ0uvy6YcU"",""AA:AA"")) + SUMPRODUCT((IMPORTR"&amp;"ANGE(""17XjIPGwafStTRf_8bPPaoi2EFjHVy10_rRJ0uvy6YcU"",""M:M"")=B31)*1, IMPORTRANGE(""17XjIPGwafStTRf_8bPPaoi2EFjHVy10_rRJ0uvy6YcU"",""X:X""), IMPORTRANGE(""17XjIPGwafStTRf_8bPPaoi2EFjHVy10_rRJ0uvy6YcU"",""AE:AE"")) + SUMPRODUCT((IMPORTRANGE(""17XjIPGwafSt"&amp;"TRf_8bPPaoi2EFjHVy10_rRJ0uvy6YcU"",""M:M"")=B31)*1, IMPORTRANGE(""17XjIPGwafStTRf_8bPPaoi2EFjHVy10_rRJ0uvy6YcU"",""X:X""), IMPORTRANGE(""17XjIPGwafStTRf_8bPPaoi2EFjHVy10_rRJ0uvy6YcU"",""AF:AF""))"),209794.6592032149)</f>
        <v>209794.6592</v>
      </c>
      <c r="E31" s="24">
        <f>IFERROR(__xludf.DUMMYFUNCTION("SUMPRODUCT((IMPORTRANGE(""17XjIPGwafStTRf_8bPPaoi2EFjHVy10_rRJ0uvy6YcU"",""M:M"")=B31)*1, IMPORTRANGE(""17XjIPGwafStTRf_8bPPaoi2EFjHVy10_rRJ0uvy6YcU"",""X:X""), IMPORTRANGE(""17XjIPGwafStTRf_8bPPaoi2EFjHVy10_rRJ0uvy6YcU"",""AO:AO""))"),72039.2799900344)</f>
        <v>72039.27999</v>
      </c>
      <c r="F31" s="25">
        <f>IFERROR(__xludf.DUMMYFUNCTION("SUMPRODUCT((IMPORTRANGE(""17XjIPGwafStTRf_8bPPaoi2EFjHVy10_rRJ0uvy6YcU"",""M:M"")=B31)*1, IMPORTRANGE(""17XjIPGwafStTRf_8bPPaoi2EFjHVy10_rRJ0uvy6YcU"",""X:X""))"),56.0)</f>
        <v>56</v>
      </c>
      <c r="G31" s="26">
        <f>IFERROR(__xludf.DUMMYFUNCTION("COUNTIF(IMPORTRANGE(""17XjIPGwafStTRf_8bPPaoi2EFjHVy10_rRJ0uvy6YcU"",""M:M""), B31)"),25.0)</f>
        <v>25</v>
      </c>
      <c r="H31" s="27">
        <f t="shared" si="1"/>
        <v>2.24</v>
      </c>
      <c r="I31" s="28">
        <f t="shared" si="2"/>
        <v>0.231166304</v>
      </c>
      <c r="J31" s="29">
        <f t="shared" si="3"/>
        <v>0.3433799519</v>
      </c>
      <c r="K31" s="30"/>
      <c r="L31" s="31" t="str">
        <f t="shared" si="4"/>
        <v/>
      </c>
      <c r="M31" s="31" t="str">
        <f t="shared" si="5"/>
        <v/>
      </c>
      <c r="N31" s="4"/>
    </row>
    <row r="32">
      <c r="A32" s="1"/>
      <c r="B32" s="23">
        <f t="shared" si="6"/>
        <v>44404</v>
      </c>
      <c r="C32" s="24">
        <f>IFERROR(__xludf.DUMMYFUNCTION("SUMPRODUCT((IMPORTRANGE(""17XjIPGwafStTRf_8bPPaoi2EFjHVy10_rRJ0uvy6YcU"",""M:M"")=B32)*1, IMPORTRANGE(""17XjIPGwafStTRf_8bPPaoi2EFjHVy10_rRJ0uvy6YcU"",""X:X""), IMPORTRANGE(""17XjIPGwafStTRf_8bPPaoi2EFjHVy10_rRJ0uvy6YcU"",""AK:AK"")) - SUMPRODUCT((IMPORTR"&amp;"ANGE(""17XjIPGwafStTRf_8bPPaoi2EFjHVy10_rRJ0uvy6YcU"",""M:M"")=B32)*1, IMPORTRANGE(""17XjIPGwafStTRf_8bPPaoi2EFjHVy10_rRJ0uvy6YcU"",""X:X""), IMPORTRANGE(""17XjIPGwafStTRf_8bPPaoi2EFjHVy10_rRJ0uvy6YcU"",""AL:AL""))"),291337.0)</f>
        <v>291337</v>
      </c>
      <c r="D32" s="24">
        <f>IFERROR(__xludf.DUMMYFUNCTION("SUMPRODUCT((IMPORTRANGE(""17XjIPGwafStTRf_8bPPaoi2EFjHVy10_rRJ0uvy6YcU"",""M:M"")=B32)*1, IMPORTRANGE(""17XjIPGwafStTRf_8bPPaoi2EFjHVy10_rRJ0uvy6YcU"",""X:X""), IMPORTRANGE(""17XjIPGwafStTRf_8bPPaoi2EFjHVy10_rRJ0uvy6YcU"",""AA:AA"")) + SUMPRODUCT((IMPORTR"&amp;"ANGE(""17XjIPGwafStTRf_8bPPaoi2EFjHVy10_rRJ0uvy6YcU"",""M:M"")=B32)*1, IMPORTRANGE(""17XjIPGwafStTRf_8bPPaoi2EFjHVy10_rRJ0uvy6YcU"",""X:X""), IMPORTRANGE(""17XjIPGwafStTRf_8bPPaoi2EFjHVy10_rRJ0uvy6YcU"",""AE:AE"")) + SUMPRODUCT((IMPORTRANGE(""17XjIPGwafSt"&amp;"TRf_8bPPaoi2EFjHVy10_rRJ0uvy6YcU"",""M:M"")=B32)*1, IMPORTRANGE(""17XjIPGwafStTRf_8bPPaoi2EFjHVy10_rRJ0uvy6YcU"",""X:X""), IMPORTRANGE(""17XjIPGwafStTRf_8bPPaoi2EFjHVy10_rRJ0uvy6YcU"",""AF:AF""))"),86359.88167410667)</f>
        <v>86359.88167</v>
      </c>
      <c r="E32" s="24">
        <f>IFERROR(__xludf.DUMMYFUNCTION("SUMPRODUCT((IMPORTRANGE(""17XjIPGwafStTRf_8bPPaoi2EFjHVy10_rRJ0uvy6YcU"",""M:M"")=B32)*1, IMPORTRANGE(""17XjIPGwafStTRf_8bPPaoi2EFjHVy10_rRJ0uvy6YcU"",""X:X""), IMPORTRANGE(""17XjIPGwafStTRf_8bPPaoi2EFjHVy10_rRJ0uvy6YcU"",""AO:AO""))"),37661.41832589334)</f>
        <v>37661.41833</v>
      </c>
      <c r="F32" s="25">
        <f>IFERROR(__xludf.DUMMYFUNCTION("SUMPRODUCT((IMPORTRANGE(""17XjIPGwafStTRf_8bPPaoi2EFjHVy10_rRJ0uvy6YcU"",""M:M"")=B32)*1, IMPORTRANGE(""17XjIPGwafStTRf_8bPPaoi2EFjHVy10_rRJ0uvy6YcU"",""X:X""))"),32.0)</f>
        <v>32</v>
      </c>
      <c r="G32" s="26">
        <f>IFERROR(__xludf.DUMMYFUNCTION("COUNTIF(IMPORTRANGE(""17XjIPGwafStTRf_8bPPaoi2EFjHVy10_rRJ0uvy6YcU"",""M:M""), B32)"),6.0)</f>
        <v>6</v>
      </c>
      <c r="H32" s="27">
        <f t="shared" si="1"/>
        <v>5.333333333</v>
      </c>
      <c r="I32" s="28">
        <f t="shared" si="2"/>
        <v>0.129270976</v>
      </c>
      <c r="J32" s="29">
        <f t="shared" si="3"/>
        <v>0.4360985402</v>
      </c>
      <c r="K32" s="32"/>
      <c r="L32" s="31" t="str">
        <f t="shared" si="4"/>
        <v/>
      </c>
      <c r="M32" s="31" t="str">
        <f t="shared" si="5"/>
        <v/>
      </c>
      <c r="N32" s="4"/>
    </row>
    <row r="33">
      <c r="A33" s="1"/>
      <c r="B33" s="23">
        <f t="shared" si="6"/>
        <v>44405</v>
      </c>
      <c r="C33" s="24">
        <f>IFERROR(__xludf.DUMMYFUNCTION("SUMPRODUCT((IMPORTRANGE(""17XjIPGwafStTRf_8bPPaoi2EFjHVy10_rRJ0uvy6YcU"",""M:M"")=B33)*1, IMPORTRANGE(""17XjIPGwafStTRf_8bPPaoi2EFjHVy10_rRJ0uvy6YcU"",""X:X""), IMPORTRANGE(""17XjIPGwafStTRf_8bPPaoi2EFjHVy10_rRJ0uvy6YcU"",""AK:AK"")) - SUMPRODUCT((IMPORTR"&amp;"ANGE(""17XjIPGwafStTRf_8bPPaoi2EFjHVy10_rRJ0uvy6YcU"",""M:M"")=B33)*1, IMPORTRANGE(""17XjIPGwafStTRf_8bPPaoi2EFjHVy10_rRJ0uvy6YcU"",""X:X""), IMPORTRANGE(""17XjIPGwafStTRf_8bPPaoi2EFjHVy10_rRJ0uvy6YcU"",""AL:AL""))"),0.0)</f>
        <v>0</v>
      </c>
      <c r="D33" s="24">
        <f>IFERROR(__xludf.DUMMYFUNCTION("SUMPRODUCT((IMPORTRANGE(""17XjIPGwafStTRf_8bPPaoi2EFjHVy10_rRJ0uvy6YcU"",""M:M"")=B33)*1, IMPORTRANGE(""17XjIPGwafStTRf_8bPPaoi2EFjHVy10_rRJ0uvy6YcU"",""X:X""), IMPORTRANGE(""17XjIPGwafStTRf_8bPPaoi2EFjHVy10_rRJ0uvy6YcU"",""AA:AA"")) + SUMPRODUCT((IMPORTR"&amp;"ANGE(""17XjIPGwafStTRf_8bPPaoi2EFjHVy10_rRJ0uvy6YcU"",""M:M"")=B33)*1, IMPORTRANGE(""17XjIPGwafStTRf_8bPPaoi2EFjHVy10_rRJ0uvy6YcU"",""X:X""), IMPORTRANGE(""17XjIPGwafStTRf_8bPPaoi2EFjHVy10_rRJ0uvy6YcU"",""AE:AE"")) + SUMPRODUCT((IMPORTRANGE(""17XjIPGwafSt"&amp;"TRf_8bPPaoi2EFjHVy10_rRJ0uvy6YcU"",""M:M"")=B33)*1, IMPORTRANGE(""17XjIPGwafStTRf_8bPPaoi2EFjHVy10_rRJ0uvy6YcU"",""X:X""), IMPORTRANGE(""17XjIPGwafStTRf_8bPPaoi2EFjHVy10_rRJ0uvy6YcU"",""AF:AF""))"),0.0)</f>
        <v>0</v>
      </c>
      <c r="E33" s="24">
        <f>IFERROR(__xludf.DUMMYFUNCTION("SUMPRODUCT((IMPORTRANGE(""17XjIPGwafStTRf_8bPPaoi2EFjHVy10_rRJ0uvy6YcU"",""M:M"")=B33)*1, IMPORTRANGE(""17XjIPGwafStTRf_8bPPaoi2EFjHVy10_rRJ0uvy6YcU"",""X:X""), IMPORTRANGE(""17XjIPGwafStTRf_8bPPaoi2EFjHVy10_rRJ0uvy6YcU"",""AO:AO""))"),0.0)</f>
        <v>0</v>
      </c>
      <c r="F33" s="25">
        <f>IFERROR(__xludf.DUMMYFUNCTION("SUMPRODUCT((IMPORTRANGE(""17XjIPGwafStTRf_8bPPaoi2EFjHVy10_rRJ0uvy6YcU"",""M:M"")=B33)*1, IMPORTRANGE(""17XjIPGwafStTRf_8bPPaoi2EFjHVy10_rRJ0uvy6YcU"",""X:X""))"),0.0)</f>
        <v>0</v>
      </c>
      <c r="G33" s="26">
        <f>IFERROR(__xludf.DUMMYFUNCTION("COUNTIF(IMPORTRANGE(""17XjIPGwafStTRf_8bPPaoi2EFjHVy10_rRJ0uvy6YcU"",""M:M""), B33)"),0.0)</f>
        <v>0</v>
      </c>
      <c r="H33" s="27" t="str">
        <f t="shared" si="1"/>
        <v/>
      </c>
      <c r="I33" s="28" t="str">
        <f t="shared" si="2"/>
        <v/>
      </c>
      <c r="J33" s="29" t="str">
        <f t="shared" si="3"/>
        <v/>
      </c>
      <c r="K33" s="30"/>
      <c r="L33" s="31" t="str">
        <f t="shared" si="4"/>
        <v/>
      </c>
      <c r="M33" s="31" t="str">
        <f t="shared" si="5"/>
        <v/>
      </c>
      <c r="N33" s="4"/>
    </row>
    <row r="34">
      <c r="A34" s="1"/>
      <c r="B34" s="23">
        <f t="shared" ref="B34:B36" si="7">IFERROR(IF(MONTH(B33)=MONTH(B33+1),B33+1,"--"),"--")</f>
        <v>44406</v>
      </c>
      <c r="C34" s="24">
        <f>IFERROR(__xludf.DUMMYFUNCTION("SUMPRODUCT((IMPORTRANGE(""17XjIPGwafStTRf_8bPPaoi2EFjHVy10_rRJ0uvy6YcU"",""M:M"")=B34)*1, IMPORTRANGE(""17XjIPGwafStTRf_8bPPaoi2EFjHVy10_rRJ0uvy6YcU"",""X:X""), IMPORTRANGE(""17XjIPGwafStTRf_8bPPaoi2EFjHVy10_rRJ0uvy6YcU"",""AK:AK"")) - SUMPRODUCT((IMPORTR"&amp;"ANGE(""17XjIPGwafStTRf_8bPPaoi2EFjHVy10_rRJ0uvy6YcU"",""M:M"")=B34)*1, IMPORTRANGE(""17XjIPGwafStTRf_8bPPaoi2EFjHVy10_rRJ0uvy6YcU"",""X:X""), IMPORTRANGE(""17XjIPGwafStTRf_8bPPaoi2EFjHVy10_rRJ0uvy6YcU"",""AL:AL""))"),363399.0)</f>
        <v>363399</v>
      </c>
      <c r="D34" s="24">
        <f>IFERROR(__xludf.DUMMYFUNCTION("SUMPRODUCT((IMPORTRANGE(""17XjIPGwafStTRf_8bPPaoi2EFjHVy10_rRJ0uvy6YcU"",""M:M"")=B34)*1, IMPORTRANGE(""17XjIPGwafStTRf_8bPPaoi2EFjHVy10_rRJ0uvy6YcU"",""X:X""), IMPORTRANGE(""17XjIPGwafStTRf_8bPPaoi2EFjHVy10_rRJ0uvy6YcU"",""AA:AA"")) + SUMPRODUCT((IMPORTR"&amp;"ANGE(""17XjIPGwafStTRf_8bPPaoi2EFjHVy10_rRJ0uvy6YcU"",""M:M"")=B34)*1, IMPORTRANGE(""17XjIPGwafStTRf_8bPPaoi2EFjHVy10_rRJ0uvy6YcU"",""X:X""), IMPORTRANGE(""17XjIPGwafStTRf_8bPPaoi2EFjHVy10_rRJ0uvy6YcU"",""AE:AE"")) + SUMPRODUCT((IMPORTRANGE(""17XjIPGwafSt"&amp;"TRf_8bPPaoi2EFjHVy10_rRJ0uvy6YcU"",""M:M"")=B34)*1, IMPORTRANGE(""17XjIPGwafStTRf_8bPPaoi2EFjHVy10_rRJ0uvy6YcU"",""X:X""), IMPORTRANGE(""17XjIPGwafStTRf_8bPPaoi2EFjHVy10_rRJ0uvy6YcU"",""AF:AF""))"),251802.1268494808)</f>
        <v>251802.1268</v>
      </c>
      <c r="E34" s="24">
        <f>IFERROR(__xludf.DUMMYFUNCTION("SUMPRODUCT((IMPORTRANGE(""17XjIPGwafStTRf_8bPPaoi2EFjHVy10_rRJ0uvy6YcU"",""M:M"")=B34)*1, IMPORTRANGE(""17XjIPGwafStTRf_8bPPaoi2EFjHVy10_rRJ0uvy6YcU"",""X:X""), IMPORTRANGE(""17XjIPGwafStTRf_8bPPaoi2EFjHVy10_rRJ0uvy6YcU"",""AO:AO""))"),62588.18942507655)</f>
        <v>62588.18943</v>
      </c>
      <c r="F34" s="25">
        <f>IFERROR(__xludf.DUMMYFUNCTION("SUMPRODUCT((IMPORTRANGE(""17XjIPGwafStTRf_8bPPaoi2EFjHVy10_rRJ0uvy6YcU"",""M:M"")=B34)*1, IMPORTRANGE(""17XjIPGwafStTRf_8bPPaoi2EFjHVy10_rRJ0uvy6YcU"",""X:X""))"),91.0)</f>
        <v>91</v>
      </c>
      <c r="G34" s="26">
        <f>IFERROR(__xludf.DUMMYFUNCTION("COUNTIF(IMPORTRANGE(""17XjIPGwafStTRf_8bPPaoi2EFjHVy10_rRJ0uvy6YcU"",""M:M""), B34)"),8.0)</f>
        <v>8</v>
      </c>
      <c r="H34" s="27">
        <f t="shared" si="1"/>
        <v>11.375</v>
      </c>
      <c r="I34" s="28">
        <f t="shared" si="2"/>
        <v>0.172229944</v>
      </c>
      <c r="J34" s="29">
        <f t="shared" si="3"/>
        <v>0.2485610039</v>
      </c>
      <c r="K34" s="30"/>
      <c r="L34" s="31" t="str">
        <f t="shared" si="4"/>
        <v/>
      </c>
      <c r="M34" s="31" t="str">
        <f t="shared" si="5"/>
        <v/>
      </c>
      <c r="N34" s="4"/>
    </row>
    <row r="35">
      <c r="A35" s="1"/>
      <c r="B35" s="23">
        <f t="shared" si="7"/>
        <v>44407</v>
      </c>
      <c r="C35" s="24">
        <f>IFERROR(__xludf.DUMMYFUNCTION("SUMPRODUCT((IMPORTRANGE(""17XjIPGwafStTRf_8bPPaoi2EFjHVy10_rRJ0uvy6YcU"",""M:M"")=B35)*1, IMPORTRANGE(""17XjIPGwafStTRf_8bPPaoi2EFjHVy10_rRJ0uvy6YcU"",""X:X""), IMPORTRANGE(""17XjIPGwafStTRf_8bPPaoi2EFjHVy10_rRJ0uvy6YcU"",""AK:AK"")) - SUMPRODUCT((IMPORTR"&amp;"ANGE(""17XjIPGwafStTRf_8bPPaoi2EFjHVy10_rRJ0uvy6YcU"",""M:M"")=B35)*1, IMPORTRANGE(""17XjIPGwafStTRf_8bPPaoi2EFjHVy10_rRJ0uvy6YcU"",""X:X""), IMPORTRANGE(""17XjIPGwafStTRf_8bPPaoi2EFjHVy10_rRJ0uvy6YcU"",""AL:AL""))"),84128.0)</f>
        <v>84128</v>
      </c>
      <c r="D35" s="24">
        <f>IFERROR(__xludf.DUMMYFUNCTION("SUMPRODUCT((IMPORTRANGE(""17XjIPGwafStTRf_8bPPaoi2EFjHVy10_rRJ0uvy6YcU"",""M:M"")=B35)*1, IMPORTRANGE(""17XjIPGwafStTRf_8bPPaoi2EFjHVy10_rRJ0uvy6YcU"",""X:X""), IMPORTRANGE(""17XjIPGwafStTRf_8bPPaoi2EFjHVy10_rRJ0uvy6YcU"",""AA:AA"")) + SUMPRODUCT((IMPORTR"&amp;"ANGE(""17XjIPGwafStTRf_8bPPaoi2EFjHVy10_rRJ0uvy6YcU"",""M:M"")=B35)*1, IMPORTRANGE(""17XjIPGwafStTRf_8bPPaoi2EFjHVy10_rRJ0uvy6YcU"",""X:X""), IMPORTRANGE(""17XjIPGwafStTRf_8bPPaoi2EFjHVy10_rRJ0uvy6YcU"",""AE:AE"")) + SUMPRODUCT((IMPORTRANGE(""17XjIPGwafSt"&amp;"TRf_8bPPaoi2EFjHVy10_rRJ0uvy6YcU"",""M:M"")=B35)*1, IMPORTRANGE(""17XjIPGwafStTRf_8bPPaoi2EFjHVy10_rRJ0uvy6YcU"",""X:X""), IMPORTRANGE(""17XjIPGwafStTRf_8bPPaoi2EFjHVy10_rRJ0uvy6YcU"",""AF:AF""))"),64781.79738870671)</f>
        <v>64781.79739</v>
      </c>
      <c r="E35" s="24">
        <f>IFERROR(__xludf.DUMMYFUNCTION("SUMPRODUCT((IMPORTRANGE(""17XjIPGwafStTRf_8bPPaoi2EFjHVy10_rRJ0uvy6YcU"",""M:M"")=B35)*1, IMPORTRANGE(""17XjIPGwafStTRf_8bPPaoi2EFjHVy10_rRJ0uvy6YcU"",""X:X""), IMPORTRANGE(""17XjIPGwafStTRf_8bPPaoi2EFjHVy10_rRJ0uvy6YcU"",""AO:AO""))"),7620.802611293285)</f>
        <v>7620.802611</v>
      </c>
      <c r="F35" s="25">
        <f>IFERROR(__xludf.DUMMYFUNCTION("SUMPRODUCT((IMPORTRANGE(""17XjIPGwafStTRf_8bPPaoi2EFjHVy10_rRJ0uvy6YcU"",""M:M"")=B35)*1, IMPORTRANGE(""17XjIPGwafStTRf_8bPPaoi2EFjHVy10_rRJ0uvy6YcU"",""X:X""))"),8.0)</f>
        <v>8</v>
      </c>
      <c r="G35" s="26">
        <f>IFERROR(__xludf.DUMMYFUNCTION("COUNTIF(IMPORTRANGE(""17XjIPGwafStTRf_8bPPaoi2EFjHVy10_rRJ0uvy6YcU"",""M:M""), B35)"),5.0)</f>
        <v>5</v>
      </c>
      <c r="H35" s="27">
        <f t="shared" si="1"/>
        <v>1.6</v>
      </c>
      <c r="I35" s="28">
        <f t="shared" si="2"/>
        <v>0.0905858051</v>
      </c>
      <c r="J35" s="29">
        <f t="shared" si="3"/>
        <v>0.1176380236</v>
      </c>
      <c r="K35" s="32"/>
      <c r="L35" s="31" t="str">
        <f t="shared" si="4"/>
        <v/>
      </c>
      <c r="M35" s="31" t="str">
        <f t="shared" si="5"/>
        <v/>
      </c>
      <c r="N35" s="4"/>
    </row>
    <row r="36">
      <c r="A36" s="1"/>
      <c r="B36" s="23">
        <f t="shared" si="7"/>
        <v>44408</v>
      </c>
      <c r="C36" s="24">
        <f>IFERROR(__xludf.DUMMYFUNCTION("SUMPRODUCT((IMPORTRANGE(""17XjIPGwafStTRf_8bPPaoi2EFjHVy10_rRJ0uvy6YcU"",""M:M"")=B36)*1, IMPORTRANGE(""17XjIPGwafStTRf_8bPPaoi2EFjHVy10_rRJ0uvy6YcU"",""X:X""), IMPORTRANGE(""17XjIPGwafStTRf_8bPPaoi2EFjHVy10_rRJ0uvy6YcU"",""AK:AK"")) - SUMPRODUCT((IMPORTR"&amp;"ANGE(""17XjIPGwafStTRf_8bPPaoi2EFjHVy10_rRJ0uvy6YcU"",""M:M"")=B36)*1, IMPORTRANGE(""17XjIPGwafStTRf_8bPPaoi2EFjHVy10_rRJ0uvy6YcU"",""X:X""), IMPORTRANGE(""17XjIPGwafStTRf_8bPPaoi2EFjHVy10_rRJ0uvy6YcU"",""AL:AL""))"),278363.0)</f>
        <v>278363</v>
      </c>
      <c r="D36" s="24">
        <f>IFERROR(__xludf.DUMMYFUNCTION("SUMPRODUCT((IMPORTRANGE(""17XjIPGwafStTRf_8bPPaoi2EFjHVy10_rRJ0uvy6YcU"",""M:M"")=B36)*1, IMPORTRANGE(""17XjIPGwafStTRf_8bPPaoi2EFjHVy10_rRJ0uvy6YcU"",""X:X""), IMPORTRANGE(""17XjIPGwafStTRf_8bPPaoi2EFjHVy10_rRJ0uvy6YcU"",""AA:AA"")) + SUMPRODUCT((IMPORTR"&amp;"ANGE(""17XjIPGwafStTRf_8bPPaoi2EFjHVy10_rRJ0uvy6YcU"",""M:M"")=B36)*1, IMPORTRANGE(""17XjIPGwafStTRf_8bPPaoi2EFjHVy10_rRJ0uvy6YcU"",""X:X""), IMPORTRANGE(""17XjIPGwafStTRf_8bPPaoi2EFjHVy10_rRJ0uvy6YcU"",""AE:AE"")) + SUMPRODUCT((IMPORTRANGE(""17XjIPGwafSt"&amp;"TRf_8bPPaoi2EFjHVy10_rRJ0uvy6YcU"",""M:M"")=B36)*1, IMPORTRANGE(""17XjIPGwafStTRf_8bPPaoi2EFjHVy10_rRJ0uvy6YcU"",""X:X""), IMPORTRANGE(""17XjIPGwafStTRf_8bPPaoi2EFjHVy10_rRJ0uvy6YcU"",""AF:AF""))"),258773.37937188667)</f>
        <v>258773.3794</v>
      </c>
      <c r="E36" s="24">
        <f>IFERROR(__xludf.DUMMYFUNCTION("SUMPRODUCT((IMPORTRANGE(""17XjIPGwafStTRf_8bPPaoi2EFjHVy10_rRJ0uvy6YcU"",""M:M"")=B36)*1, IMPORTRANGE(""17XjIPGwafStTRf_8bPPaoi2EFjHVy10_rRJ0uvy6YcU"",""X:X""), IMPORTRANGE(""17XjIPGwafStTRf_8bPPaoi2EFjHVy10_rRJ0uvy6YcU"",""AO:AO""))"),39459.21945390085)</f>
        <v>39459.21945</v>
      </c>
      <c r="F36" s="25">
        <f>IFERROR(__xludf.DUMMYFUNCTION("SUMPRODUCT((IMPORTRANGE(""17XjIPGwafStTRf_8bPPaoi2EFjHVy10_rRJ0uvy6YcU"",""M:M"")=B36)*1, IMPORTRANGE(""17XjIPGwafStTRf_8bPPaoi2EFjHVy10_rRJ0uvy6YcU"",""X:X""))"),58.0)</f>
        <v>58</v>
      </c>
      <c r="G36" s="26">
        <f>IFERROR(__xludf.DUMMYFUNCTION("COUNTIF(IMPORTRANGE(""17XjIPGwafStTRf_8bPPaoi2EFjHVy10_rRJ0uvy6YcU"",""M:M""), B36)"),11.0)</f>
        <v>11</v>
      </c>
      <c r="H36" s="27">
        <f t="shared" si="1"/>
        <v>5.272727273</v>
      </c>
      <c r="I36" s="28">
        <f t="shared" si="2"/>
        <v>0.1417545416</v>
      </c>
      <c r="J36" s="29">
        <f t="shared" si="3"/>
        <v>0.152485621</v>
      </c>
      <c r="K36" s="30"/>
      <c r="L36" s="31" t="str">
        <f>if(B36="","",IF(K36="","",E36/K36))</f>
        <v/>
      </c>
      <c r="M36" s="31" t="str">
        <f>if(B36="","",IF(K36="","",D36/K36))</f>
        <v/>
      </c>
      <c r="N36" s="4"/>
    </row>
    <row r="37">
      <c r="A37" s="4"/>
      <c r="B37" s="33" t="s">
        <v>16</v>
      </c>
      <c r="C37" s="34">
        <f t="shared" ref="C37:H37" si="8">SUM(C6:C36)</f>
        <v>8024694</v>
      </c>
      <c r="D37" s="34">
        <f t="shared" si="8"/>
        <v>5193657.566</v>
      </c>
      <c r="E37" s="34">
        <f t="shared" si="8"/>
        <v>1375062.63</v>
      </c>
      <c r="F37" s="34">
        <f t="shared" si="8"/>
        <v>1476</v>
      </c>
      <c r="G37" s="34">
        <f t="shared" si="8"/>
        <v>537</v>
      </c>
      <c r="H37" s="34">
        <f t="shared" si="8"/>
        <v>84.57036459</v>
      </c>
      <c r="I37" s="35">
        <f t="shared" si="2"/>
        <v>0.1713539021</v>
      </c>
      <c r="J37" s="35">
        <f t="shared" si="3"/>
        <v>0.2647580462</v>
      </c>
      <c r="K37" s="33">
        <f>SUM(K6:K36)</f>
        <v>0</v>
      </c>
      <c r="L37" s="34" t="str">
        <f>iferror(IF(K37="","",E37/K37),"")</f>
        <v/>
      </c>
      <c r="M37" s="34" t="str">
        <f>iferror(IF(K37="","",D37/K37),"")</f>
        <v/>
      </c>
      <c r="N37" s="4"/>
    </row>
    <row r="38">
      <c r="A38" s="4"/>
      <c r="B38" s="4"/>
      <c r="C38" s="4"/>
      <c r="D38" s="36" t="s">
        <v>17</v>
      </c>
      <c r="E38" s="4"/>
      <c r="F38" s="4"/>
      <c r="G38" s="4"/>
      <c r="H38" s="4"/>
      <c r="I38" s="4"/>
      <c r="J38" s="4"/>
      <c r="K38" s="4"/>
      <c r="L38" s="4"/>
      <c r="M38" s="4"/>
      <c r="N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2" max="2" width="7.38"/>
    <col customWidth="1" min="3" max="5" width="11.38"/>
    <col customWidth="1" min="6" max="8" width="5.75"/>
    <col customWidth="1" min="9" max="11" width="8.88"/>
    <col customWidth="1" min="12" max="13" width="11.38"/>
    <col customWidth="1" min="14" max="14" width="2.38"/>
  </cols>
  <sheetData>
    <row r="1" ht="7.5" customHeight="1">
      <c r="A1" s="1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</row>
    <row r="2">
      <c r="A2" s="1"/>
      <c r="B2" s="5">
        <v>44348.0</v>
      </c>
      <c r="C2" s="6"/>
      <c r="D2" s="3"/>
      <c r="E2" s="4"/>
      <c r="F2" s="4"/>
      <c r="G2" s="4"/>
      <c r="H2" s="4"/>
      <c r="I2" s="4"/>
      <c r="J2" s="4"/>
      <c r="K2" s="4"/>
      <c r="L2" s="7" t="s">
        <v>0</v>
      </c>
      <c r="M2" s="8">
        <v>1.5</v>
      </c>
      <c r="N2" s="4"/>
    </row>
    <row r="3">
      <c r="A3" s="4"/>
      <c r="B3" s="9" t="s">
        <v>1</v>
      </c>
      <c r="C3" s="10">
        <f>iferror((E3*M2)/I37,"")</f>
        <v>19047035.92</v>
      </c>
      <c r="D3" s="11" t="s">
        <v>2</v>
      </c>
      <c r="E3" s="12">
        <v>2000000.0</v>
      </c>
      <c r="F3" s="13"/>
      <c r="G3" s="4"/>
      <c r="H3" s="4"/>
      <c r="I3" s="4"/>
      <c r="J3" s="4"/>
      <c r="K3" s="4"/>
      <c r="L3" s="14"/>
      <c r="M3" s="15"/>
      <c r="N3" s="13"/>
    </row>
    <row r="4">
      <c r="A4" s="4"/>
      <c r="B4" s="9" t="s">
        <v>3</v>
      </c>
      <c r="C4" s="16">
        <f>iferror(C37/C3,"")</f>
        <v>0.2336212847</v>
      </c>
      <c r="D4" s="9"/>
      <c r="E4" s="16"/>
      <c r="F4" s="4"/>
      <c r="G4" s="4"/>
      <c r="H4" s="4"/>
      <c r="I4" s="4"/>
      <c r="J4" s="4"/>
      <c r="K4" s="17"/>
      <c r="L4" s="4"/>
      <c r="M4" s="4"/>
      <c r="N4" s="4"/>
    </row>
    <row r="5" ht="28.5" customHeight="1">
      <c r="A5" s="18"/>
      <c r="B5" s="19" t="s">
        <v>4</v>
      </c>
      <c r="C5" s="20" t="s">
        <v>5</v>
      </c>
      <c r="D5" s="20" t="s">
        <v>6</v>
      </c>
      <c r="E5" s="20" t="s">
        <v>7</v>
      </c>
      <c r="F5" s="21" t="s">
        <v>8</v>
      </c>
      <c r="G5" s="22" t="s">
        <v>9</v>
      </c>
      <c r="H5" s="22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18"/>
      <c r="R5" s="39" t="s">
        <v>18</v>
      </c>
      <c r="S5" s="39" t="s">
        <v>19</v>
      </c>
      <c r="T5" s="39" t="s">
        <v>20</v>
      </c>
    </row>
    <row r="6">
      <c r="A6" s="1"/>
      <c r="B6" s="23">
        <f>B2</f>
        <v>44348</v>
      </c>
      <c r="C6" s="24">
        <f>IFERROR(__xludf.DUMMYFUNCTION("SUMPRODUCT((IMPORTRANGE(""17XjIPGwafStTRf_8bPPaoi2EFjHVy10_rRJ0uvy6YcU"",""M:M"")=B6)*1, IMPORTRANGE(""17XjIPGwafStTRf_8bPPaoi2EFjHVy10_rRJ0uvy6YcU"",""X:X""), IMPORTRANGE(""17XjIPGwafStTRf_8bPPaoi2EFjHVy10_rRJ0uvy6YcU"",""AK:AK"")) - SUMPRODUCT((IMPORTRA"&amp;"NGE(""17XjIPGwafStTRf_8bPPaoi2EFjHVy10_rRJ0uvy6YcU"",""M:M"")=B6)*1, IMPORTRANGE(""17XjIPGwafStTRf_8bPPaoi2EFjHVy10_rRJ0uvy6YcU"",""X:X""), IMPORTRANGE(""17XjIPGwafStTRf_8bPPaoi2EFjHVy10_rRJ0uvy6YcU"",""AL:AL""))"),102920.0)</f>
        <v>102920</v>
      </c>
      <c r="D6" s="24">
        <f>IFERROR(__xludf.DUMMYFUNCTION("SUMPRODUCT((IMPORTRANGE(""17XjIPGwafStTRf_8bPPaoi2EFjHVy10_rRJ0uvy6YcU"",""M:M"")=B6)*1, IMPORTRANGE(""17XjIPGwafStTRf_8bPPaoi2EFjHVy10_rRJ0uvy6YcU"",""X:X""), IMPORTRANGE(""17XjIPGwafStTRf_8bPPaoi2EFjHVy10_rRJ0uvy6YcU"",""AA:AA"")) + SUMPRODUCT((IMPORTRA"&amp;"NGE(""17XjIPGwafStTRf_8bPPaoi2EFjHVy10_rRJ0uvy6YcU"",""M:M"")=B6)*1, IMPORTRANGE(""17XjIPGwafStTRf_8bPPaoi2EFjHVy10_rRJ0uvy6YcU"",""X:X""), IMPORTRANGE(""17XjIPGwafStTRf_8bPPaoi2EFjHVy10_rRJ0uvy6YcU"",""AE:AE"")) + SUMPRODUCT((IMPORTRANGE(""17XjIPGwafStTR"&amp;"f_8bPPaoi2EFjHVy10_rRJ0uvy6YcU"",""M:M"")=B6)*1, IMPORTRANGE(""17XjIPGwafStTRf_8bPPaoi2EFjHVy10_rRJ0uvy6YcU"",""X:X""), IMPORTRANGE(""17XjIPGwafStTRf_8bPPaoi2EFjHVy10_rRJ0uvy6YcU"",""AF:AF""))"),68673.79491963513)</f>
        <v>68673.79492</v>
      </c>
      <c r="E6" s="24">
        <f>IFERROR(__xludf.DUMMYFUNCTION("SUMPRODUCT((IMPORTRANGE(""17XjIPGwafStTRf_8bPPaoi2EFjHVy10_rRJ0uvy6YcU"",""M:M"")=B6)*1, IMPORTRANGE(""17XjIPGwafStTRf_8bPPaoi2EFjHVy10_rRJ0uvy6YcU"",""X:X""), IMPORTRANGE(""17XjIPGwafStTRf_8bPPaoi2EFjHVy10_rRJ0uvy6YcU"",""AO:AO""))"),11704.618743731211)</f>
        <v>11704.61874</v>
      </c>
      <c r="F6" s="25">
        <f>IFERROR(__xludf.DUMMYFUNCTION("SUMPRODUCT((IMPORTRANGE(""17XjIPGwafStTRf_8bPPaoi2EFjHVy10_rRJ0uvy6YcU"",""M:M"")=B6)*1, IMPORTRANGE(""17XjIPGwafStTRf_8bPPaoi2EFjHVy10_rRJ0uvy6YcU"",""X:X""))"),26.0)</f>
        <v>26</v>
      </c>
      <c r="G6" s="26">
        <f>IFERROR(__xludf.DUMMYFUNCTION("COUNTIF(IMPORTRANGE(""17XjIPGwafStTRf_8bPPaoi2EFjHVy10_rRJ0uvy6YcU"",""M:M""), B6)"),17.0)</f>
        <v>17</v>
      </c>
      <c r="H6" s="27">
        <f t="shared" ref="H6:H36" si="1">IF(F6=0,"",F6/G6)</f>
        <v>1.529411765</v>
      </c>
      <c r="I6" s="28">
        <f t="shared" ref="I6:I37" si="2">IF(C6=0,"",E6/C6)</f>
        <v>0.1137254056</v>
      </c>
      <c r="J6" s="29">
        <f t="shared" ref="J6:J37" si="3">IF(D6=0,"",E6/D6)</f>
        <v>0.1704379197</v>
      </c>
      <c r="K6" s="30"/>
      <c r="L6" s="31" t="str">
        <f t="shared" ref="L6:L35" si="4">IF(K6="","",E6/K6)</f>
        <v/>
      </c>
      <c r="M6" s="31" t="str">
        <f t="shared" ref="M6:M35" si="5">IF(K6="","",D6/K6)</f>
        <v/>
      </c>
      <c r="N6" s="4"/>
      <c r="P6" s="40">
        <v>44348.0</v>
      </c>
      <c r="Q6" s="39" t="s">
        <v>21</v>
      </c>
    </row>
    <row r="7">
      <c r="A7" s="1"/>
      <c r="B7" s="23">
        <f t="shared" ref="B7:B33" si="6">B6+1</f>
        <v>44349</v>
      </c>
      <c r="C7" s="24">
        <f>IFERROR(__xludf.DUMMYFUNCTION("SUMPRODUCT((IMPORTRANGE(""17XjIPGwafStTRf_8bPPaoi2EFjHVy10_rRJ0uvy6YcU"",""M:M"")=B7)*1, IMPORTRANGE(""17XjIPGwafStTRf_8bPPaoi2EFjHVy10_rRJ0uvy6YcU"",""X:X""), IMPORTRANGE(""17XjIPGwafStTRf_8bPPaoi2EFjHVy10_rRJ0uvy6YcU"",""AK:AK"")) - SUMPRODUCT((IMPORTRA"&amp;"NGE(""17XjIPGwafStTRf_8bPPaoi2EFjHVy10_rRJ0uvy6YcU"",""M:M"")=B7)*1, IMPORTRANGE(""17XjIPGwafStTRf_8bPPaoi2EFjHVy10_rRJ0uvy6YcU"",""X:X""), IMPORTRANGE(""17XjIPGwafStTRf_8bPPaoi2EFjHVy10_rRJ0uvy6YcU"",""AL:AL""))"),100109.0)</f>
        <v>100109</v>
      </c>
      <c r="D7" s="24">
        <f>IFERROR(__xludf.DUMMYFUNCTION("SUMPRODUCT((IMPORTRANGE(""17XjIPGwafStTRf_8bPPaoi2EFjHVy10_rRJ0uvy6YcU"",""M:M"")=B7)*1, IMPORTRANGE(""17XjIPGwafStTRf_8bPPaoi2EFjHVy10_rRJ0uvy6YcU"",""X:X""), IMPORTRANGE(""17XjIPGwafStTRf_8bPPaoi2EFjHVy10_rRJ0uvy6YcU"",""AA:AA"")) + SUMPRODUCT((IMPORTRA"&amp;"NGE(""17XjIPGwafStTRf_8bPPaoi2EFjHVy10_rRJ0uvy6YcU"",""M:M"")=B7)*1, IMPORTRANGE(""17XjIPGwafStTRf_8bPPaoi2EFjHVy10_rRJ0uvy6YcU"",""X:X""), IMPORTRANGE(""17XjIPGwafStTRf_8bPPaoi2EFjHVy10_rRJ0uvy6YcU"",""AE:AE"")) + SUMPRODUCT((IMPORTRANGE(""17XjIPGwafStTR"&amp;"f_8bPPaoi2EFjHVy10_rRJ0uvy6YcU"",""M:M"")=B7)*1, IMPORTRANGE(""17XjIPGwafStTRf_8bPPaoi2EFjHVy10_rRJ0uvy6YcU"",""X:X""), IMPORTRANGE(""17XjIPGwafStTRf_8bPPaoi2EFjHVy10_rRJ0uvy6YcU"",""AF:AF""))"),60939.44560201547)</f>
        <v>60939.4456</v>
      </c>
      <c r="E7" s="24">
        <f>IFERROR(__xludf.DUMMYFUNCTION("SUMPRODUCT((IMPORTRANGE(""17XjIPGwafStTRf_8bPPaoi2EFjHVy10_rRJ0uvy6YcU"",""M:M"")=B7)*1, IMPORTRANGE(""17XjIPGwafStTRf_8bPPaoi2EFjHVy10_rRJ0uvy6YcU"",""X:X""), IMPORTRANGE(""17XjIPGwafStTRf_8bPPaoi2EFjHVy10_rRJ0uvy6YcU"",""AO:AO""))"),17790.56890746516)</f>
        <v>17790.56891</v>
      </c>
      <c r="F7" s="25">
        <f>IFERROR(__xludf.DUMMYFUNCTION("SUMPRODUCT((IMPORTRANGE(""17XjIPGwafStTRf_8bPPaoi2EFjHVy10_rRJ0uvy6YcU"",""M:M"")=B7)*1, IMPORTRANGE(""17XjIPGwafStTRf_8bPPaoi2EFjHVy10_rRJ0uvy6YcU"",""X:X""))"),15.0)</f>
        <v>15</v>
      </c>
      <c r="G7" s="26">
        <f>IFERROR(__xludf.DUMMYFUNCTION("COUNTIF(IMPORTRANGE(""17XjIPGwafStTRf_8bPPaoi2EFjHVy10_rRJ0uvy6YcU"",""M:M""), B7)"),9.0)</f>
        <v>9</v>
      </c>
      <c r="H7" s="27">
        <f t="shared" si="1"/>
        <v>1.666666667</v>
      </c>
      <c r="I7" s="28">
        <f t="shared" si="2"/>
        <v>0.177711983</v>
      </c>
      <c r="J7" s="29">
        <f t="shared" si="3"/>
        <v>0.2919384765</v>
      </c>
      <c r="K7" s="30"/>
      <c r="L7" s="31" t="str">
        <f t="shared" si="4"/>
        <v/>
      </c>
      <c r="M7" s="31" t="str">
        <f t="shared" si="5"/>
        <v/>
      </c>
      <c r="N7" s="4"/>
    </row>
    <row r="8">
      <c r="A8" s="1"/>
      <c r="B8" s="23">
        <f t="shared" si="6"/>
        <v>44350</v>
      </c>
      <c r="C8" s="24">
        <f>IFERROR(__xludf.DUMMYFUNCTION("SUMPRODUCT((IMPORTRANGE(""17XjIPGwafStTRf_8bPPaoi2EFjHVy10_rRJ0uvy6YcU"",""M:M"")=B8)*1, IMPORTRANGE(""17XjIPGwafStTRf_8bPPaoi2EFjHVy10_rRJ0uvy6YcU"",""X:X""), IMPORTRANGE(""17XjIPGwafStTRf_8bPPaoi2EFjHVy10_rRJ0uvy6YcU"",""AK:AK"")) - SUMPRODUCT((IMPORTRA"&amp;"NGE(""17XjIPGwafStTRf_8bPPaoi2EFjHVy10_rRJ0uvy6YcU"",""M:M"")=B8)*1, IMPORTRANGE(""17XjIPGwafStTRf_8bPPaoi2EFjHVy10_rRJ0uvy6YcU"",""X:X""), IMPORTRANGE(""17XjIPGwafStTRf_8bPPaoi2EFjHVy10_rRJ0uvy6YcU"",""AL:AL""))"),50608.0)</f>
        <v>50608</v>
      </c>
      <c r="D8" s="24">
        <f>IFERROR(__xludf.DUMMYFUNCTION("SUMPRODUCT((IMPORTRANGE(""17XjIPGwafStTRf_8bPPaoi2EFjHVy10_rRJ0uvy6YcU"",""M:M"")=B8)*1, IMPORTRANGE(""17XjIPGwafStTRf_8bPPaoi2EFjHVy10_rRJ0uvy6YcU"",""X:X""), IMPORTRANGE(""17XjIPGwafStTRf_8bPPaoi2EFjHVy10_rRJ0uvy6YcU"",""AA:AA"")) + SUMPRODUCT((IMPORTRA"&amp;"NGE(""17XjIPGwafStTRf_8bPPaoi2EFjHVy10_rRJ0uvy6YcU"",""M:M"")=B8)*1, IMPORTRANGE(""17XjIPGwafStTRf_8bPPaoi2EFjHVy10_rRJ0uvy6YcU"",""X:X""), IMPORTRANGE(""17XjIPGwafStTRf_8bPPaoi2EFjHVy10_rRJ0uvy6YcU"",""AE:AE"")) + SUMPRODUCT((IMPORTRANGE(""17XjIPGwafStTR"&amp;"f_8bPPaoi2EFjHVy10_rRJ0uvy6YcU"",""M:M"")=B8)*1, IMPORTRANGE(""17XjIPGwafStTRf_8bPPaoi2EFjHVy10_rRJ0uvy6YcU"",""X:X""), IMPORTRANGE(""17XjIPGwafStTRf_8bPPaoi2EFjHVy10_rRJ0uvy6YcU"",""AF:AF""))"),34007.259213720885)</f>
        <v>34007.25921</v>
      </c>
      <c r="E8" s="24">
        <f>IFERROR(__xludf.DUMMYFUNCTION("SUMPRODUCT((IMPORTRANGE(""17XjIPGwafStTRf_8bPPaoi2EFjHVy10_rRJ0uvy6YcU"",""M:M"")=B8)*1, IMPORTRANGE(""17XjIPGwafStTRf_8bPPaoi2EFjHVy10_rRJ0uvy6YcU"",""X:X""), IMPORTRANGE(""17XjIPGwafStTRf_8bPPaoi2EFjHVy10_rRJ0uvy6YcU"",""AO:AO""))"),6506.651812895081)</f>
        <v>6506.651813</v>
      </c>
      <c r="F8" s="25">
        <f>IFERROR(__xludf.DUMMYFUNCTION("SUMPRODUCT((IMPORTRANGE(""17XjIPGwafStTRf_8bPPaoi2EFjHVy10_rRJ0uvy6YcU"",""M:M"")=B8)*1, IMPORTRANGE(""17XjIPGwafStTRf_8bPPaoi2EFjHVy10_rRJ0uvy6YcU"",""X:X""))"),8.0)</f>
        <v>8</v>
      </c>
      <c r="G8" s="26">
        <f>IFERROR(__xludf.DUMMYFUNCTION("COUNTIF(IMPORTRANGE(""17XjIPGwafStTRf_8bPPaoi2EFjHVy10_rRJ0uvy6YcU"",""M:M""), B8)"),5.0)</f>
        <v>5</v>
      </c>
      <c r="H8" s="27">
        <f t="shared" si="1"/>
        <v>1.6</v>
      </c>
      <c r="I8" s="28">
        <f t="shared" si="2"/>
        <v>0.1285696296</v>
      </c>
      <c r="J8" s="29">
        <f t="shared" si="3"/>
        <v>0.1913312617</v>
      </c>
      <c r="K8" s="30"/>
      <c r="L8" s="31" t="str">
        <f t="shared" si="4"/>
        <v/>
      </c>
      <c r="M8" s="31" t="str">
        <f t="shared" si="5"/>
        <v/>
      </c>
      <c r="N8" s="4"/>
    </row>
    <row r="9">
      <c r="A9" s="1"/>
      <c r="B9" s="23">
        <f t="shared" si="6"/>
        <v>44351</v>
      </c>
      <c r="C9" s="24">
        <f>IFERROR(__xludf.DUMMYFUNCTION("SUMPRODUCT((IMPORTRANGE(""17XjIPGwafStTRf_8bPPaoi2EFjHVy10_rRJ0uvy6YcU"",""M:M"")=B9)*1, IMPORTRANGE(""17XjIPGwafStTRf_8bPPaoi2EFjHVy10_rRJ0uvy6YcU"",""X:X""), IMPORTRANGE(""17XjIPGwafStTRf_8bPPaoi2EFjHVy10_rRJ0uvy6YcU"",""AK:AK"")) - SUMPRODUCT((IMPORTRA"&amp;"NGE(""17XjIPGwafStTRf_8bPPaoi2EFjHVy10_rRJ0uvy6YcU"",""M:M"")=B9)*1, IMPORTRANGE(""17XjIPGwafStTRf_8bPPaoi2EFjHVy10_rRJ0uvy6YcU"",""X:X""), IMPORTRANGE(""17XjIPGwafStTRf_8bPPaoi2EFjHVy10_rRJ0uvy6YcU"",""AL:AL""))"),188039.0)</f>
        <v>188039</v>
      </c>
      <c r="D9" s="24">
        <f>IFERROR(__xludf.DUMMYFUNCTION("SUMPRODUCT((IMPORTRANGE(""17XjIPGwafStTRf_8bPPaoi2EFjHVy10_rRJ0uvy6YcU"",""M:M"")=B9)*1, IMPORTRANGE(""17XjIPGwafStTRf_8bPPaoi2EFjHVy10_rRJ0uvy6YcU"",""X:X""), IMPORTRANGE(""17XjIPGwafStTRf_8bPPaoi2EFjHVy10_rRJ0uvy6YcU"",""AA:AA"")) + SUMPRODUCT((IMPORTRA"&amp;"NGE(""17XjIPGwafStTRf_8bPPaoi2EFjHVy10_rRJ0uvy6YcU"",""M:M"")=B9)*1, IMPORTRANGE(""17XjIPGwafStTRf_8bPPaoi2EFjHVy10_rRJ0uvy6YcU"",""X:X""), IMPORTRANGE(""17XjIPGwafStTRf_8bPPaoi2EFjHVy10_rRJ0uvy6YcU"",""AE:AE"")) + SUMPRODUCT((IMPORTRANGE(""17XjIPGwafStTR"&amp;"f_8bPPaoi2EFjHVy10_rRJ0uvy6YcU"",""M:M"")=B9)*1, IMPORTRANGE(""17XjIPGwafStTRf_8bPPaoi2EFjHVy10_rRJ0uvy6YcU"",""X:X""), IMPORTRANGE(""17XjIPGwafStTRf_8bPPaoi2EFjHVy10_rRJ0uvy6YcU"",""AF:AF""))"),130787.69775463558)</f>
        <v>130787.6978</v>
      </c>
      <c r="E9" s="24">
        <f>IFERROR(__xludf.DUMMYFUNCTION("SUMPRODUCT((IMPORTRANGE(""17XjIPGwafStTRf_8bPPaoi2EFjHVy10_rRJ0uvy6YcU"",""M:M"")=B9)*1, IMPORTRANGE(""17XjIPGwafStTRf_8bPPaoi2EFjHVy10_rRJ0uvy6YcU"",""X:X""), IMPORTRANGE(""17XjIPGwafStTRf_8bPPaoi2EFjHVy10_rRJ0uvy6YcU"",""AO:AO""))"),23222.59627464322)</f>
        <v>23222.59627</v>
      </c>
      <c r="F9" s="25">
        <f>IFERROR(__xludf.DUMMYFUNCTION("SUMPRODUCT((IMPORTRANGE(""17XjIPGwafStTRf_8bPPaoi2EFjHVy10_rRJ0uvy6YcU"",""M:M"")=B9)*1, IMPORTRANGE(""17XjIPGwafStTRf_8bPPaoi2EFjHVy10_rRJ0uvy6YcU"",""X:X""))"),36.0)</f>
        <v>36</v>
      </c>
      <c r="G9" s="26">
        <f>IFERROR(__xludf.DUMMYFUNCTION("COUNTIF(IMPORTRANGE(""17XjIPGwafStTRf_8bPPaoi2EFjHVy10_rRJ0uvy6YcU"",""M:M""), B9)"),14.0)</f>
        <v>14</v>
      </c>
      <c r="H9" s="27">
        <f t="shared" si="1"/>
        <v>2.571428571</v>
      </c>
      <c r="I9" s="28">
        <f t="shared" si="2"/>
        <v>0.1234988288</v>
      </c>
      <c r="J9" s="29">
        <f t="shared" si="3"/>
        <v>0.1775594851</v>
      </c>
      <c r="K9" s="32"/>
      <c r="L9" s="31" t="str">
        <f t="shared" si="4"/>
        <v/>
      </c>
      <c r="M9" s="31" t="str">
        <f t="shared" si="5"/>
        <v/>
      </c>
      <c r="N9" s="4"/>
    </row>
    <row r="10">
      <c r="A10" s="1"/>
      <c r="B10" s="23">
        <f t="shared" si="6"/>
        <v>44352</v>
      </c>
      <c r="C10" s="24">
        <f>IFERROR(__xludf.DUMMYFUNCTION("SUMPRODUCT((IMPORTRANGE(""17XjIPGwafStTRf_8bPPaoi2EFjHVy10_rRJ0uvy6YcU"",""M:M"")=B10)*1, IMPORTRANGE(""17XjIPGwafStTRf_8bPPaoi2EFjHVy10_rRJ0uvy6YcU"",""X:X""), IMPORTRANGE(""17XjIPGwafStTRf_8bPPaoi2EFjHVy10_rRJ0uvy6YcU"",""AK:AK"")) - SUMPRODUCT((IMPORTR"&amp;"ANGE(""17XjIPGwafStTRf_8bPPaoi2EFjHVy10_rRJ0uvy6YcU"",""M:M"")=B10)*1, IMPORTRANGE(""17XjIPGwafStTRf_8bPPaoi2EFjHVy10_rRJ0uvy6YcU"",""X:X""), IMPORTRANGE(""17XjIPGwafStTRf_8bPPaoi2EFjHVy10_rRJ0uvy6YcU"",""AL:AL""))"),46904.0)</f>
        <v>46904</v>
      </c>
      <c r="D10" s="24">
        <f>IFERROR(__xludf.DUMMYFUNCTION("SUMPRODUCT((IMPORTRANGE(""17XjIPGwafStTRf_8bPPaoi2EFjHVy10_rRJ0uvy6YcU"",""M:M"")=B10)*1, IMPORTRANGE(""17XjIPGwafStTRf_8bPPaoi2EFjHVy10_rRJ0uvy6YcU"",""X:X""), IMPORTRANGE(""17XjIPGwafStTRf_8bPPaoi2EFjHVy10_rRJ0uvy6YcU"",""AA:AA"")) + SUMPRODUCT((IMPORTR"&amp;"ANGE(""17XjIPGwafStTRf_8bPPaoi2EFjHVy10_rRJ0uvy6YcU"",""M:M"")=B10)*1, IMPORTRANGE(""17XjIPGwafStTRf_8bPPaoi2EFjHVy10_rRJ0uvy6YcU"",""X:X""), IMPORTRANGE(""17XjIPGwafStTRf_8bPPaoi2EFjHVy10_rRJ0uvy6YcU"",""AE:AE"")) + SUMPRODUCT((IMPORTRANGE(""17XjIPGwafSt"&amp;"TRf_8bPPaoi2EFjHVy10_rRJ0uvy6YcU"",""M:M"")=B10)*1, IMPORTRANGE(""17XjIPGwafStTRf_8bPPaoi2EFjHVy10_rRJ0uvy6YcU"",""X:X""), IMPORTRANGE(""17XjIPGwafStTRf_8bPPaoi2EFjHVy10_rRJ0uvy6YcU"",""AF:AF""))"),26373.64481346635)</f>
        <v>26373.64481</v>
      </c>
      <c r="E10" s="24">
        <f>IFERROR(__xludf.DUMMYFUNCTION("SUMPRODUCT((IMPORTRANGE(""17XjIPGwafStTRf_8bPPaoi2EFjHVy10_rRJ0uvy6YcU"",""M:M"")=B10)*1, IMPORTRANGE(""17XjIPGwafStTRf_8bPPaoi2EFjHVy10_rRJ0uvy6YcU"",""X:X""), IMPORTRANGE(""17XjIPGwafStTRf_8bPPaoi2EFjHVy10_rRJ0uvy6YcU"",""AO:AO""))"),9051.294375722839)</f>
        <v>9051.294376</v>
      </c>
      <c r="F10" s="25">
        <f>IFERROR(__xludf.DUMMYFUNCTION("SUMPRODUCT((IMPORTRANGE(""17XjIPGwafStTRf_8bPPaoi2EFjHVy10_rRJ0uvy6YcU"",""M:M"")=B10)*1, IMPORTRANGE(""17XjIPGwafStTRf_8bPPaoi2EFjHVy10_rRJ0uvy6YcU"",""X:X""))"),13.0)</f>
        <v>13</v>
      </c>
      <c r="G10" s="26">
        <f>IFERROR(__xludf.DUMMYFUNCTION("COUNTIF(IMPORTRANGE(""17XjIPGwafStTRf_8bPPaoi2EFjHVy10_rRJ0uvy6YcU"",""M:M""), B10)"),6.0)</f>
        <v>6</v>
      </c>
      <c r="H10" s="27">
        <f t="shared" si="1"/>
        <v>2.166666667</v>
      </c>
      <c r="I10" s="28">
        <f t="shared" si="2"/>
        <v>0.1929748929</v>
      </c>
      <c r="J10" s="29">
        <f t="shared" si="3"/>
        <v>0.3431946718</v>
      </c>
      <c r="K10" s="32"/>
      <c r="L10" s="31" t="str">
        <f t="shared" si="4"/>
        <v/>
      </c>
      <c r="M10" s="31" t="str">
        <f t="shared" si="5"/>
        <v/>
      </c>
      <c r="N10" s="4"/>
    </row>
    <row r="11">
      <c r="A11" s="1"/>
      <c r="B11" s="23">
        <f t="shared" si="6"/>
        <v>44353</v>
      </c>
      <c r="C11" s="24">
        <f>IFERROR(__xludf.DUMMYFUNCTION("SUMPRODUCT((IMPORTRANGE(""17XjIPGwafStTRf_8bPPaoi2EFjHVy10_rRJ0uvy6YcU"",""M:M"")=B11)*1, IMPORTRANGE(""17XjIPGwafStTRf_8bPPaoi2EFjHVy10_rRJ0uvy6YcU"",""X:X""), IMPORTRANGE(""17XjIPGwafStTRf_8bPPaoi2EFjHVy10_rRJ0uvy6YcU"",""AK:AK"")) - SUMPRODUCT((IMPORTR"&amp;"ANGE(""17XjIPGwafStTRf_8bPPaoi2EFjHVy10_rRJ0uvy6YcU"",""M:M"")=B11)*1, IMPORTRANGE(""17XjIPGwafStTRf_8bPPaoi2EFjHVy10_rRJ0uvy6YcU"",""X:X""), IMPORTRANGE(""17XjIPGwafStTRf_8bPPaoi2EFjHVy10_rRJ0uvy6YcU"",""AL:AL""))"),0.0)</f>
        <v>0</v>
      </c>
      <c r="D11" s="24">
        <f>IFERROR(__xludf.DUMMYFUNCTION("SUMPRODUCT((IMPORTRANGE(""17XjIPGwafStTRf_8bPPaoi2EFjHVy10_rRJ0uvy6YcU"",""M:M"")=B11)*1, IMPORTRANGE(""17XjIPGwafStTRf_8bPPaoi2EFjHVy10_rRJ0uvy6YcU"",""X:X""), IMPORTRANGE(""17XjIPGwafStTRf_8bPPaoi2EFjHVy10_rRJ0uvy6YcU"",""AA:AA"")) + SUMPRODUCT((IMPORTR"&amp;"ANGE(""17XjIPGwafStTRf_8bPPaoi2EFjHVy10_rRJ0uvy6YcU"",""M:M"")=B11)*1, IMPORTRANGE(""17XjIPGwafStTRf_8bPPaoi2EFjHVy10_rRJ0uvy6YcU"",""X:X""), IMPORTRANGE(""17XjIPGwafStTRf_8bPPaoi2EFjHVy10_rRJ0uvy6YcU"",""AE:AE"")) + SUMPRODUCT((IMPORTRANGE(""17XjIPGwafSt"&amp;"TRf_8bPPaoi2EFjHVy10_rRJ0uvy6YcU"",""M:M"")=B11)*1, IMPORTRANGE(""17XjIPGwafStTRf_8bPPaoi2EFjHVy10_rRJ0uvy6YcU"",""X:X""), IMPORTRANGE(""17XjIPGwafStTRf_8bPPaoi2EFjHVy10_rRJ0uvy6YcU"",""AF:AF""))"),0.0)</f>
        <v>0</v>
      </c>
      <c r="E11" s="24">
        <f>IFERROR(__xludf.DUMMYFUNCTION("SUMPRODUCT((IMPORTRANGE(""17XjIPGwafStTRf_8bPPaoi2EFjHVy10_rRJ0uvy6YcU"",""M:M"")=B11)*1, IMPORTRANGE(""17XjIPGwafStTRf_8bPPaoi2EFjHVy10_rRJ0uvy6YcU"",""X:X""), IMPORTRANGE(""17XjIPGwafStTRf_8bPPaoi2EFjHVy10_rRJ0uvy6YcU"",""AO:AO""))"),0.0)</f>
        <v>0</v>
      </c>
      <c r="F11" s="25">
        <f>IFERROR(__xludf.DUMMYFUNCTION("SUMPRODUCT((IMPORTRANGE(""17XjIPGwafStTRf_8bPPaoi2EFjHVy10_rRJ0uvy6YcU"",""M:M"")=B11)*1, IMPORTRANGE(""17XjIPGwafStTRf_8bPPaoi2EFjHVy10_rRJ0uvy6YcU"",""X:X""))"),0.0)</f>
        <v>0</v>
      </c>
      <c r="G11" s="26">
        <f>IFERROR(__xludf.DUMMYFUNCTION("COUNTIF(IMPORTRANGE(""17XjIPGwafStTRf_8bPPaoi2EFjHVy10_rRJ0uvy6YcU"",""M:M""), B11)"),0.0)</f>
        <v>0</v>
      </c>
      <c r="H11" s="27" t="str">
        <f t="shared" si="1"/>
        <v/>
      </c>
      <c r="I11" s="28" t="str">
        <f t="shared" si="2"/>
        <v/>
      </c>
      <c r="J11" s="29" t="str">
        <f t="shared" si="3"/>
        <v/>
      </c>
      <c r="K11" s="30"/>
      <c r="L11" s="31" t="str">
        <f t="shared" si="4"/>
        <v/>
      </c>
      <c r="M11" s="31" t="str">
        <f t="shared" si="5"/>
        <v/>
      </c>
      <c r="N11" s="4"/>
    </row>
    <row r="12">
      <c r="A12" s="1"/>
      <c r="B12" s="23">
        <f t="shared" si="6"/>
        <v>44354</v>
      </c>
      <c r="C12" s="24">
        <f>IFERROR(__xludf.DUMMYFUNCTION("SUMPRODUCT((IMPORTRANGE(""17XjIPGwafStTRf_8bPPaoi2EFjHVy10_rRJ0uvy6YcU"",""M:M"")=B12)*1, IMPORTRANGE(""17XjIPGwafStTRf_8bPPaoi2EFjHVy10_rRJ0uvy6YcU"",""X:X""), IMPORTRANGE(""17XjIPGwafStTRf_8bPPaoi2EFjHVy10_rRJ0uvy6YcU"",""AK:AK"")) - SUMPRODUCT((IMPORTR"&amp;"ANGE(""17XjIPGwafStTRf_8bPPaoi2EFjHVy10_rRJ0uvy6YcU"",""M:M"")=B12)*1, IMPORTRANGE(""17XjIPGwafStTRf_8bPPaoi2EFjHVy10_rRJ0uvy6YcU"",""X:X""), IMPORTRANGE(""17XjIPGwafStTRf_8bPPaoi2EFjHVy10_rRJ0uvy6YcU"",""AL:AL""))"),291405.0)</f>
        <v>291405</v>
      </c>
      <c r="D12" s="24">
        <f>IFERROR(__xludf.DUMMYFUNCTION("SUMPRODUCT((IMPORTRANGE(""17XjIPGwafStTRf_8bPPaoi2EFjHVy10_rRJ0uvy6YcU"",""M:M"")=B12)*1, IMPORTRANGE(""17XjIPGwafStTRf_8bPPaoi2EFjHVy10_rRJ0uvy6YcU"",""X:X""), IMPORTRANGE(""17XjIPGwafStTRf_8bPPaoi2EFjHVy10_rRJ0uvy6YcU"",""AA:AA"")) + SUMPRODUCT((IMPORTR"&amp;"ANGE(""17XjIPGwafStTRf_8bPPaoi2EFjHVy10_rRJ0uvy6YcU"",""M:M"")=B12)*1, IMPORTRANGE(""17XjIPGwafStTRf_8bPPaoi2EFjHVy10_rRJ0uvy6YcU"",""X:X""), IMPORTRANGE(""17XjIPGwafStTRf_8bPPaoi2EFjHVy10_rRJ0uvy6YcU"",""AE:AE"")) + SUMPRODUCT((IMPORTRANGE(""17XjIPGwafSt"&amp;"TRf_8bPPaoi2EFjHVy10_rRJ0uvy6YcU"",""M:M"")=B12)*1, IMPORTRANGE(""17XjIPGwafStTRf_8bPPaoi2EFjHVy10_rRJ0uvy6YcU"",""X:X""), IMPORTRANGE(""17XjIPGwafStTRf_8bPPaoi2EFjHVy10_rRJ0uvy6YcU"",""AF:AF""))"),142084.2220406597)</f>
        <v>142084.222</v>
      </c>
      <c r="E12" s="24">
        <f>IFERROR(__xludf.DUMMYFUNCTION("SUMPRODUCT((IMPORTRANGE(""17XjIPGwafStTRf_8bPPaoi2EFjHVy10_rRJ0uvy6YcU"",""M:M"")=B12)*1, IMPORTRANGE(""17XjIPGwafStTRf_8bPPaoi2EFjHVy10_rRJ0uvy6YcU"",""X:X""), IMPORTRANGE(""17XjIPGwafStTRf_8bPPaoi2EFjHVy10_rRJ0uvy6YcU"",""AO:AO""))"),89488.5853587247)</f>
        <v>89488.58536</v>
      </c>
      <c r="F12" s="25">
        <f>IFERROR(__xludf.DUMMYFUNCTION("SUMPRODUCT((IMPORTRANGE(""17XjIPGwafStTRf_8bPPaoi2EFjHVy10_rRJ0uvy6YcU"",""M:M"")=B12)*1, IMPORTRANGE(""17XjIPGwafStTRf_8bPPaoi2EFjHVy10_rRJ0uvy6YcU"",""X:X""))"),78.0)</f>
        <v>78</v>
      </c>
      <c r="G12" s="26">
        <f>IFERROR(__xludf.DUMMYFUNCTION("COUNTIF(IMPORTRANGE(""17XjIPGwafStTRf_8bPPaoi2EFjHVy10_rRJ0uvy6YcU"",""M:M""), B12)"),23.0)</f>
        <v>23</v>
      </c>
      <c r="H12" s="27">
        <f t="shared" si="1"/>
        <v>3.391304348</v>
      </c>
      <c r="I12" s="28">
        <f t="shared" si="2"/>
        <v>0.3070935137</v>
      </c>
      <c r="J12" s="29">
        <f t="shared" si="3"/>
        <v>0.6298277463</v>
      </c>
      <c r="K12" s="32"/>
      <c r="L12" s="31" t="str">
        <f t="shared" si="4"/>
        <v/>
      </c>
      <c r="M12" s="31" t="str">
        <f t="shared" si="5"/>
        <v/>
      </c>
      <c r="N12" s="4"/>
    </row>
    <row r="13">
      <c r="A13" s="1"/>
      <c r="B13" s="23">
        <f t="shared" si="6"/>
        <v>44355</v>
      </c>
      <c r="C13" s="24">
        <f>IFERROR(__xludf.DUMMYFUNCTION("SUMPRODUCT((IMPORTRANGE(""17XjIPGwafStTRf_8bPPaoi2EFjHVy10_rRJ0uvy6YcU"",""M:M"")=B13)*1, IMPORTRANGE(""17XjIPGwafStTRf_8bPPaoi2EFjHVy10_rRJ0uvy6YcU"",""X:X""), IMPORTRANGE(""17XjIPGwafStTRf_8bPPaoi2EFjHVy10_rRJ0uvy6YcU"",""AK:AK"")) - SUMPRODUCT((IMPORTR"&amp;"ANGE(""17XjIPGwafStTRf_8bPPaoi2EFjHVy10_rRJ0uvy6YcU"",""M:M"")=B13)*1, IMPORTRANGE(""17XjIPGwafStTRf_8bPPaoi2EFjHVy10_rRJ0uvy6YcU"",""X:X""), IMPORTRANGE(""17XjIPGwafStTRf_8bPPaoi2EFjHVy10_rRJ0uvy6YcU"",""AL:AL""))"),591348.0)</f>
        <v>591348</v>
      </c>
      <c r="D13" s="24">
        <f>IFERROR(__xludf.DUMMYFUNCTION("SUMPRODUCT((IMPORTRANGE(""17XjIPGwafStTRf_8bPPaoi2EFjHVy10_rRJ0uvy6YcU"",""M:M"")=B13)*1, IMPORTRANGE(""17XjIPGwafStTRf_8bPPaoi2EFjHVy10_rRJ0uvy6YcU"",""X:X""), IMPORTRANGE(""17XjIPGwafStTRf_8bPPaoi2EFjHVy10_rRJ0uvy6YcU"",""AA:AA"")) + SUMPRODUCT((IMPORTR"&amp;"ANGE(""17XjIPGwafStTRf_8bPPaoi2EFjHVy10_rRJ0uvy6YcU"",""M:M"")=B13)*1, IMPORTRANGE(""17XjIPGwafStTRf_8bPPaoi2EFjHVy10_rRJ0uvy6YcU"",""X:X""), IMPORTRANGE(""17XjIPGwafStTRf_8bPPaoi2EFjHVy10_rRJ0uvy6YcU"",""AE:AE"")) + SUMPRODUCT((IMPORTRANGE(""17XjIPGwafSt"&amp;"TRf_8bPPaoi2EFjHVy10_rRJ0uvy6YcU"",""M:M"")=B13)*1, IMPORTRANGE(""17XjIPGwafStTRf_8bPPaoi2EFjHVy10_rRJ0uvy6YcU"",""X:X""), IMPORTRANGE(""17XjIPGwafStTRf_8bPPaoi2EFjHVy10_rRJ0uvy6YcU"",""AF:AF""))"),380372.4392820118)</f>
        <v>380372.4393</v>
      </c>
      <c r="E13" s="24">
        <f>IFERROR(__xludf.DUMMYFUNCTION("SUMPRODUCT((IMPORTRANGE(""17XjIPGwafStTRf_8bPPaoi2EFjHVy10_rRJ0uvy6YcU"",""M:M"")=B13)*1, IMPORTRANGE(""17XjIPGwafStTRf_8bPPaoi2EFjHVy10_rRJ0uvy6YcU"",""X:X""), IMPORTRANGE(""17XjIPGwafStTRf_8bPPaoi2EFjHVy10_rRJ0uvy6YcU"",""AO:AO""))"),99083.03661185552)</f>
        <v>99083.03661</v>
      </c>
      <c r="F13" s="25">
        <f>IFERROR(__xludf.DUMMYFUNCTION("SUMPRODUCT((IMPORTRANGE(""17XjIPGwafStTRf_8bPPaoi2EFjHVy10_rRJ0uvy6YcU"",""M:M"")=B13)*1, IMPORTRANGE(""17XjIPGwafStTRf_8bPPaoi2EFjHVy10_rRJ0uvy6YcU"",""X:X""))"),93.0)</f>
        <v>93</v>
      </c>
      <c r="G13" s="26">
        <f>IFERROR(__xludf.DUMMYFUNCTION("COUNTIF(IMPORTRANGE(""17XjIPGwafStTRf_8bPPaoi2EFjHVy10_rRJ0uvy6YcU"",""M:M""), B13)"),51.0)</f>
        <v>51</v>
      </c>
      <c r="H13" s="27">
        <f t="shared" si="1"/>
        <v>1.823529412</v>
      </c>
      <c r="I13" s="28">
        <f t="shared" si="2"/>
        <v>0.1675545307</v>
      </c>
      <c r="J13" s="29">
        <f t="shared" si="3"/>
        <v>0.2604895265</v>
      </c>
      <c r="K13" s="32"/>
      <c r="L13" s="31" t="str">
        <f t="shared" si="4"/>
        <v/>
      </c>
      <c r="M13" s="31" t="str">
        <f t="shared" si="5"/>
        <v/>
      </c>
      <c r="N13" s="4"/>
    </row>
    <row r="14">
      <c r="A14" s="1"/>
      <c r="B14" s="23">
        <f t="shared" si="6"/>
        <v>44356</v>
      </c>
      <c r="C14" s="24">
        <f>IFERROR(__xludf.DUMMYFUNCTION("SUMPRODUCT((IMPORTRANGE(""17XjIPGwafStTRf_8bPPaoi2EFjHVy10_rRJ0uvy6YcU"",""M:M"")=B14)*1, IMPORTRANGE(""17XjIPGwafStTRf_8bPPaoi2EFjHVy10_rRJ0uvy6YcU"",""X:X""), IMPORTRANGE(""17XjIPGwafStTRf_8bPPaoi2EFjHVy10_rRJ0uvy6YcU"",""AK:AK"")) - SUMPRODUCT((IMPORTR"&amp;"ANGE(""17XjIPGwafStTRf_8bPPaoi2EFjHVy10_rRJ0uvy6YcU"",""M:M"")=B14)*1, IMPORTRANGE(""17XjIPGwafStTRf_8bPPaoi2EFjHVy10_rRJ0uvy6YcU"",""X:X""), IMPORTRANGE(""17XjIPGwafStTRf_8bPPaoi2EFjHVy10_rRJ0uvy6YcU"",""AL:AL""))"),264482.0)</f>
        <v>264482</v>
      </c>
      <c r="D14" s="24">
        <f>IFERROR(__xludf.DUMMYFUNCTION("SUMPRODUCT((IMPORTRANGE(""17XjIPGwafStTRf_8bPPaoi2EFjHVy10_rRJ0uvy6YcU"",""M:M"")=B14)*1, IMPORTRANGE(""17XjIPGwafStTRf_8bPPaoi2EFjHVy10_rRJ0uvy6YcU"",""X:X""), IMPORTRANGE(""17XjIPGwafStTRf_8bPPaoi2EFjHVy10_rRJ0uvy6YcU"",""AA:AA"")) + SUMPRODUCT((IMPORTR"&amp;"ANGE(""17XjIPGwafStTRf_8bPPaoi2EFjHVy10_rRJ0uvy6YcU"",""M:M"")=B14)*1, IMPORTRANGE(""17XjIPGwafStTRf_8bPPaoi2EFjHVy10_rRJ0uvy6YcU"",""X:X""), IMPORTRANGE(""17XjIPGwafStTRf_8bPPaoi2EFjHVy10_rRJ0uvy6YcU"",""AE:AE"")) + SUMPRODUCT((IMPORTRANGE(""17XjIPGwafSt"&amp;"TRf_8bPPaoi2EFjHVy10_rRJ0uvy6YcU"",""M:M"")=B14)*1, IMPORTRANGE(""17XjIPGwafStTRf_8bPPaoi2EFjHVy10_rRJ0uvy6YcU"",""X:X""), IMPORTRANGE(""17XjIPGwafStTRf_8bPPaoi2EFjHVy10_rRJ0uvy6YcU"",""AF:AF""))"),164876.29523086053)</f>
        <v>164876.2952</v>
      </c>
      <c r="E14" s="24">
        <f>IFERROR(__xludf.DUMMYFUNCTION("SUMPRODUCT((IMPORTRANGE(""17XjIPGwafStTRf_8bPPaoi2EFjHVy10_rRJ0uvy6YcU"",""M:M"")=B14)*1, IMPORTRANGE(""17XjIPGwafStTRf_8bPPaoi2EFjHVy10_rRJ0uvy6YcU"",""X:X""), IMPORTRANGE(""17XjIPGwafStTRf_8bPPaoi2EFjHVy10_rRJ0uvy6YcU"",""AO:AO""))"),52334.17193331856)</f>
        <v>52334.17193</v>
      </c>
      <c r="F14" s="25">
        <f>IFERROR(__xludf.DUMMYFUNCTION("SUMPRODUCT((IMPORTRANGE(""17XjIPGwafStTRf_8bPPaoi2EFjHVy10_rRJ0uvy6YcU"",""M:M"")=B14)*1, IMPORTRANGE(""17XjIPGwafStTRf_8bPPaoi2EFjHVy10_rRJ0uvy6YcU"",""X:X""))"),47.0)</f>
        <v>47</v>
      </c>
      <c r="G14" s="26">
        <f>IFERROR(__xludf.DUMMYFUNCTION("COUNTIF(IMPORTRANGE(""17XjIPGwafStTRf_8bPPaoi2EFjHVy10_rRJ0uvy6YcU"",""M:M""), B14)"),23.0)</f>
        <v>23</v>
      </c>
      <c r="H14" s="27">
        <f t="shared" si="1"/>
        <v>2.043478261</v>
      </c>
      <c r="I14" s="28">
        <f t="shared" si="2"/>
        <v>0.1978742294</v>
      </c>
      <c r="J14" s="29">
        <f t="shared" si="3"/>
        <v>0.3174147737</v>
      </c>
      <c r="K14" s="32"/>
      <c r="L14" s="31" t="str">
        <f t="shared" si="4"/>
        <v/>
      </c>
      <c r="M14" s="31" t="str">
        <f t="shared" si="5"/>
        <v/>
      </c>
      <c r="N14" s="4"/>
    </row>
    <row r="15">
      <c r="A15" s="1"/>
      <c r="B15" s="23">
        <f t="shared" si="6"/>
        <v>44357</v>
      </c>
      <c r="C15" s="24">
        <f>IFERROR(__xludf.DUMMYFUNCTION("SUMPRODUCT((IMPORTRANGE(""17XjIPGwafStTRf_8bPPaoi2EFjHVy10_rRJ0uvy6YcU"",""M:M"")=B15)*1, IMPORTRANGE(""17XjIPGwafStTRf_8bPPaoi2EFjHVy10_rRJ0uvy6YcU"",""X:X""), IMPORTRANGE(""17XjIPGwafStTRf_8bPPaoi2EFjHVy10_rRJ0uvy6YcU"",""AK:AK"")) - SUMPRODUCT((IMPORTR"&amp;"ANGE(""17XjIPGwafStTRf_8bPPaoi2EFjHVy10_rRJ0uvy6YcU"",""M:M"")=B15)*1, IMPORTRANGE(""17XjIPGwafStTRf_8bPPaoi2EFjHVy10_rRJ0uvy6YcU"",""X:X""), IMPORTRANGE(""17XjIPGwafStTRf_8bPPaoi2EFjHVy10_rRJ0uvy6YcU"",""AL:AL""))"),303678.0)</f>
        <v>303678</v>
      </c>
      <c r="D15" s="24">
        <f>IFERROR(__xludf.DUMMYFUNCTION("SUMPRODUCT((IMPORTRANGE(""17XjIPGwafStTRf_8bPPaoi2EFjHVy10_rRJ0uvy6YcU"",""M:M"")=B15)*1, IMPORTRANGE(""17XjIPGwafStTRf_8bPPaoi2EFjHVy10_rRJ0uvy6YcU"",""X:X""), IMPORTRANGE(""17XjIPGwafStTRf_8bPPaoi2EFjHVy10_rRJ0uvy6YcU"",""AA:AA"")) + SUMPRODUCT((IMPORTR"&amp;"ANGE(""17XjIPGwafStTRf_8bPPaoi2EFjHVy10_rRJ0uvy6YcU"",""M:M"")=B15)*1, IMPORTRANGE(""17XjIPGwafStTRf_8bPPaoi2EFjHVy10_rRJ0uvy6YcU"",""X:X""), IMPORTRANGE(""17XjIPGwafStTRf_8bPPaoi2EFjHVy10_rRJ0uvy6YcU"",""AE:AE"")) + SUMPRODUCT((IMPORTRANGE(""17XjIPGwafSt"&amp;"TRf_8bPPaoi2EFjHVy10_rRJ0uvy6YcU"",""M:M"")=B15)*1, IMPORTRANGE(""17XjIPGwafStTRf_8bPPaoi2EFjHVy10_rRJ0uvy6YcU"",""X:X""), IMPORTRANGE(""17XjIPGwafStTRf_8bPPaoi2EFjHVy10_rRJ0uvy6YcU"",""AF:AF""))"),190549.22028583154)</f>
        <v>190549.2203</v>
      </c>
      <c r="E15" s="24">
        <f>IFERROR(__xludf.DUMMYFUNCTION("SUMPRODUCT((IMPORTRANGE(""17XjIPGwafStTRf_8bPPaoi2EFjHVy10_rRJ0uvy6YcU"",""M:M"")=B15)*1, IMPORTRANGE(""17XjIPGwafStTRf_8bPPaoi2EFjHVy10_rRJ0uvy6YcU"",""X:X""), IMPORTRANGE(""17XjIPGwafStTRf_8bPPaoi2EFjHVy10_rRJ0uvy6YcU"",""AO:AO""))"),46674.334891517086)</f>
        <v>46674.33489</v>
      </c>
      <c r="F15" s="25">
        <f>IFERROR(__xludf.DUMMYFUNCTION("SUMPRODUCT((IMPORTRANGE(""17XjIPGwafStTRf_8bPPaoi2EFjHVy10_rRJ0uvy6YcU"",""M:M"")=B15)*1, IMPORTRANGE(""17XjIPGwafStTRf_8bPPaoi2EFjHVy10_rRJ0uvy6YcU"",""X:X""))"),58.0)</f>
        <v>58</v>
      </c>
      <c r="G15" s="26">
        <f>IFERROR(__xludf.DUMMYFUNCTION("COUNTIF(IMPORTRANGE(""17XjIPGwafStTRf_8bPPaoi2EFjHVy10_rRJ0uvy6YcU"",""M:M""), B15)"),30.0)</f>
        <v>30</v>
      </c>
      <c r="H15" s="27">
        <f t="shared" si="1"/>
        <v>1.933333333</v>
      </c>
      <c r="I15" s="28">
        <f t="shared" si="2"/>
        <v>0.1536967936</v>
      </c>
      <c r="J15" s="29">
        <f t="shared" si="3"/>
        <v>0.2449463442</v>
      </c>
      <c r="K15" s="30"/>
      <c r="L15" s="31" t="str">
        <f t="shared" si="4"/>
        <v/>
      </c>
      <c r="M15" s="31" t="str">
        <f t="shared" si="5"/>
        <v/>
      </c>
      <c r="N15" s="4"/>
      <c r="P15" s="40">
        <v>44348.0</v>
      </c>
      <c r="Q15" s="39" t="s">
        <v>22</v>
      </c>
    </row>
    <row r="16">
      <c r="A16" s="1"/>
      <c r="B16" s="23">
        <f t="shared" si="6"/>
        <v>44358</v>
      </c>
      <c r="C16" s="24">
        <f>IFERROR(__xludf.DUMMYFUNCTION("SUMPRODUCT((IMPORTRANGE(""17XjIPGwafStTRf_8bPPaoi2EFjHVy10_rRJ0uvy6YcU"",""M:M"")=B16)*1, IMPORTRANGE(""17XjIPGwafStTRf_8bPPaoi2EFjHVy10_rRJ0uvy6YcU"",""X:X""), IMPORTRANGE(""17XjIPGwafStTRf_8bPPaoi2EFjHVy10_rRJ0uvy6YcU"",""AK:AK"")) - SUMPRODUCT((IMPORTR"&amp;"ANGE(""17XjIPGwafStTRf_8bPPaoi2EFjHVy10_rRJ0uvy6YcU"",""M:M"")=B16)*1, IMPORTRANGE(""17XjIPGwafStTRf_8bPPaoi2EFjHVy10_rRJ0uvy6YcU"",""X:X""), IMPORTRANGE(""17XjIPGwafStTRf_8bPPaoi2EFjHVy10_rRJ0uvy6YcU"",""AL:AL""))"),163943.0)</f>
        <v>163943</v>
      </c>
      <c r="D16" s="24">
        <f>IFERROR(__xludf.DUMMYFUNCTION("SUMPRODUCT((IMPORTRANGE(""17XjIPGwafStTRf_8bPPaoi2EFjHVy10_rRJ0uvy6YcU"",""M:M"")=B16)*1, IMPORTRANGE(""17XjIPGwafStTRf_8bPPaoi2EFjHVy10_rRJ0uvy6YcU"",""X:X""), IMPORTRANGE(""17XjIPGwafStTRf_8bPPaoi2EFjHVy10_rRJ0uvy6YcU"",""AA:AA"")) + SUMPRODUCT((IMPORTR"&amp;"ANGE(""17XjIPGwafStTRf_8bPPaoi2EFjHVy10_rRJ0uvy6YcU"",""M:M"")=B16)*1, IMPORTRANGE(""17XjIPGwafStTRf_8bPPaoi2EFjHVy10_rRJ0uvy6YcU"",""X:X""), IMPORTRANGE(""17XjIPGwafStTRf_8bPPaoi2EFjHVy10_rRJ0uvy6YcU"",""AE:AE"")) + SUMPRODUCT((IMPORTRANGE(""17XjIPGwafSt"&amp;"TRf_8bPPaoi2EFjHVy10_rRJ0uvy6YcU"",""M:M"")=B16)*1, IMPORTRANGE(""17XjIPGwafStTRf_8bPPaoi2EFjHVy10_rRJ0uvy6YcU"",""X:X""), IMPORTRANGE(""17XjIPGwafStTRf_8bPPaoi2EFjHVy10_rRJ0uvy6YcU"",""AF:AF""))"),90985.08768679076)</f>
        <v>90985.08769</v>
      </c>
      <c r="E16" s="24">
        <f>IFERROR(__xludf.DUMMYFUNCTION("SUMPRODUCT((IMPORTRANGE(""17XjIPGwafStTRf_8bPPaoi2EFjHVy10_rRJ0uvy6YcU"",""M:M"")=B16)*1, IMPORTRANGE(""17XjIPGwafStTRf_8bPPaoi2EFjHVy10_rRJ0uvy6YcU"",""X:X""), IMPORTRANGE(""17XjIPGwafStTRf_8bPPaoi2EFjHVy10_rRJ0uvy6YcU"",""AO:AO""))"),37371.71231320924)</f>
        <v>37371.71231</v>
      </c>
      <c r="F16" s="25">
        <f>IFERROR(__xludf.DUMMYFUNCTION("SUMPRODUCT((IMPORTRANGE(""17XjIPGwafStTRf_8bPPaoi2EFjHVy10_rRJ0uvy6YcU"",""M:M"")=B16)*1, IMPORTRANGE(""17XjIPGwafStTRf_8bPPaoi2EFjHVy10_rRJ0uvy6YcU"",""X:X""))"),30.0)</f>
        <v>30</v>
      </c>
      <c r="G16" s="26">
        <f>IFERROR(__xludf.DUMMYFUNCTION("COUNTIF(IMPORTRANGE(""17XjIPGwafStTRf_8bPPaoi2EFjHVy10_rRJ0uvy6YcU"",""M:M""), B16)"),15.0)</f>
        <v>15</v>
      </c>
      <c r="H16" s="27">
        <f t="shared" si="1"/>
        <v>2</v>
      </c>
      <c r="I16" s="28">
        <f t="shared" si="2"/>
        <v>0.227955523</v>
      </c>
      <c r="J16" s="29">
        <f t="shared" si="3"/>
        <v>0.4107454668</v>
      </c>
      <c r="K16" s="32"/>
      <c r="L16" s="31" t="str">
        <f t="shared" si="4"/>
        <v/>
      </c>
      <c r="M16" s="31" t="str">
        <f t="shared" si="5"/>
        <v/>
      </c>
      <c r="N16" s="4"/>
    </row>
    <row r="17">
      <c r="A17" s="1"/>
      <c r="B17" s="23">
        <f t="shared" si="6"/>
        <v>44359</v>
      </c>
      <c r="C17" s="24">
        <f>IFERROR(__xludf.DUMMYFUNCTION("SUMPRODUCT((IMPORTRANGE(""17XjIPGwafStTRf_8bPPaoi2EFjHVy10_rRJ0uvy6YcU"",""M:M"")=B17)*1, IMPORTRANGE(""17XjIPGwafStTRf_8bPPaoi2EFjHVy10_rRJ0uvy6YcU"",""X:X""), IMPORTRANGE(""17XjIPGwafStTRf_8bPPaoi2EFjHVy10_rRJ0uvy6YcU"",""AK:AK"")) - SUMPRODUCT((IMPORTR"&amp;"ANGE(""17XjIPGwafStTRf_8bPPaoi2EFjHVy10_rRJ0uvy6YcU"",""M:M"")=B17)*1, IMPORTRANGE(""17XjIPGwafStTRf_8bPPaoi2EFjHVy10_rRJ0uvy6YcU"",""X:X""), IMPORTRANGE(""17XjIPGwafStTRf_8bPPaoi2EFjHVy10_rRJ0uvy6YcU"",""AL:AL""))"),196566.0)</f>
        <v>196566</v>
      </c>
      <c r="D17" s="24">
        <f>IFERROR(__xludf.DUMMYFUNCTION("SUMPRODUCT((IMPORTRANGE(""17XjIPGwafStTRf_8bPPaoi2EFjHVy10_rRJ0uvy6YcU"",""M:M"")=B17)*1, IMPORTRANGE(""17XjIPGwafStTRf_8bPPaoi2EFjHVy10_rRJ0uvy6YcU"",""X:X""), IMPORTRANGE(""17XjIPGwafStTRf_8bPPaoi2EFjHVy10_rRJ0uvy6YcU"",""AA:AA"")) + SUMPRODUCT((IMPORTR"&amp;"ANGE(""17XjIPGwafStTRf_8bPPaoi2EFjHVy10_rRJ0uvy6YcU"",""M:M"")=B17)*1, IMPORTRANGE(""17XjIPGwafStTRf_8bPPaoi2EFjHVy10_rRJ0uvy6YcU"",""X:X""), IMPORTRANGE(""17XjIPGwafStTRf_8bPPaoi2EFjHVy10_rRJ0uvy6YcU"",""AE:AE"")) + SUMPRODUCT((IMPORTRANGE(""17XjIPGwafSt"&amp;"TRf_8bPPaoi2EFjHVy10_rRJ0uvy6YcU"",""M:M"")=B17)*1, IMPORTRANGE(""17XjIPGwafStTRf_8bPPaoi2EFjHVy10_rRJ0uvy6YcU"",""X:X""), IMPORTRANGE(""17XjIPGwafStTRf_8bPPaoi2EFjHVy10_rRJ0uvy6YcU"",""AF:AF""))"),114182.20207567318)</f>
        <v>114182.2021</v>
      </c>
      <c r="E17" s="24">
        <f>IFERROR(__xludf.DUMMYFUNCTION("SUMPRODUCT((IMPORTRANGE(""17XjIPGwafStTRf_8bPPaoi2EFjHVy10_rRJ0uvy6YcU"",""M:M"")=B17)*1, IMPORTRANGE(""17XjIPGwafStTRf_8bPPaoi2EFjHVy10_rRJ0uvy6YcU"",""X:X""), IMPORTRANGE(""17XjIPGwafStTRf_8bPPaoi2EFjHVy10_rRJ0uvy6YcU"",""AO:AO""))"),23827.34591790628)</f>
        <v>23827.34592</v>
      </c>
      <c r="F17" s="25">
        <f>IFERROR(__xludf.DUMMYFUNCTION("SUMPRODUCT((IMPORTRANGE(""17XjIPGwafStTRf_8bPPaoi2EFjHVy10_rRJ0uvy6YcU"",""M:M"")=B17)*1, IMPORTRANGE(""17XjIPGwafStTRf_8bPPaoi2EFjHVy10_rRJ0uvy6YcU"",""X:X""))"),45.0)</f>
        <v>45</v>
      </c>
      <c r="G17" s="26">
        <f>IFERROR(__xludf.DUMMYFUNCTION("COUNTIF(IMPORTRANGE(""17XjIPGwafStTRf_8bPPaoi2EFjHVy10_rRJ0uvy6YcU"",""M:M""), B17)"),14.0)</f>
        <v>14</v>
      </c>
      <c r="H17" s="27">
        <f t="shared" si="1"/>
        <v>3.214285714</v>
      </c>
      <c r="I17" s="28">
        <f t="shared" si="2"/>
        <v>0.1212180434</v>
      </c>
      <c r="J17" s="29">
        <f t="shared" si="3"/>
        <v>0.2086782833</v>
      </c>
      <c r="K17" s="32"/>
      <c r="L17" s="31" t="str">
        <f t="shared" si="4"/>
        <v/>
      </c>
      <c r="M17" s="31" t="str">
        <f t="shared" si="5"/>
        <v/>
      </c>
      <c r="N17" s="4"/>
    </row>
    <row r="18">
      <c r="A18" s="1"/>
      <c r="B18" s="23">
        <f t="shared" si="6"/>
        <v>44360</v>
      </c>
      <c r="C18" s="24">
        <f>IFERROR(__xludf.DUMMYFUNCTION("SUMPRODUCT((IMPORTRANGE(""17XjIPGwafStTRf_8bPPaoi2EFjHVy10_rRJ0uvy6YcU"",""M:M"")=B18)*1, IMPORTRANGE(""17XjIPGwafStTRf_8bPPaoi2EFjHVy10_rRJ0uvy6YcU"",""X:X""), IMPORTRANGE(""17XjIPGwafStTRf_8bPPaoi2EFjHVy10_rRJ0uvy6YcU"",""AK:AK"")) - SUMPRODUCT((IMPORTR"&amp;"ANGE(""17XjIPGwafStTRf_8bPPaoi2EFjHVy10_rRJ0uvy6YcU"",""M:M"")=B18)*1, IMPORTRANGE(""17XjIPGwafStTRf_8bPPaoi2EFjHVy10_rRJ0uvy6YcU"",""X:X""), IMPORTRANGE(""17XjIPGwafStTRf_8bPPaoi2EFjHVy10_rRJ0uvy6YcU"",""AL:AL""))"),79109.0)</f>
        <v>79109</v>
      </c>
      <c r="D18" s="24">
        <f>IFERROR(__xludf.DUMMYFUNCTION("SUMPRODUCT((IMPORTRANGE(""17XjIPGwafStTRf_8bPPaoi2EFjHVy10_rRJ0uvy6YcU"",""M:M"")=B18)*1, IMPORTRANGE(""17XjIPGwafStTRf_8bPPaoi2EFjHVy10_rRJ0uvy6YcU"",""X:X""), IMPORTRANGE(""17XjIPGwafStTRf_8bPPaoi2EFjHVy10_rRJ0uvy6YcU"",""AA:AA"")) + SUMPRODUCT((IMPORTR"&amp;"ANGE(""17XjIPGwafStTRf_8bPPaoi2EFjHVy10_rRJ0uvy6YcU"",""M:M"")=B18)*1, IMPORTRANGE(""17XjIPGwafStTRf_8bPPaoi2EFjHVy10_rRJ0uvy6YcU"",""X:X""), IMPORTRANGE(""17XjIPGwafStTRf_8bPPaoi2EFjHVy10_rRJ0uvy6YcU"",""AE:AE"")) + SUMPRODUCT((IMPORTRANGE(""17XjIPGwafSt"&amp;"TRf_8bPPaoi2EFjHVy10_rRJ0uvy6YcU"",""M:M"")=B18)*1, IMPORTRANGE(""17XjIPGwafStTRf_8bPPaoi2EFjHVy10_rRJ0uvy6YcU"",""X:X""), IMPORTRANGE(""17XjIPGwafStTRf_8bPPaoi2EFjHVy10_rRJ0uvy6YcU"",""AF:AF""))"),51188.74794043292)</f>
        <v>51188.74794</v>
      </c>
      <c r="E18" s="24">
        <f>IFERROR(__xludf.DUMMYFUNCTION("SUMPRODUCT((IMPORTRANGE(""17XjIPGwafStTRf_8bPPaoi2EFjHVy10_rRJ0uvy6YcU"",""M:M"")=B18)*1, IMPORTRANGE(""17XjIPGwafStTRf_8bPPaoi2EFjHVy10_rRJ0uvy6YcU"",""X:X""), IMPORTRANGE(""17XjIPGwafStTRf_8bPPaoi2EFjHVy10_rRJ0uvy6YcU"",""AO:AO""))"),7030.76838555593)</f>
        <v>7030.768386</v>
      </c>
      <c r="F18" s="25">
        <f>IFERROR(__xludf.DUMMYFUNCTION("SUMPRODUCT((IMPORTRANGE(""17XjIPGwafStTRf_8bPPaoi2EFjHVy10_rRJ0uvy6YcU"",""M:M"")=B18)*1, IMPORTRANGE(""17XjIPGwafStTRf_8bPPaoi2EFjHVy10_rRJ0uvy6YcU"",""X:X""))"),19.0)</f>
        <v>19</v>
      </c>
      <c r="G18" s="26">
        <f>IFERROR(__xludf.DUMMYFUNCTION("COUNTIF(IMPORTRANGE(""17XjIPGwafStTRf_8bPPaoi2EFjHVy10_rRJ0uvy6YcU"",""M:M""), B18)"),10.0)</f>
        <v>10</v>
      </c>
      <c r="H18" s="27">
        <f t="shared" si="1"/>
        <v>1.9</v>
      </c>
      <c r="I18" s="28">
        <f t="shared" si="2"/>
        <v>0.08887444394</v>
      </c>
      <c r="J18" s="29">
        <f t="shared" si="3"/>
        <v>0.13734988</v>
      </c>
      <c r="K18" s="32"/>
      <c r="L18" s="31" t="str">
        <f t="shared" si="4"/>
        <v/>
      </c>
      <c r="M18" s="31" t="str">
        <f t="shared" si="5"/>
        <v/>
      </c>
      <c r="N18" s="4"/>
    </row>
    <row r="19">
      <c r="A19" s="1"/>
      <c r="B19" s="23">
        <f t="shared" si="6"/>
        <v>44361</v>
      </c>
      <c r="C19" s="24">
        <f>IFERROR(__xludf.DUMMYFUNCTION("SUMPRODUCT((IMPORTRANGE(""17XjIPGwafStTRf_8bPPaoi2EFjHVy10_rRJ0uvy6YcU"",""M:M"")=B19)*1, IMPORTRANGE(""17XjIPGwafStTRf_8bPPaoi2EFjHVy10_rRJ0uvy6YcU"",""X:X""), IMPORTRANGE(""17XjIPGwafStTRf_8bPPaoi2EFjHVy10_rRJ0uvy6YcU"",""AK:AK"")) - SUMPRODUCT((IMPORTR"&amp;"ANGE(""17XjIPGwafStTRf_8bPPaoi2EFjHVy10_rRJ0uvy6YcU"",""M:M"")=B19)*1, IMPORTRANGE(""17XjIPGwafStTRf_8bPPaoi2EFjHVy10_rRJ0uvy6YcU"",""X:X""), IMPORTRANGE(""17XjIPGwafStTRf_8bPPaoi2EFjHVy10_rRJ0uvy6YcU"",""AL:AL""))"),179475.0)</f>
        <v>179475</v>
      </c>
      <c r="D19" s="24">
        <f>IFERROR(__xludf.DUMMYFUNCTION("SUMPRODUCT((IMPORTRANGE(""17XjIPGwafStTRf_8bPPaoi2EFjHVy10_rRJ0uvy6YcU"",""M:M"")=B19)*1, IMPORTRANGE(""17XjIPGwafStTRf_8bPPaoi2EFjHVy10_rRJ0uvy6YcU"",""X:X""), IMPORTRANGE(""17XjIPGwafStTRf_8bPPaoi2EFjHVy10_rRJ0uvy6YcU"",""AA:AA"")) + SUMPRODUCT((IMPORTR"&amp;"ANGE(""17XjIPGwafStTRf_8bPPaoi2EFjHVy10_rRJ0uvy6YcU"",""M:M"")=B19)*1, IMPORTRANGE(""17XjIPGwafStTRf_8bPPaoi2EFjHVy10_rRJ0uvy6YcU"",""X:X""), IMPORTRANGE(""17XjIPGwafStTRf_8bPPaoi2EFjHVy10_rRJ0uvy6YcU"",""AE:AE"")) + SUMPRODUCT((IMPORTRANGE(""17XjIPGwafSt"&amp;"TRf_8bPPaoi2EFjHVy10_rRJ0uvy6YcU"",""M:M"")=B19)*1, IMPORTRANGE(""17XjIPGwafStTRf_8bPPaoi2EFjHVy10_rRJ0uvy6YcU"",""X:X""), IMPORTRANGE(""17XjIPGwafStTRf_8bPPaoi2EFjHVy10_rRJ0uvy6YcU"",""AF:AF""))"),117239.72343758358)</f>
        <v>117239.7234</v>
      </c>
      <c r="E19" s="24">
        <f>IFERROR(__xludf.DUMMYFUNCTION("SUMPRODUCT((IMPORTRANGE(""17XjIPGwafStTRf_8bPPaoi2EFjHVy10_rRJ0uvy6YcU"",""M:M"")=B19)*1, IMPORTRANGE(""17XjIPGwafStTRf_8bPPaoi2EFjHVy10_rRJ0uvy6YcU"",""X:X""), IMPORTRANGE(""17XjIPGwafStTRf_8bPPaoi2EFjHVy10_rRJ0uvy6YcU"",""AO:AO""))"),25670.94103429798)</f>
        <v>25670.94103</v>
      </c>
      <c r="F19" s="25">
        <f>IFERROR(__xludf.DUMMYFUNCTION("SUMPRODUCT((IMPORTRANGE(""17XjIPGwafStTRf_8bPPaoi2EFjHVy10_rRJ0uvy6YcU"",""M:M"")=B19)*1, IMPORTRANGE(""17XjIPGwafStTRf_8bPPaoi2EFjHVy10_rRJ0uvy6YcU"",""X:X""))"),38.0)</f>
        <v>38</v>
      </c>
      <c r="G19" s="26">
        <f>IFERROR(__xludf.DUMMYFUNCTION("COUNTIF(IMPORTRANGE(""17XjIPGwafStTRf_8bPPaoi2EFjHVy10_rRJ0uvy6YcU"",""M:M""), B19)"),14.0)</f>
        <v>14</v>
      </c>
      <c r="H19" s="27">
        <f t="shared" si="1"/>
        <v>2.714285714</v>
      </c>
      <c r="I19" s="28">
        <f t="shared" si="2"/>
        <v>0.1430335202</v>
      </c>
      <c r="J19" s="29">
        <f t="shared" si="3"/>
        <v>0.218961119</v>
      </c>
      <c r="K19" s="32"/>
      <c r="L19" s="31" t="str">
        <f t="shared" si="4"/>
        <v/>
      </c>
      <c r="M19" s="31" t="str">
        <f t="shared" si="5"/>
        <v/>
      </c>
      <c r="N19" s="4"/>
    </row>
    <row r="20">
      <c r="A20" s="1"/>
      <c r="B20" s="23">
        <f t="shared" si="6"/>
        <v>44362</v>
      </c>
      <c r="C20" s="24">
        <f>IFERROR(__xludf.DUMMYFUNCTION("SUMPRODUCT((IMPORTRANGE(""17XjIPGwafStTRf_8bPPaoi2EFjHVy10_rRJ0uvy6YcU"",""M:M"")=B20)*1, IMPORTRANGE(""17XjIPGwafStTRf_8bPPaoi2EFjHVy10_rRJ0uvy6YcU"",""X:X""), IMPORTRANGE(""17XjIPGwafStTRf_8bPPaoi2EFjHVy10_rRJ0uvy6YcU"",""AK:AK"")) - SUMPRODUCT((IMPORTR"&amp;"ANGE(""17XjIPGwafStTRf_8bPPaoi2EFjHVy10_rRJ0uvy6YcU"",""M:M"")=B20)*1, IMPORTRANGE(""17XjIPGwafStTRf_8bPPaoi2EFjHVy10_rRJ0uvy6YcU"",""X:X""), IMPORTRANGE(""17XjIPGwafStTRf_8bPPaoi2EFjHVy10_rRJ0uvy6YcU"",""AL:AL""))"),91878.0)</f>
        <v>91878</v>
      </c>
      <c r="D20" s="24">
        <f>IFERROR(__xludf.DUMMYFUNCTION("SUMPRODUCT((IMPORTRANGE(""17XjIPGwafStTRf_8bPPaoi2EFjHVy10_rRJ0uvy6YcU"",""M:M"")=B20)*1, IMPORTRANGE(""17XjIPGwafStTRf_8bPPaoi2EFjHVy10_rRJ0uvy6YcU"",""X:X""), IMPORTRANGE(""17XjIPGwafStTRf_8bPPaoi2EFjHVy10_rRJ0uvy6YcU"",""AA:AA"")) + SUMPRODUCT((IMPORTR"&amp;"ANGE(""17XjIPGwafStTRf_8bPPaoi2EFjHVy10_rRJ0uvy6YcU"",""M:M"")=B20)*1, IMPORTRANGE(""17XjIPGwafStTRf_8bPPaoi2EFjHVy10_rRJ0uvy6YcU"",""X:X""), IMPORTRANGE(""17XjIPGwafStTRf_8bPPaoi2EFjHVy10_rRJ0uvy6YcU"",""AE:AE"")) + SUMPRODUCT((IMPORTRANGE(""17XjIPGwafSt"&amp;"TRf_8bPPaoi2EFjHVy10_rRJ0uvy6YcU"",""M:M"")=B20)*1, IMPORTRANGE(""17XjIPGwafStTRf_8bPPaoi2EFjHVy10_rRJ0uvy6YcU"",""X:X""), IMPORTRANGE(""17XjIPGwafStTRf_8bPPaoi2EFjHVy10_rRJ0uvy6YcU"",""AF:AF""))"),55136.63557588841)</f>
        <v>55136.63558</v>
      </c>
      <c r="E20" s="24">
        <f>IFERROR(__xludf.DUMMYFUNCTION("SUMPRODUCT((IMPORTRANGE(""17XjIPGwafStTRf_8bPPaoi2EFjHVy10_rRJ0uvy6YcU"",""M:M"")=B20)*1, IMPORTRANGE(""17XjIPGwafStTRf_8bPPaoi2EFjHVy10_rRJ0uvy6YcU"",""X:X""), IMPORTRANGE(""17XjIPGwafStTRf_8bPPaoi2EFjHVy10_rRJ0uvy6YcU"",""AO:AO""))"),16048.227272077327)</f>
        <v>16048.22727</v>
      </c>
      <c r="F20" s="25">
        <f>IFERROR(__xludf.DUMMYFUNCTION("SUMPRODUCT((IMPORTRANGE(""17XjIPGwafStTRf_8bPPaoi2EFjHVy10_rRJ0uvy6YcU"",""M:M"")=B20)*1, IMPORTRANGE(""17XjIPGwafStTRf_8bPPaoi2EFjHVy10_rRJ0uvy6YcU"",""X:X""))"),28.0)</f>
        <v>28</v>
      </c>
      <c r="G20" s="26">
        <f>IFERROR(__xludf.DUMMYFUNCTION("COUNTIF(IMPORTRANGE(""17XjIPGwafStTRf_8bPPaoi2EFjHVy10_rRJ0uvy6YcU"",""M:M""), B20)"),10.0)</f>
        <v>10</v>
      </c>
      <c r="H20" s="27">
        <f t="shared" si="1"/>
        <v>2.8</v>
      </c>
      <c r="I20" s="28">
        <f t="shared" si="2"/>
        <v>0.1746688791</v>
      </c>
      <c r="J20" s="29">
        <f t="shared" si="3"/>
        <v>0.2910628678</v>
      </c>
      <c r="K20" s="32"/>
      <c r="L20" s="31" t="str">
        <f t="shared" si="4"/>
        <v/>
      </c>
      <c r="M20" s="31" t="str">
        <f t="shared" si="5"/>
        <v/>
      </c>
      <c r="N20" s="4"/>
    </row>
    <row r="21">
      <c r="A21" s="1"/>
      <c r="B21" s="23">
        <f t="shared" si="6"/>
        <v>44363</v>
      </c>
      <c r="C21" s="24">
        <f>IFERROR(__xludf.DUMMYFUNCTION("SUMPRODUCT((IMPORTRANGE(""17XjIPGwafStTRf_8bPPaoi2EFjHVy10_rRJ0uvy6YcU"",""M:M"")=B21)*1, IMPORTRANGE(""17XjIPGwafStTRf_8bPPaoi2EFjHVy10_rRJ0uvy6YcU"",""X:X""), IMPORTRANGE(""17XjIPGwafStTRf_8bPPaoi2EFjHVy10_rRJ0uvy6YcU"",""AK:AK"")) - SUMPRODUCT((IMPORTR"&amp;"ANGE(""17XjIPGwafStTRf_8bPPaoi2EFjHVy10_rRJ0uvy6YcU"",""M:M"")=B21)*1, IMPORTRANGE(""17XjIPGwafStTRf_8bPPaoi2EFjHVy10_rRJ0uvy6YcU"",""X:X""), IMPORTRANGE(""17XjIPGwafStTRf_8bPPaoi2EFjHVy10_rRJ0uvy6YcU"",""AL:AL""))"),89466.0)</f>
        <v>89466</v>
      </c>
      <c r="D21" s="24">
        <f>IFERROR(__xludf.DUMMYFUNCTION("SUMPRODUCT((IMPORTRANGE(""17XjIPGwafStTRf_8bPPaoi2EFjHVy10_rRJ0uvy6YcU"",""M:M"")=B21)*1, IMPORTRANGE(""17XjIPGwafStTRf_8bPPaoi2EFjHVy10_rRJ0uvy6YcU"",""X:X""), IMPORTRANGE(""17XjIPGwafStTRf_8bPPaoi2EFjHVy10_rRJ0uvy6YcU"",""AA:AA"")) + SUMPRODUCT((IMPORTR"&amp;"ANGE(""17XjIPGwafStTRf_8bPPaoi2EFjHVy10_rRJ0uvy6YcU"",""M:M"")=B21)*1, IMPORTRANGE(""17XjIPGwafStTRf_8bPPaoi2EFjHVy10_rRJ0uvy6YcU"",""X:X""), IMPORTRANGE(""17XjIPGwafStTRf_8bPPaoi2EFjHVy10_rRJ0uvy6YcU"",""AE:AE"")) + SUMPRODUCT((IMPORTRANGE(""17XjIPGwafSt"&amp;"TRf_8bPPaoi2EFjHVy10_rRJ0uvy6YcU"",""M:M"")=B21)*1, IMPORTRANGE(""17XjIPGwafStTRf_8bPPaoi2EFjHVy10_rRJ0uvy6YcU"",""X:X""), IMPORTRANGE(""17XjIPGwafStTRf_8bPPaoi2EFjHVy10_rRJ0uvy6YcU"",""AF:AF""))"),58812.49726580351)</f>
        <v>58812.49727</v>
      </c>
      <c r="E21" s="24">
        <f>IFERROR(__xludf.DUMMYFUNCTION("SUMPRODUCT((IMPORTRANGE(""17XjIPGwafStTRf_8bPPaoi2EFjHVy10_rRJ0uvy6YcU"",""M:M"")=B21)*1, IMPORTRANGE(""17XjIPGwafStTRf_8bPPaoi2EFjHVy10_rRJ0uvy6YcU"",""X:X""), IMPORTRANGE(""17XjIPGwafStTRf_8bPPaoi2EFjHVy10_rRJ0uvy6YcU"",""AO:AO""))"),22025.851911527374)</f>
        <v>22025.85191</v>
      </c>
      <c r="F21" s="25">
        <f>IFERROR(__xludf.DUMMYFUNCTION("SUMPRODUCT((IMPORTRANGE(""17XjIPGwafStTRf_8bPPaoi2EFjHVy10_rRJ0uvy6YcU"",""M:M"")=B21)*1, IMPORTRANGE(""17XjIPGwafStTRf_8bPPaoi2EFjHVy10_rRJ0uvy6YcU"",""X:X""))"),22.0)</f>
        <v>22</v>
      </c>
      <c r="G21" s="26">
        <f>IFERROR(__xludf.DUMMYFUNCTION("COUNTIF(IMPORTRANGE(""17XjIPGwafStTRf_8bPPaoi2EFjHVy10_rRJ0uvy6YcU"",""M:M""), B21)"),12.0)</f>
        <v>12</v>
      </c>
      <c r="H21" s="27">
        <f t="shared" si="1"/>
        <v>1.833333333</v>
      </c>
      <c r="I21" s="28">
        <f t="shared" si="2"/>
        <v>0.2461924297</v>
      </c>
      <c r="J21" s="29">
        <f t="shared" si="3"/>
        <v>0.3745097205</v>
      </c>
      <c r="K21" s="32"/>
      <c r="L21" s="31" t="str">
        <f t="shared" si="4"/>
        <v/>
      </c>
      <c r="M21" s="31" t="str">
        <f t="shared" si="5"/>
        <v/>
      </c>
      <c r="N21" s="4"/>
    </row>
    <row r="22">
      <c r="A22" s="1"/>
      <c r="B22" s="23">
        <f t="shared" si="6"/>
        <v>44364</v>
      </c>
      <c r="C22" s="24">
        <f>IFERROR(__xludf.DUMMYFUNCTION("SUMPRODUCT((IMPORTRANGE(""17XjIPGwafStTRf_8bPPaoi2EFjHVy10_rRJ0uvy6YcU"",""M:M"")=B22)*1, IMPORTRANGE(""17XjIPGwafStTRf_8bPPaoi2EFjHVy10_rRJ0uvy6YcU"",""X:X""), IMPORTRANGE(""17XjIPGwafStTRf_8bPPaoi2EFjHVy10_rRJ0uvy6YcU"",""AK:AK"")) - SUMPRODUCT((IMPORTR"&amp;"ANGE(""17XjIPGwafStTRf_8bPPaoi2EFjHVy10_rRJ0uvy6YcU"",""M:M"")=B22)*1, IMPORTRANGE(""17XjIPGwafStTRf_8bPPaoi2EFjHVy10_rRJ0uvy6YcU"",""X:X""), IMPORTRANGE(""17XjIPGwafStTRf_8bPPaoi2EFjHVy10_rRJ0uvy6YcU"",""AL:AL""))"),91389.0)</f>
        <v>91389</v>
      </c>
      <c r="D22" s="24">
        <f>IFERROR(__xludf.DUMMYFUNCTION("SUMPRODUCT((IMPORTRANGE(""17XjIPGwafStTRf_8bPPaoi2EFjHVy10_rRJ0uvy6YcU"",""M:M"")=B22)*1, IMPORTRANGE(""17XjIPGwafStTRf_8bPPaoi2EFjHVy10_rRJ0uvy6YcU"",""X:X""), IMPORTRANGE(""17XjIPGwafStTRf_8bPPaoi2EFjHVy10_rRJ0uvy6YcU"",""AA:AA"")) + SUMPRODUCT((IMPORTR"&amp;"ANGE(""17XjIPGwafStTRf_8bPPaoi2EFjHVy10_rRJ0uvy6YcU"",""M:M"")=B22)*1, IMPORTRANGE(""17XjIPGwafStTRf_8bPPaoi2EFjHVy10_rRJ0uvy6YcU"",""X:X""), IMPORTRANGE(""17XjIPGwafStTRf_8bPPaoi2EFjHVy10_rRJ0uvy6YcU"",""AE:AE"")) + SUMPRODUCT((IMPORTRANGE(""17XjIPGwafSt"&amp;"TRf_8bPPaoi2EFjHVy10_rRJ0uvy6YcU"",""M:M"")=B22)*1, IMPORTRANGE(""17XjIPGwafStTRf_8bPPaoi2EFjHVy10_rRJ0uvy6YcU"",""X:X""), IMPORTRANGE(""17XjIPGwafStTRf_8bPPaoi2EFjHVy10_rRJ0uvy6YcU"",""AF:AF""))"),62896.90504157187)</f>
        <v>62896.90504</v>
      </c>
      <c r="E22" s="24">
        <f>IFERROR(__xludf.DUMMYFUNCTION("SUMPRODUCT((IMPORTRANGE(""17XjIPGwafStTRf_8bPPaoi2EFjHVy10_rRJ0uvy6YcU"",""M:M"")=B22)*1, IMPORTRANGE(""17XjIPGwafStTRf_8bPPaoi2EFjHVy10_rRJ0uvy6YcU"",""X:X""), IMPORTRANGE(""17XjIPGwafStTRf_8bPPaoi2EFjHVy10_rRJ0uvy6YcU"",""AO:AO""))"),8199.993663929756)</f>
        <v>8199.993664</v>
      </c>
      <c r="F22" s="25">
        <f>IFERROR(__xludf.DUMMYFUNCTION("SUMPRODUCT((IMPORTRANGE(""17XjIPGwafStTRf_8bPPaoi2EFjHVy10_rRJ0uvy6YcU"",""M:M"")=B22)*1, IMPORTRANGE(""17XjIPGwafStTRf_8bPPaoi2EFjHVy10_rRJ0uvy6YcU"",""X:X""))"),18.0)</f>
        <v>18</v>
      </c>
      <c r="G22" s="26">
        <f>IFERROR(__xludf.DUMMYFUNCTION("COUNTIF(IMPORTRANGE(""17XjIPGwafStTRf_8bPPaoi2EFjHVy10_rRJ0uvy6YcU"",""M:M""), B22)"),9.0)</f>
        <v>9</v>
      </c>
      <c r="H22" s="27">
        <f t="shared" si="1"/>
        <v>2</v>
      </c>
      <c r="I22" s="28">
        <f t="shared" si="2"/>
        <v>0.08972626535</v>
      </c>
      <c r="J22" s="29">
        <f t="shared" si="3"/>
        <v>0.1303719739</v>
      </c>
      <c r="K22" s="32"/>
      <c r="L22" s="31" t="str">
        <f t="shared" si="4"/>
        <v/>
      </c>
      <c r="M22" s="31" t="str">
        <f t="shared" si="5"/>
        <v/>
      </c>
      <c r="N22" s="4"/>
    </row>
    <row r="23">
      <c r="A23" s="1"/>
      <c r="B23" s="23">
        <f t="shared" si="6"/>
        <v>44365</v>
      </c>
      <c r="C23" s="24">
        <f>IFERROR(__xludf.DUMMYFUNCTION("SUMPRODUCT((IMPORTRANGE(""17XjIPGwafStTRf_8bPPaoi2EFjHVy10_rRJ0uvy6YcU"",""M:M"")=B23)*1, IMPORTRANGE(""17XjIPGwafStTRf_8bPPaoi2EFjHVy10_rRJ0uvy6YcU"",""X:X""), IMPORTRANGE(""17XjIPGwafStTRf_8bPPaoi2EFjHVy10_rRJ0uvy6YcU"",""AK:AK"")) - SUMPRODUCT((IMPORTR"&amp;"ANGE(""17XjIPGwafStTRf_8bPPaoi2EFjHVy10_rRJ0uvy6YcU"",""M:M"")=B23)*1, IMPORTRANGE(""17XjIPGwafStTRf_8bPPaoi2EFjHVy10_rRJ0uvy6YcU"",""X:X""), IMPORTRANGE(""17XjIPGwafStTRf_8bPPaoi2EFjHVy10_rRJ0uvy6YcU"",""AL:AL""))"),241127.0)</f>
        <v>241127</v>
      </c>
      <c r="D23" s="24">
        <f>IFERROR(__xludf.DUMMYFUNCTION("SUMPRODUCT((IMPORTRANGE(""17XjIPGwafStTRf_8bPPaoi2EFjHVy10_rRJ0uvy6YcU"",""M:M"")=B23)*1, IMPORTRANGE(""17XjIPGwafStTRf_8bPPaoi2EFjHVy10_rRJ0uvy6YcU"",""X:X""), IMPORTRANGE(""17XjIPGwafStTRf_8bPPaoi2EFjHVy10_rRJ0uvy6YcU"",""AA:AA"")) + SUMPRODUCT((IMPORTR"&amp;"ANGE(""17XjIPGwafStTRf_8bPPaoi2EFjHVy10_rRJ0uvy6YcU"",""M:M"")=B23)*1, IMPORTRANGE(""17XjIPGwafStTRf_8bPPaoi2EFjHVy10_rRJ0uvy6YcU"",""X:X""), IMPORTRANGE(""17XjIPGwafStTRf_8bPPaoi2EFjHVy10_rRJ0uvy6YcU"",""AE:AE"")) + SUMPRODUCT((IMPORTRANGE(""17XjIPGwafSt"&amp;"TRf_8bPPaoi2EFjHVy10_rRJ0uvy6YcU"",""M:M"")=B23)*1, IMPORTRANGE(""17XjIPGwafStTRf_8bPPaoi2EFjHVy10_rRJ0uvy6YcU"",""X:X""), IMPORTRANGE(""17XjIPGwafStTRf_8bPPaoi2EFjHVy10_rRJ0uvy6YcU"",""AF:AF""))"),171264.76906106123)</f>
        <v>171264.7691</v>
      </c>
      <c r="E23" s="24">
        <f>IFERROR(__xludf.DUMMYFUNCTION("SUMPRODUCT((IMPORTRANGE(""17XjIPGwafStTRf_8bPPaoi2EFjHVy10_rRJ0uvy6YcU"",""M:M"")=B23)*1, IMPORTRANGE(""17XjIPGwafStTRf_8bPPaoi2EFjHVy10_rRJ0uvy6YcU"",""X:X""), IMPORTRANGE(""17XjIPGwafStTRf_8bPPaoi2EFjHVy10_rRJ0uvy6YcU"",""AO:AO""))"),25125.828909974785)</f>
        <v>25125.82891</v>
      </c>
      <c r="F23" s="25">
        <f>IFERROR(__xludf.DUMMYFUNCTION("SUMPRODUCT((IMPORTRANGE(""17XjIPGwafStTRf_8bPPaoi2EFjHVy10_rRJ0uvy6YcU"",""M:M"")=B23)*1, IMPORTRANGE(""17XjIPGwafStTRf_8bPPaoi2EFjHVy10_rRJ0uvy6YcU"",""X:X""))"),48.0)</f>
        <v>48</v>
      </c>
      <c r="G23" s="26">
        <f>IFERROR(__xludf.DUMMYFUNCTION("COUNTIF(IMPORTRANGE(""17XjIPGwafStTRf_8bPPaoi2EFjHVy10_rRJ0uvy6YcU"",""M:M""), B23)"),21.0)</f>
        <v>21</v>
      </c>
      <c r="H23" s="27">
        <f t="shared" si="1"/>
        <v>2.285714286</v>
      </c>
      <c r="I23" s="28">
        <f t="shared" si="2"/>
        <v>0.1042016403</v>
      </c>
      <c r="J23" s="29">
        <f t="shared" si="3"/>
        <v>0.1467075164</v>
      </c>
      <c r="K23" s="32"/>
      <c r="L23" s="31" t="str">
        <f t="shared" si="4"/>
        <v/>
      </c>
      <c r="M23" s="31" t="str">
        <f t="shared" si="5"/>
        <v/>
      </c>
      <c r="N23" s="4"/>
    </row>
    <row r="24">
      <c r="A24" s="1"/>
      <c r="B24" s="23">
        <f t="shared" si="6"/>
        <v>44366</v>
      </c>
      <c r="C24" s="24">
        <f>IFERROR(__xludf.DUMMYFUNCTION("SUMPRODUCT((IMPORTRANGE(""17XjIPGwafStTRf_8bPPaoi2EFjHVy10_rRJ0uvy6YcU"",""M:M"")=B24)*1, IMPORTRANGE(""17XjIPGwafStTRf_8bPPaoi2EFjHVy10_rRJ0uvy6YcU"",""X:X""), IMPORTRANGE(""17XjIPGwafStTRf_8bPPaoi2EFjHVy10_rRJ0uvy6YcU"",""AK:AK"")) - SUMPRODUCT((IMPORTR"&amp;"ANGE(""17XjIPGwafStTRf_8bPPaoi2EFjHVy10_rRJ0uvy6YcU"",""M:M"")=B24)*1, IMPORTRANGE(""17XjIPGwafStTRf_8bPPaoi2EFjHVy10_rRJ0uvy6YcU"",""X:X""), IMPORTRANGE(""17XjIPGwafStTRf_8bPPaoi2EFjHVy10_rRJ0uvy6YcU"",""AL:AL""))"),0.0)</f>
        <v>0</v>
      </c>
      <c r="D24" s="24">
        <f>IFERROR(__xludf.DUMMYFUNCTION("SUMPRODUCT((IMPORTRANGE(""17XjIPGwafStTRf_8bPPaoi2EFjHVy10_rRJ0uvy6YcU"",""M:M"")=B24)*1, IMPORTRANGE(""17XjIPGwafStTRf_8bPPaoi2EFjHVy10_rRJ0uvy6YcU"",""X:X""), IMPORTRANGE(""17XjIPGwafStTRf_8bPPaoi2EFjHVy10_rRJ0uvy6YcU"",""AA:AA"")) + SUMPRODUCT((IMPORTR"&amp;"ANGE(""17XjIPGwafStTRf_8bPPaoi2EFjHVy10_rRJ0uvy6YcU"",""M:M"")=B24)*1, IMPORTRANGE(""17XjIPGwafStTRf_8bPPaoi2EFjHVy10_rRJ0uvy6YcU"",""X:X""), IMPORTRANGE(""17XjIPGwafStTRf_8bPPaoi2EFjHVy10_rRJ0uvy6YcU"",""AE:AE"")) + SUMPRODUCT((IMPORTRANGE(""17XjIPGwafSt"&amp;"TRf_8bPPaoi2EFjHVy10_rRJ0uvy6YcU"",""M:M"")=B24)*1, IMPORTRANGE(""17XjIPGwafStTRf_8bPPaoi2EFjHVy10_rRJ0uvy6YcU"",""X:X""), IMPORTRANGE(""17XjIPGwafStTRf_8bPPaoi2EFjHVy10_rRJ0uvy6YcU"",""AF:AF""))"),0.0)</f>
        <v>0</v>
      </c>
      <c r="E24" s="24">
        <f>IFERROR(__xludf.DUMMYFUNCTION("SUMPRODUCT((IMPORTRANGE(""17XjIPGwafStTRf_8bPPaoi2EFjHVy10_rRJ0uvy6YcU"",""M:M"")=B24)*1, IMPORTRANGE(""17XjIPGwafStTRf_8bPPaoi2EFjHVy10_rRJ0uvy6YcU"",""X:X""), IMPORTRANGE(""17XjIPGwafStTRf_8bPPaoi2EFjHVy10_rRJ0uvy6YcU"",""AO:AO""))"),0.0)</f>
        <v>0</v>
      </c>
      <c r="F24" s="25">
        <f>IFERROR(__xludf.DUMMYFUNCTION("SUMPRODUCT((IMPORTRANGE(""17XjIPGwafStTRf_8bPPaoi2EFjHVy10_rRJ0uvy6YcU"",""M:M"")=B24)*1, IMPORTRANGE(""17XjIPGwafStTRf_8bPPaoi2EFjHVy10_rRJ0uvy6YcU"",""X:X""))"),0.0)</f>
        <v>0</v>
      </c>
      <c r="G24" s="26">
        <f>IFERROR(__xludf.DUMMYFUNCTION("COUNTIF(IMPORTRANGE(""17XjIPGwafStTRf_8bPPaoi2EFjHVy10_rRJ0uvy6YcU"",""M:M""), B24)"),0.0)</f>
        <v>0</v>
      </c>
      <c r="H24" s="27" t="str">
        <f t="shared" si="1"/>
        <v/>
      </c>
      <c r="I24" s="28" t="str">
        <f t="shared" si="2"/>
        <v/>
      </c>
      <c r="J24" s="29" t="str">
        <f t="shared" si="3"/>
        <v/>
      </c>
      <c r="K24" s="30"/>
      <c r="L24" s="31" t="str">
        <f t="shared" si="4"/>
        <v/>
      </c>
      <c r="M24" s="31" t="str">
        <f t="shared" si="5"/>
        <v/>
      </c>
      <c r="N24" s="4"/>
    </row>
    <row r="25">
      <c r="A25" s="1"/>
      <c r="B25" s="23">
        <f t="shared" si="6"/>
        <v>44367</v>
      </c>
      <c r="C25" s="24">
        <f>IFERROR(__xludf.DUMMYFUNCTION("SUMPRODUCT((IMPORTRANGE(""17XjIPGwafStTRf_8bPPaoi2EFjHVy10_rRJ0uvy6YcU"",""M:M"")=B25)*1, IMPORTRANGE(""17XjIPGwafStTRf_8bPPaoi2EFjHVy10_rRJ0uvy6YcU"",""X:X""), IMPORTRANGE(""17XjIPGwafStTRf_8bPPaoi2EFjHVy10_rRJ0uvy6YcU"",""AK:AK"")) - SUMPRODUCT((IMPORTR"&amp;"ANGE(""17XjIPGwafStTRf_8bPPaoi2EFjHVy10_rRJ0uvy6YcU"",""M:M"")=B25)*1, IMPORTRANGE(""17XjIPGwafStTRf_8bPPaoi2EFjHVy10_rRJ0uvy6YcU"",""X:X""), IMPORTRANGE(""17XjIPGwafStTRf_8bPPaoi2EFjHVy10_rRJ0uvy6YcU"",""AL:AL""))"),204652.0)</f>
        <v>204652</v>
      </c>
      <c r="D25" s="24">
        <f>IFERROR(__xludf.DUMMYFUNCTION("SUMPRODUCT((IMPORTRANGE(""17XjIPGwafStTRf_8bPPaoi2EFjHVy10_rRJ0uvy6YcU"",""M:M"")=B25)*1, IMPORTRANGE(""17XjIPGwafStTRf_8bPPaoi2EFjHVy10_rRJ0uvy6YcU"",""X:X""), IMPORTRANGE(""17XjIPGwafStTRf_8bPPaoi2EFjHVy10_rRJ0uvy6YcU"",""AA:AA"")) + SUMPRODUCT((IMPORTR"&amp;"ANGE(""17XjIPGwafStTRf_8bPPaoi2EFjHVy10_rRJ0uvy6YcU"",""M:M"")=B25)*1, IMPORTRANGE(""17XjIPGwafStTRf_8bPPaoi2EFjHVy10_rRJ0uvy6YcU"",""X:X""), IMPORTRANGE(""17XjIPGwafStTRf_8bPPaoi2EFjHVy10_rRJ0uvy6YcU"",""AE:AE"")) + SUMPRODUCT((IMPORTRANGE(""17XjIPGwafSt"&amp;"TRf_8bPPaoi2EFjHVy10_rRJ0uvy6YcU"",""M:M"")=B25)*1, IMPORTRANGE(""17XjIPGwafStTRf_8bPPaoi2EFjHVy10_rRJ0uvy6YcU"",""X:X""), IMPORTRANGE(""17XjIPGwafStTRf_8bPPaoi2EFjHVy10_rRJ0uvy6YcU"",""AF:AF""))"),138247.78803968878)</f>
        <v>138247.788</v>
      </c>
      <c r="E25" s="24">
        <f>IFERROR(__xludf.DUMMYFUNCTION("SUMPRODUCT((IMPORTRANGE(""17XjIPGwafStTRf_8bPPaoi2EFjHVy10_rRJ0uvy6YcU"",""M:M"")=B25)*1, IMPORTRANGE(""17XjIPGwafStTRf_8bPPaoi2EFjHVy10_rRJ0uvy6YcU"",""X:X""), IMPORTRANGE(""17XjIPGwafStTRf_8bPPaoi2EFjHVy10_rRJ0uvy6YcU"",""AO:AO""))"),36286.76326344602)</f>
        <v>36286.76326</v>
      </c>
      <c r="F25" s="25">
        <f>IFERROR(__xludf.DUMMYFUNCTION("SUMPRODUCT((IMPORTRANGE(""17XjIPGwafStTRf_8bPPaoi2EFjHVy10_rRJ0uvy6YcU"",""M:M"")=B25)*1, IMPORTRANGE(""17XjIPGwafStTRf_8bPPaoi2EFjHVy10_rRJ0uvy6YcU"",""X:X""))"),38.0)</f>
        <v>38</v>
      </c>
      <c r="G25" s="26">
        <f>IFERROR(__xludf.DUMMYFUNCTION("COUNTIF(IMPORTRANGE(""17XjIPGwafStTRf_8bPPaoi2EFjHVy10_rRJ0uvy6YcU"",""M:M""), B25)"),24.0)</f>
        <v>24</v>
      </c>
      <c r="H25" s="27">
        <f t="shared" si="1"/>
        <v>1.583333333</v>
      </c>
      <c r="I25" s="28">
        <f t="shared" si="2"/>
        <v>0.1773095951</v>
      </c>
      <c r="J25" s="29">
        <f t="shared" si="3"/>
        <v>0.2624762665</v>
      </c>
      <c r="K25" s="32"/>
      <c r="L25" s="31" t="str">
        <f t="shared" si="4"/>
        <v/>
      </c>
      <c r="M25" s="31" t="str">
        <f t="shared" si="5"/>
        <v/>
      </c>
      <c r="N25" s="4"/>
    </row>
    <row r="26">
      <c r="A26" s="1"/>
      <c r="B26" s="23">
        <f t="shared" si="6"/>
        <v>44368</v>
      </c>
      <c r="C26" s="24">
        <f>IFERROR(__xludf.DUMMYFUNCTION("SUMPRODUCT((IMPORTRANGE(""17XjIPGwafStTRf_8bPPaoi2EFjHVy10_rRJ0uvy6YcU"",""M:M"")=B26)*1, IMPORTRANGE(""17XjIPGwafStTRf_8bPPaoi2EFjHVy10_rRJ0uvy6YcU"",""X:X""), IMPORTRANGE(""17XjIPGwafStTRf_8bPPaoi2EFjHVy10_rRJ0uvy6YcU"",""AK:AK"")) - SUMPRODUCT((IMPORTR"&amp;"ANGE(""17XjIPGwafStTRf_8bPPaoi2EFjHVy10_rRJ0uvy6YcU"",""M:M"")=B26)*1, IMPORTRANGE(""17XjIPGwafStTRf_8bPPaoi2EFjHVy10_rRJ0uvy6YcU"",""X:X""), IMPORTRANGE(""17XjIPGwafStTRf_8bPPaoi2EFjHVy10_rRJ0uvy6YcU"",""AL:AL""))"),114887.0)</f>
        <v>114887</v>
      </c>
      <c r="D26" s="24">
        <f>IFERROR(__xludf.DUMMYFUNCTION("SUMPRODUCT((IMPORTRANGE(""17XjIPGwafStTRf_8bPPaoi2EFjHVy10_rRJ0uvy6YcU"",""M:M"")=B26)*1, IMPORTRANGE(""17XjIPGwafStTRf_8bPPaoi2EFjHVy10_rRJ0uvy6YcU"",""X:X""), IMPORTRANGE(""17XjIPGwafStTRf_8bPPaoi2EFjHVy10_rRJ0uvy6YcU"",""AA:AA"")) + SUMPRODUCT((IMPORTR"&amp;"ANGE(""17XjIPGwafStTRf_8bPPaoi2EFjHVy10_rRJ0uvy6YcU"",""M:M"")=B26)*1, IMPORTRANGE(""17XjIPGwafStTRf_8bPPaoi2EFjHVy10_rRJ0uvy6YcU"",""X:X""), IMPORTRANGE(""17XjIPGwafStTRf_8bPPaoi2EFjHVy10_rRJ0uvy6YcU"",""AE:AE"")) + SUMPRODUCT((IMPORTRANGE(""17XjIPGwafSt"&amp;"TRf_8bPPaoi2EFjHVy10_rRJ0uvy6YcU"",""M:M"")=B26)*1, IMPORTRANGE(""17XjIPGwafStTRf_8bPPaoi2EFjHVy10_rRJ0uvy6YcU"",""X:X""), IMPORTRANGE(""17XjIPGwafStTRf_8bPPaoi2EFjHVy10_rRJ0uvy6YcU"",""AF:AF""))"),72822.4663842067)</f>
        <v>72822.46638</v>
      </c>
      <c r="E26" s="24">
        <f>IFERROR(__xludf.DUMMYFUNCTION("SUMPRODUCT((IMPORTRANGE(""17XjIPGwafStTRf_8bPPaoi2EFjHVy10_rRJ0uvy6YcU"",""M:M"")=B26)*1, IMPORTRANGE(""17XjIPGwafStTRf_8bPPaoi2EFjHVy10_rRJ0uvy6YcU"",""X:X""), IMPORTRANGE(""17XjIPGwafStTRf_8bPPaoi2EFjHVy10_rRJ0uvy6YcU"",""AO:AO""))"),13996.2336157933)</f>
        <v>13996.23362</v>
      </c>
      <c r="F26" s="25">
        <f>IFERROR(__xludf.DUMMYFUNCTION("SUMPRODUCT((IMPORTRANGE(""17XjIPGwafStTRf_8bPPaoi2EFjHVy10_rRJ0uvy6YcU"",""M:M"")=B26)*1, IMPORTRANGE(""17XjIPGwafStTRf_8bPPaoi2EFjHVy10_rRJ0uvy6YcU"",""X:X""))"),29.0)</f>
        <v>29</v>
      </c>
      <c r="G26" s="26">
        <f>IFERROR(__xludf.DUMMYFUNCTION("COUNTIF(IMPORTRANGE(""17XjIPGwafStTRf_8bPPaoi2EFjHVy10_rRJ0uvy6YcU"",""M:M""), B26)"),13.0)</f>
        <v>13</v>
      </c>
      <c r="H26" s="27">
        <f t="shared" si="1"/>
        <v>2.230769231</v>
      </c>
      <c r="I26" s="28">
        <f t="shared" si="2"/>
        <v>0.1218260866</v>
      </c>
      <c r="J26" s="29">
        <f t="shared" si="3"/>
        <v>0.1921966436</v>
      </c>
      <c r="K26" s="30"/>
      <c r="L26" s="31" t="str">
        <f t="shared" si="4"/>
        <v/>
      </c>
      <c r="M26" s="31" t="str">
        <f t="shared" si="5"/>
        <v/>
      </c>
      <c r="N26" s="4"/>
    </row>
    <row r="27">
      <c r="A27" s="1"/>
      <c r="B27" s="23">
        <f t="shared" si="6"/>
        <v>44369</v>
      </c>
      <c r="C27" s="24">
        <f>IFERROR(__xludf.DUMMYFUNCTION("SUMPRODUCT((IMPORTRANGE(""17XjIPGwafStTRf_8bPPaoi2EFjHVy10_rRJ0uvy6YcU"",""M:M"")=B27)*1, IMPORTRANGE(""17XjIPGwafStTRf_8bPPaoi2EFjHVy10_rRJ0uvy6YcU"",""X:X""), IMPORTRANGE(""17XjIPGwafStTRf_8bPPaoi2EFjHVy10_rRJ0uvy6YcU"",""AK:AK"")) - SUMPRODUCT((IMPORTR"&amp;"ANGE(""17XjIPGwafStTRf_8bPPaoi2EFjHVy10_rRJ0uvy6YcU"",""M:M"")=B27)*1, IMPORTRANGE(""17XjIPGwafStTRf_8bPPaoi2EFjHVy10_rRJ0uvy6YcU"",""X:X""), IMPORTRANGE(""17XjIPGwafStTRf_8bPPaoi2EFjHVy10_rRJ0uvy6YcU"",""AL:AL""))"),0.0)</f>
        <v>0</v>
      </c>
      <c r="D27" s="24">
        <f>IFERROR(__xludf.DUMMYFUNCTION("SUMPRODUCT((IMPORTRANGE(""17XjIPGwafStTRf_8bPPaoi2EFjHVy10_rRJ0uvy6YcU"",""M:M"")=B27)*1, IMPORTRANGE(""17XjIPGwafStTRf_8bPPaoi2EFjHVy10_rRJ0uvy6YcU"",""X:X""), IMPORTRANGE(""17XjIPGwafStTRf_8bPPaoi2EFjHVy10_rRJ0uvy6YcU"",""AA:AA"")) + SUMPRODUCT((IMPORTR"&amp;"ANGE(""17XjIPGwafStTRf_8bPPaoi2EFjHVy10_rRJ0uvy6YcU"",""M:M"")=B27)*1, IMPORTRANGE(""17XjIPGwafStTRf_8bPPaoi2EFjHVy10_rRJ0uvy6YcU"",""X:X""), IMPORTRANGE(""17XjIPGwafStTRf_8bPPaoi2EFjHVy10_rRJ0uvy6YcU"",""AE:AE"")) + SUMPRODUCT((IMPORTRANGE(""17XjIPGwafSt"&amp;"TRf_8bPPaoi2EFjHVy10_rRJ0uvy6YcU"",""M:M"")=B27)*1, IMPORTRANGE(""17XjIPGwafStTRf_8bPPaoi2EFjHVy10_rRJ0uvy6YcU"",""X:X""), IMPORTRANGE(""17XjIPGwafStTRf_8bPPaoi2EFjHVy10_rRJ0uvy6YcU"",""AF:AF""))"),83092.21126887485)</f>
        <v>83092.21127</v>
      </c>
      <c r="E27" s="24">
        <f>IFERROR(__xludf.DUMMYFUNCTION("SUMPRODUCT((IMPORTRANGE(""17XjIPGwafStTRf_8bPPaoi2EFjHVy10_rRJ0uvy6YcU"",""M:M"")=B27)*1, IMPORTRANGE(""17XjIPGwafStTRf_8bPPaoi2EFjHVy10_rRJ0uvy6YcU"",""X:X""), IMPORTRANGE(""17XjIPGwafStTRf_8bPPaoi2EFjHVy10_rRJ0uvy6YcU"",""AO:AO""))"),-25712.89183675417)</f>
        <v>-25712.89184</v>
      </c>
      <c r="F27" s="25">
        <f>IFERROR(__xludf.DUMMYFUNCTION("SUMPRODUCT((IMPORTRANGE(""17XjIPGwafStTRf_8bPPaoi2EFjHVy10_rRJ0uvy6YcU"",""M:M"")=B27)*1, IMPORTRANGE(""17XjIPGwafStTRf_8bPPaoi2EFjHVy10_rRJ0uvy6YcU"",""X:X""))"),21.0)</f>
        <v>21</v>
      </c>
      <c r="G27" s="26">
        <f>IFERROR(__xludf.DUMMYFUNCTION("COUNTIF(IMPORTRANGE(""17XjIPGwafStTRf_8bPPaoi2EFjHVy10_rRJ0uvy6YcU"",""M:M""), B27)"),2.0)</f>
        <v>2</v>
      </c>
      <c r="H27" s="27">
        <f t="shared" si="1"/>
        <v>10.5</v>
      </c>
      <c r="I27" s="28" t="str">
        <f t="shared" si="2"/>
        <v/>
      </c>
      <c r="J27" s="29">
        <f t="shared" si="3"/>
        <v>-0.309450085</v>
      </c>
      <c r="K27" s="32"/>
      <c r="L27" s="31" t="str">
        <f t="shared" si="4"/>
        <v/>
      </c>
      <c r="M27" s="31" t="str">
        <f t="shared" si="5"/>
        <v/>
      </c>
      <c r="N27" s="4"/>
      <c r="Q27" s="39">
        <v>50.0</v>
      </c>
    </row>
    <row r="28">
      <c r="A28" s="1"/>
      <c r="B28" s="23">
        <f t="shared" si="6"/>
        <v>44370</v>
      </c>
      <c r="C28" s="24">
        <f>IFERROR(__xludf.DUMMYFUNCTION("SUMPRODUCT((IMPORTRANGE(""17XjIPGwafStTRf_8bPPaoi2EFjHVy10_rRJ0uvy6YcU"",""M:M"")=B28)*1, IMPORTRANGE(""17XjIPGwafStTRf_8bPPaoi2EFjHVy10_rRJ0uvy6YcU"",""X:X""), IMPORTRANGE(""17XjIPGwafStTRf_8bPPaoi2EFjHVy10_rRJ0uvy6YcU"",""AK:AK"")) - SUMPRODUCT((IMPORTR"&amp;"ANGE(""17XjIPGwafStTRf_8bPPaoi2EFjHVy10_rRJ0uvy6YcU"",""M:M"")=B28)*1, IMPORTRANGE(""17XjIPGwafStTRf_8bPPaoi2EFjHVy10_rRJ0uvy6YcU"",""X:X""), IMPORTRANGE(""17XjIPGwafStTRf_8bPPaoi2EFjHVy10_rRJ0uvy6YcU"",""AL:AL""))"),212622.0)</f>
        <v>212622</v>
      </c>
      <c r="D28" s="24">
        <f>IFERROR(__xludf.DUMMYFUNCTION("SUMPRODUCT((IMPORTRANGE(""17XjIPGwafStTRf_8bPPaoi2EFjHVy10_rRJ0uvy6YcU"",""M:M"")=B28)*1, IMPORTRANGE(""17XjIPGwafStTRf_8bPPaoi2EFjHVy10_rRJ0uvy6YcU"",""X:X""), IMPORTRANGE(""17XjIPGwafStTRf_8bPPaoi2EFjHVy10_rRJ0uvy6YcU"",""AA:AA"")) + SUMPRODUCT((IMPORTR"&amp;"ANGE(""17XjIPGwafStTRf_8bPPaoi2EFjHVy10_rRJ0uvy6YcU"",""M:M"")=B28)*1, IMPORTRANGE(""17XjIPGwafStTRf_8bPPaoi2EFjHVy10_rRJ0uvy6YcU"",""X:X""), IMPORTRANGE(""17XjIPGwafStTRf_8bPPaoi2EFjHVy10_rRJ0uvy6YcU"",""AE:AE"")) + SUMPRODUCT((IMPORTRANGE(""17XjIPGwafSt"&amp;"TRf_8bPPaoi2EFjHVy10_rRJ0uvy6YcU"",""M:M"")=B28)*1, IMPORTRANGE(""17XjIPGwafStTRf_8bPPaoi2EFjHVy10_rRJ0uvy6YcU"",""X:X""), IMPORTRANGE(""17XjIPGwafStTRf_8bPPaoi2EFjHVy10_rRJ0uvy6YcU"",""AF:AF""))"),146189.64994992563)</f>
        <v>146189.6499</v>
      </c>
      <c r="E28" s="24">
        <f>IFERROR(__xludf.DUMMYFUNCTION("SUMPRODUCT((IMPORTRANGE(""17XjIPGwafStTRf_8bPPaoi2EFjHVy10_rRJ0uvy6YcU"",""M:M"")=B28)*1, IMPORTRANGE(""17XjIPGwafStTRf_8bPPaoi2EFjHVy10_rRJ0uvy6YcU"",""X:X""), IMPORTRANGE(""17XjIPGwafStTRf_8bPPaoi2EFjHVy10_rRJ0uvy6YcU"",""AO:AO""))"),23242.191610872946)</f>
        <v>23242.19161</v>
      </c>
      <c r="F28" s="25">
        <f>IFERROR(__xludf.DUMMYFUNCTION("SUMPRODUCT((IMPORTRANGE(""17XjIPGwafStTRf_8bPPaoi2EFjHVy10_rRJ0uvy6YcU"",""M:M"")=B28)*1, IMPORTRANGE(""17XjIPGwafStTRf_8bPPaoi2EFjHVy10_rRJ0uvy6YcU"",""X:X""))"),48.0)</f>
        <v>48</v>
      </c>
      <c r="G28" s="26">
        <f>IFERROR(__xludf.DUMMYFUNCTION("COUNTIF(IMPORTRANGE(""17XjIPGwafStTRf_8bPPaoi2EFjHVy10_rRJ0uvy6YcU"",""M:M""), B28)"),29.0)</f>
        <v>29</v>
      </c>
      <c r="H28" s="27">
        <f t="shared" si="1"/>
        <v>1.655172414</v>
      </c>
      <c r="I28" s="28">
        <f t="shared" si="2"/>
        <v>0.1093122612</v>
      </c>
      <c r="J28" s="29">
        <f t="shared" si="3"/>
        <v>0.1589865741</v>
      </c>
      <c r="K28" s="32"/>
      <c r="L28" s="31" t="str">
        <f t="shared" si="4"/>
        <v/>
      </c>
      <c r="M28" s="31" t="str">
        <f t="shared" si="5"/>
        <v/>
      </c>
      <c r="N28" s="4"/>
    </row>
    <row r="29">
      <c r="A29" s="1"/>
      <c r="B29" s="23">
        <f t="shared" si="6"/>
        <v>44371</v>
      </c>
      <c r="C29" s="24">
        <f>IFERROR(__xludf.DUMMYFUNCTION("SUMPRODUCT((IMPORTRANGE(""17XjIPGwafStTRf_8bPPaoi2EFjHVy10_rRJ0uvy6YcU"",""M:M"")=B29)*1, IMPORTRANGE(""17XjIPGwafStTRf_8bPPaoi2EFjHVy10_rRJ0uvy6YcU"",""X:X""), IMPORTRANGE(""17XjIPGwafStTRf_8bPPaoi2EFjHVy10_rRJ0uvy6YcU"",""AK:AK"")) - SUMPRODUCT((IMPORTR"&amp;"ANGE(""17XjIPGwafStTRf_8bPPaoi2EFjHVy10_rRJ0uvy6YcU"",""M:M"")=B29)*1, IMPORTRANGE(""17XjIPGwafStTRf_8bPPaoi2EFjHVy10_rRJ0uvy6YcU"",""X:X""), IMPORTRANGE(""17XjIPGwafStTRf_8bPPaoi2EFjHVy10_rRJ0uvy6YcU"",""AL:AL""))"),127645.0)</f>
        <v>127645</v>
      </c>
      <c r="D29" s="24">
        <f>IFERROR(__xludf.DUMMYFUNCTION("SUMPRODUCT((IMPORTRANGE(""17XjIPGwafStTRf_8bPPaoi2EFjHVy10_rRJ0uvy6YcU"",""M:M"")=B29)*1, IMPORTRANGE(""17XjIPGwafStTRf_8bPPaoi2EFjHVy10_rRJ0uvy6YcU"",""X:X""), IMPORTRANGE(""17XjIPGwafStTRf_8bPPaoi2EFjHVy10_rRJ0uvy6YcU"",""AA:AA"")) + SUMPRODUCT((IMPORTR"&amp;"ANGE(""17XjIPGwafStTRf_8bPPaoi2EFjHVy10_rRJ0uvy6YcU"",""M:M"")=B29)*1, IMPORTRANGE(""17XjIPGwafStTRf_8bPPaoi2EFjHVy10_rRJ0uvy6YcU"",""X:X""), IMPORTRANGE(""17XjIPGwafStTRf_8bPPaoi2EFjHVy10_rRJ0uvy6YcU"",""AE:AE"")) + SUMPRODUCT((IMPORTRANGE(""17XjIPGwafSt"&amp;"TRf_8bPPaoi2EFjHVy10_rRJ0uvy6YcU"",""M:M"")=B29)*1, IMPORTRANGE(""17XjIPGwafStTRf_8bPPaoi2EFjHVy10_rRJ0uvy6YcU"",""X:X""), IMPORTRANGE(""17XjIPGwafStTRf_8bPPaoi2EFjHVy10_rRJ0uvy6YcU"",""AF:AF""))"),84905.87308414288)</f>
        <v>84905.87308</v>
      </c>
      <c r="E29" s="24">
        <f>IFERROR(__xludf.DUMMYFUNCTION("SUMPRODUCT((IMPORTRANGE(""17XjIPGwafStTRf_8bPPaoi2EFjHVy10_rRJ0uvy6YcU"",""M:M"")=B29)*1, IMPORTRANGE(""17XjIPGwafStTRf_8bPPaoi2EFjHVy10_rRJ0uvy6YcU"",""X:X""), IMPORTRANGE(""17XjIPGwafStTRf_8bPPaoi2EFjHVy10_rRJ0uvy6YcU"",""AO:AO""))"),15434.42691585713)</f>
        <v>15434.42692</v>
      </c>
      <c r="F29" s="25">
        <f>IFERROR(__xludf.DUMMYFUNCTION("SUMPRODUCT((IMPORTRANGE(""17XjIPGwafStTRf_8bPPaoi2EFjHVy10_rRJ0uvy6YcU"",""M:M"")=B29)*1, IMPORTRANGE(""17XjIPGwafStTRf_8bPPaoi2EFjHVy10_rRJ0uvy6YcU"",""X:X""))"),26.0)</f>
        <v>26</v>
      </c>
      <c r="G29" s="26">
        <f>IFERROR(__xludf.DUMMYFUNCTION("COUNTIF(IMPORTRANGE(""17XjIPGwafStTRf_8bPPaoi2EFjHVy10_rRJ0uvy6YcU"",""M:M""), B29)"),10.0)</f>
        <v>10</v>
      </c>
      <c r="H29" s="27">
        <f t="shared" si="1"/>
        <v>2.6</v>
      </c>
      <c r="I29" s="28">
        <f t="shared" si="2"/>
        <v>0.1209168155</v>
      </c>
      <c r="J29" s="29">
        <f t="shared" si="3"/>
        <v>0.1817827949</v>
      </c>
      <c r="K29" s="32"/>
      <c r="L29" s="31" t="str">
        <f t="shared" si="4"/>
        <v/>
      </c>
      <c r="M29" s="31" t="str">
        <f t="shared" si="5"/>
        <v/>
      </c>
      <c r="N29" s="4"/>
    </row>
    <row r="30">
      <c r="A30" s="1"/>
      <c r="B30" s="23">
        <f t="shared" si="6"/>
        <v>44372</v>
      </c>
      <c r="C30" s="24">
        <f>IFERROR(__xludf.DUMMYFUNCTION("SUMPRODUCT((IMPORTRANGE(""17XjIPGwafStTRf_8bPPaoi2EFjHVy10_rRJ0uvy6YcU"",""M:M"")=B30)*1, IMPORTRANGE(""17XjIPGwafStTRf_8bPPaoi2EFjHVy10_rRJ0uvy6YcU"",""X:X""), IMPORTRANGE(""17XjIPGwafStTRf_8bPPaoi2EFjHVy10_rRJ0uvy6YcU"",""AK:AK"")) - SUMPRODUCT((IMPORTR"&amp;"ANGE(""17XjIPGwafStTRf_8bPPaoi2EFjHVy10_rRJ0uvy6YcU"",""M:M"")=B30)*1, IMPORTRANGE(""17XjIPGwafStTRf_8bPPaoi2EFjHVy10_rRJ0uvy6YcU"",""X:X""), IMPORTRANGE(""17XjIPGwafStTRf_8bPPaoi2EFjHVy10_rRJ0uvy6YcU"",""AL:AL""))"),135691.0)</f>
        <v>135691</v>
      </c>
      <c r="D30" s="24">
        <f>IFERROR(__xludf.DUMMYFUNCTION("SUMPRODUCT((IMPORTRANGE(""17XjIPGwafStTRf_8bPPaoi2EFjHVy10_rRJ0uvy6YcU"",""M:M"")=B30)*1, IMPORTRANGE(""17XjIPGwafStTRf_8bPPaoi2EFjHVy10_rRJ0uvy6YcU"",""X:X""), IMPORTRANGE(""17XjIPGwafStTRf_8bPPaoi2EFjHVy10_rRJ0uvy6YcU"",""AA:AA"")) + SUMPRODUCT((IMPORTR"&amp;"ANGE(""17XjIPGwafStTRf_8bPPaoi2EFjHVy10_rRJ0uvy6YcU"",""M:M"")=B30)*1, IMPORTRANGE(""17XjIPGwafStTRf_8bPPaoi2EFjHVy10_rRJ0uvy6YcU"",""X:X""), IMPORTRANGE(""17XjIPGwafStTRf_8bPPaoi2EFjHVy10_rRJ0uvy6YcU"",""AE:AE"")) + SUMPRODUCT((IMPORTRANGE(""17XjIPGwafSt"&amp;"TRf_8bPPaoi2EFjHVy10_rRJ0uvy6YcU"",""M:M"")=B30)*1, IMPORTRANGE(""17XjIPGwafStTRf_8bPPaoi2EFjHVy10_rRJ0uvy6YcU"",""X:X""), IMPORTRANGE(""17XjIPGwafStTRf_8bPPaoi2EFjHVy10_rRJ0uvy6YcU"",""AF:AF""))"),101839.94393761715)</f>
        <v>101839.9439</v>
      </c>
      <c r="E30" s="24">
        <f>IFERROR(__xludf.DUMMYFUNCTION("SUMPRODUCT((IMPORTRANGE(""17XjIPGwafStTRf_8bPPaoi2EFjHVy10_rRJ0uvy6YcU"",""M:M"")=B30)*1, IMPORTRANGE(""17XjIPGwafStTRf_8bPPaoi2EFjHVy10_rRJ0uvy6YcU"",""X:X""), IMPORTRANGE(""17XjIPGwafStTRf_8bPPaoi2EFjHVy10_rRJ0uvy6YcU"",""AO:AO""))"),10623.856062382853)</f>
        <v>10623.85606</v>
      </c>
      <c r="F30" s="25">
        <f>IFERROR(__xludf.DUMMYFUNCTION("SUMPRODUCT((IMPORTRANGE(""17XjIPGwafStTRf_8bPPaoi2EFjHVy10_rRJ0uvy6YcU"",""M:M"")=B30)*1, IMPORTRANGE(""17XjIPGwafStTRf_8bPPaoi2EFjHVy10_rRJ0uvy6YcU"",""X:X""))"),17.0)</f>
        <v>17</v>
      </c>
      <c r="G30" s="26">
        <f>IFERROR(__xludf.DUMMYFUNCTION("COUNTIF(IMPORTRANGE(""17XjIPGwafStTRf_8bPPaoi2EFjHVy10_rRJ0uvy6YcU"",""M:M""), B30)"),10.0)</f>
        <v>10</v>
      </c>
      <c r="H30" s="27">
        <f t="shared" si="1"/>
        <v>1.7</v>
      </c>
      <c r="I30" s="28">
        <f t="shared" si="2"/>
        <v>0.07829447835</v>
      </c>
      <c r="J30" s="29">
        <f t="shared" si="3"/>
        <v>0.1043191468</v>
      </c>
      <c r="K30" s="30"/>
      <c r="L30" s="31" t="str">
        <f t="shared" si="4"/>
        <v/>
      </c>
      <c r="M30" s="31" t="str">
        <f t="shared" si="5"/>
        <v/>
      </c>
      <c r="N30" s="4"/>
    </row>
    <row r="31">
      <c r="A31" s="1"/>
      <c r="B31" s="23">
        <f t="shared" si="6"/>
        <v>44373</v>
      </c>
      <c r="C31" s="24">
        <f>IFERROR(__xludf.DUMMYFUNCTION("SUMPRODUCT((IMPORTRANGE(""17XjIPGwafStTRf_8bPPaoi2EFjHVy10_rRJ0uvy6YcU"",""M:M"")=B31)*1, IMPORTRANGE(""17XjIPGwafStTRf_8bPPaoi2EFjHVy10_rRJ0uvy6YcU"",""X:X""), IMPORTRANGE(""17XjIPGwafStTRf_8bPPaoi2EFjHVy10_rRJ0uvy6YcU"",""AK:AK"")) - SUMPRODUCT((IMPORTR"&amp;"ANGE(""17XjIPGwafStTRf_8bPPaoi2EFjHVy10_rRJ0uvy6YcU"",""M:M"")=B31)*1, IMPORTRANGE(""17XjIPGwafStTRf_8bPPaoi2EFjHVy10_rRJ0uvy6YcU"",""X:X""), IMPORTRANGE(""17XjIPGwafStTRf_8bPPaoi2EFjHVy10_rRJ0uvy6YcU"",""AL:AL""))"),183724.0)</f>
        <v>183724</v>
      </c>
      <c r="D31" s="24">
        <f>IFERROR(__xludf.DUMMYFUNCTION("SUMPRODUCT((IMPORTRANGE(""17XjIPGwafStTRf_8bPPaoi2EFjHVy10_rRJ0uvy6YcU"",""M:M"")=B31)*1, IMPORTRANGE(""17XjIPGwafStTRf_8bPPaoi2EFjHVy10_rRJ0uvy6YcU"",""X:X""), IMPORTRANGE(""17XjIPGwafStTRf_8bPPaoi2EFjHVy10_rRJ0uvy6YcU"",""AA:AA"")) + SUMPRODUCT((IMPORTR"&amp;"ANGE(""17XjIPGwafStTRf_8bPPaoi2EFjHVy10_rRJ0uvy6YcU"",""M:M"")=B31)*1, IMPORTRANGE(""17XjIPGwafStTRf_8bPPaoi2EFjHVy10_rRJ0uvy6YcU"",""X:X""), IMPORTRANGE(""17XjIPGwafStTRf_8bPPaoi2EFjHVy10_rRJ0uvy6YcU"",""AE:AE"")) + SUMPRODUCT((IMPORTRANGE(""17XjIPGwafSt"&amp;"TRf_8bPPaoi2EFjHVy10_rRJ0uvy6YcU"",""M:M"")=B31)*1, IMPORTRANGE(""17XjIPGwafStTRf_8bPPaoi2EFjHVy10_rRJ0uvy6YcU"",""X:X""), IMPORTRANGE(""17XjIPGwafStTRf_8bPPaoi2EFjHVy10_rRJ0uvy6YcU"",""AF:AF""))"),115017.13940283848)</f>
        <v>115017.1394</v>
      </c>
      <c r="E31" s="24">
        <f>IFERROR(__xludf.DUMMYFUNCTION("SUMPRODUCT((IMPORTRANGE(""17XjIPGwafStTRf_8bPPaoi2EFjHVy10_rRJ0uvy6YcU"",""M:M"")=B31)*1, IMPORTRANGE(""17XjIPGwafStTRf_8bPPaoi2EFjHVy10_rRJ0uvy6YcU"",""X:X""), IMPORTRANGE(""17XjIPGwafStTRf_8bPPaoi2EFjHVy10_rRJ0uvy6YcU"",""AO:AO""))"),30821.399996081444)</f>
        <v>30821.4</v>
      </c>
      <c r="F31" s="25">
        <f>IFERROR(__xludf.DUMMYFUNCTION("SUMPRODUCT((IMPORTRANGE(""17XjIPGwafStTRf_8bPPaoi2EFjHVy10_rRJ0uvy6YcU"",""M:M"")=B31)*1, IMPORTRANGE(""17XjIPGwafStTRf_8bPPaoi2EFjHVy10_rRJ0uvy6YcU"",""X:X""))"),42.0)</f>
        <v>42</v>
      </c>
      <c r="G31" s="26">
        <f>IFERROR(__xludf.DUMMYFUNCTION("COUNTIF(IMPORTRANGE(""17XjIPGwafStTRf_8bPPaoi2EFjHVy10_rRJ0uvy6YcU"",""M:M""), B31)"),18.0)</f>
        <v>18</v>
      </c>
      <c r="H31" s="27">
        <f t="shared" si="1"/>
        <v>2.333333333</v>
      </c>
      <c r="I31" s="28">
        <f t="shared" si="2"/>
        <v>0.1677592475</v>
      </c>
      <c r="J31" s="29">
        <f t="shared" si="3"/>
        <v>0.2679722358</v>
      </c>
      <c r="K31" s="30"/>
      <c r="L31" s="31" t="str">
        <f t="shared" si="4"/>
        <v/>
      </c>
      <c r="M31" s="31" t="str">
        <f t="shared" si="5"/>
        <v/>
      </c>
      <c r="N31" s="4"/>
    </row>
    <row r="32">
      <c r="A32" s="1"/>
      <c r="B32" s="23">
        <f t="shared" si="6"/>
        <v>44374</v>
      </c>
      <c r="C32" s="24">
        <f>IFERROR(__xludf.DUMMYFUNCTION("SUMPRODUCT((IMPORTRANGE(""17XjIPGwafStTRf_8bPPaoi2EFjHVy10_rRJ0uvy6YcU"",""M:M"")=B32)*1, IMPORTRANGE(""17XjIPGwafStTRf_8bPPaoi2EFjHVy10_rRJ0uvy6YcU"",""X:X""), IMPORTRANGE(""17XjIPGwafStTRf_8bPPaoi2EFjHVy10_rRJ0uvy6YcU"",""AK:AK"")) - SUMPRODUCT((IMPORTR"&amp;"ANGE(""17XjIPGwafStTRf_8bPPaoi2EFjHVy10_rRJ0uvy6YcU"",""M:M"")=B32)*1, IMPORTRANGE(""17XjIPGwafStTRf_8bPPaoi2EFjHVy10_rRJ0uvy6YcU"",""X:X""), IMPORTRANGE(""17XjIPGwafStTRf_8bPPaoi2EFjHVy10_rRJ0uvy6YcU"",""AL:AL""))"),69071.0)</f>
        <v>69071</v>
      </c>
      <c r="D32" s="24">
        <f>IFERROR(__xludf.DUMMYFUNCTION("SUMPRODUCT((IMPORTRANGE(""17XjIPGwafStTRf_8bPPaoi2EFjHVy10_rRJ0uvy6YcU"",""M:M"")=B32)*1, IMPORTRANGE(""17XjIPGwafStTRf_8bPPaoi2EFjHVy10_rRJ0uvy6YcU"",""X:X""), IMPORTRANGE(""17XjIPGwafStTRf_8bPPaoi2EFjHVy10_rRJ0uvy6YcU"",""AA:AA"")) + SUMPRODUCT((IMPORTR"&amp;"ANGE(""17XjIPGwafStTRf_8bPPaoi2EFjHVy10_rRJ0uvy6YcU"",""M:M"")=B32)*1, IMPORTRANGE(""17XjIPGwafStTRf_8bPPaoi2EFjHVy10_rRJ0uvy6YcU"",""X:X""), IMPORTRANGE(""17XjIPGwafStTRf_8bPPaoi2EFjHVy10_rRJ0uvy6YcU"",""AE:AE"")) + SUMPRODUCT((IMPORTRANGE(""17XjIPGwafSt"&amp;"TRf_8bPPaoi2EFjHVy10_rRJ0uvy6YcU"",""M:M"")=B32)*1, IMPORTRANGE(""17XjIPGwafStTRf_8bPPaoi2EFjHVy10_rRJ0uvy6YcU"",""X:X""), IMPORTRANGE(""17XjIPGwafStTRf_8bPPaoi2EFjHVy10_rRJ0uvy6YcU"",""AF:AF""))"),55839.998059005986)</f>
        <v>55839.99806</v>
      </c>
      <c r="E32" s="24">
        <f>IFERROR(__xludf.DUMMYFUNCTION("SUMPRODUCT((IMPORTRANGE(""17XjIPGwafStTRf_8bPPaoi2EFjHVy10_rRJ0uvy6YcU"",""M:M"")=B32)*1, IMPORTRANGE(""17XjIPGwafStTRf_8bPPaoi2EFjHVy10_rRJ0uvy6YcU"",""X:X""), IMPORTRANGE(""17XjIPGwafStTRf_8bPPaoi2EFjHVy10_rRJ0uvy6YcU"",""AO:AO""))"),10224.301940993995)</f>
        <v>10224.30194</v>
      </c>
      <c r="F32" s="25">
        <f>IFERROR(__xludf.DUMMYFUNCTION("SUMPRODUCT((IMPORTRANGE(""17XjIPGwafStTRf_8bPPaoi2EFjHVy10_rRJ0uvy6YcU"",""M:M"")=B32)*1, IMPORTRANGE(""17XjIPGwafStTRf_8bPPaoi2EFjHVy10_rRJ0uvy6YcU"",""X:X""))"),9.0)</f>
        <v>9</v>
      </c>
      <c r="G32" s="26">
        <f>IFERROR(__xludf.DUMMYFUNCTION("COUNTIF(IMPORTRANGE(""17XjIPGwafStTRf_8bPPaoi2EFjHVy10_rRJ0uvy6YcU"",""M:M""), B32)"),5.0)</f>
        <v>5</v>
      </c>
      <c r="H32" s="27">
        <f t="shared" si="1"/>
        <v>1.8</v>
      </c>
      <c r="I32" s="28">
        <f t="shared" si="2"/>
        <v>0.1480259724</v>
      </c>
      <c r="J32" s="29">
        <f t="shared" si="3"/>
        <v>0.1830999695</v>
      </c>
      <c r="K32" s="32"/>
      <c r="L32" s="31" t="str">
        <f t="shared" si="4"/>
        <v/>
      </c>
      <c r="M32" s="31" t="str">
        <f t="shared" si="5"/>
        <v/>
      </c>
      <c r="N32" s="4"/>
    </row>
    <row r="33">
      <c r="A33" s="1"/>
      <c r="B33" s="23">
        <f t="shared" si="6"/>
        <v>44375</v>
      </c>
      <c r="C33" s="24">
        <f>IFERROR(__xludf.DUMMYFUNCTION("SUMPRODUCT((IMPORTRANGE(""17XjIPGwafStTRf_8bPPaoi2EFjHVy10_rRJ0uvy6YcU"",""M:M"")=B33)*1, IMPORTRANGE(""17XjIPGwafStTRf_8bPPaoi2EFjHVy10_rRJ0uvy6YcU"",""X:X""), IMPORTRANGE(""17XjIPGwafStTRf_8bPPaoi2EFjHVy10_rRJ0uvy6YcU"",""AK:AK"")) - SUMPRODUCT((IMPORTR"&amp;"ANGE(""17XjIPGwafStTRf_8bPPaoi2EFjHVy10_rRJ0uvy6YcU"",""M:M"")=B33)*1, IMPORTRANGE(""17XjIPGwafStTRf_8bPPaoi2EFjHVy10_rRJ0uvy6YcU"",""X:X""), IMPORTRANGE(""17XjIPGwafStTRf_8bPPaoi2EFjHVy10_rRJ0uvy6YcU"",""AL:AL""))"),141382.0)</f>
        <v>141382</v>
      </c>
      <c r="D33" s="24">
        <f>IFERROR(__xludf.DUMMYFUNCTION("SUMPRODUCT((IMPORTRANGE(""17XjIPGwafStTRf_8bPPaoi2EFjHVy10_rRJ0uvy6YcU"",""M:M"")=B33)*1, IMPORTRANGE(""17XjIPGwafStTRf_8bPPaoi2EFjHVy10_rRJ0uvy6YcU"",""X:X""), IMPORTRANGE(""17XjIPGwafStTRf_8bPPaoi2EFjHVy10_rRJ0uvy6YcU"",""AA:AA"")) + SUMPRODUCT((IMPORTR"&amp;"ANGE(""17XjIPGwafStTRf_8bPPaoi2EFjHVy10_rRJ0uvy6YcU"",""M:M"")=B33)*1, IMPORTRANGE(""17XjIPGwafStTRf_8bPPaoi2EFjHVy10_rRJ0uvy6YcU"",""X:X""), IMPORTRANGE(""17XjIPGwafStTRf_8bPPaoi2EFjHVy10_rRJ0uvy6YcU"",""AE:AE"")) + SUMPRODUCT((IMPORTRANGE(""17XjIPGwafSt"&amp;"TRf_8bPPaoi2EFjHVy10_rRJ0uvy6YcU"",""M:M"")=B33)*1, IMPORTRANGE(""17XjIPGwafStTRf_8bPPaoi2EFjHVy10_rRJ0uvy6YcU"",""X:X""), IMPORTRANGE(""17XjIPGwafStTRf_8bPPaoi2EFjHVy10_rRJ0uvy6YcU"",""AF:AF""))"),103747.7791420072)</f>
        <v>103747.7791</v>
      </c>
      <c r="E33" s="24">
        <f>IFERROR(__xludf.DUMMYFUNCTION("SUMPRODUCT((IMPORTRANGE(""17XjIPGwafStTRf_8bPPaoi2EFjHVy10_rRJ0uvy6YcU"",""M:M"")=B33)*1, IMPORTRANGE(""17XjIPGwafStTRf_8bPPaoi2EFjHVy10_rRJ0uvy6YcU"",""X:X""), IMPORTRANGE(""17XjIPGwafStTRf_8bPPaoi2EFjHVy10_rRJ0uvy6YcU"",""AO:AO""))"),15492.99032674317)</f>
        <v>15492.99033</v>
      </c>
      <c r="F33" s="25">
        <f>IFERROR(__xludf.DUMMYFUNCTION("SUMPRODUCT((IMPORTRANGE(""17XjIPGwafStTRf_8bPPaoi2EFjHVy10_rRJ0uvy6YcU"",""M:M"")=B33)*1, IMPORTRANGE(""17XjIPGwafStTRf_8bPPaoi2EFjHVy10_rRJ0uvy6YcU"",""X:X""))"),31.0)</f>
        <v>31</v>
      </c>
      <c r="G33" s="26">
        <f>IFERROR(__xludf.DUMMYFUNCTION("COUNTIF(IMPORTRANGE(""17XjIPGwafStTRf_8bPPaoi2EFjHVy10_rRJ0uvy6YcU"",""M:M""), B33)"),21.0)</f>
        <v>21</v>
      </c>
      <c r="H33" s="27">
        <f t="shared" si="1"/>
        <v>1.476190476</v>
      </c>
      <c r="I33" s="28">
        <f t="shared" si="2"/>
        <v>0.109582481</v>
      </c>
      <c r="J33" s="29">
        <f t="shared" si="3"/>
        <v>0.1493332239</v>
      </c>
      <c r="K33" s="30"/>
      <c r="L33" s="31" t="str">
        <f t="shared" si="4"/>
        <v/>
      </c>
      <c r="M33" s="31" t="str">
        <f t="shared" si="5"/>
        <v/>
      </c>
      <c r="N33" s="4"/>
    </row>
    <row r="34">
      <c r="A34" s="1"/>
      <c r="B34" s="23">
        <f t="shared" ref="B34:B36" si="7">IFERROR(IF(MONTH(B33)=MONTH(B33+1),B33+1,"--"),"--")</f>
        <v>44376</v>
      </c>
      <c r="C34" s="24">
        <f>IFERROR(__xludf.DUMMYFUNCTION("SUMPRODUCT((IMPORTRANGE(""17XjIPGwafStTRf_8bPPaoi2EFjHVy10_rRJ0uvy6YcU"",""M:M"")=B34)*1, IMPORTRANGE(""17XjIPGwafStTRf_8bPPaoi2EFjHVy10_rRJ0uvy6YcU"",""X:X""), IMPORTRANGE(""17XjIPGwafStTRf_8bPPaoi2EFjHVy10_rRJ0uvy6YcU"",""AK:AK"")) - SUMPRODUCT((IMPORTR"&amp;"ANGE(""17XjIPGwafStTRf_8bPPaoi2EFjHVy10_rRJ0uvy6YcU"",""M:M"")=B34)*1, IMPORTRANGE(""17XjIPGwafStTRf_8bPPaoi2EFjHVy10_rRJ0uvy6YcU"",""X:X""), IMPORTRANGE(""17XjIPGwafStTRf_8bPPaoi2EFjHVy10_rRJ0uvy6YcU"",""AL:AL""))"),187673.0)</f>
        <v>187673</v>
      </c>
      <c r="D34" s="24">
        <f>IFERROR(__xludf.DUMMYFUNCTION("SUMPRODUCT((IMPORTRANGE(""17XjIPGwafStTRf_8bPPaoi2EFjHVy10_rRJ0uvy6YcU"",""M:M"")=B34)*1, IMPORTRANGE(""17XjIPGwafStTRf_8bPPaoi2EFjHVy10_rRJ0uvy6YcU"",""X:X""), IMPORTRANGE(""17XjIPGwafStTRf_8bPPaoi2EFjHVy10_rRJ0uvy6YcU"",""AA:AA"")) + SUMPRODUCT((IMPORTR"&amp;"ANGE(""17XjIPGwafStTRf_8bPPaoi2EFjHVy10_rRJ0uvy6YcU"",""M:M"")=B34)*1, IMPORTRANGE(""17XjIPGwafStTRf_8bPPaoi2EFjHVy10_rRJ0uvy6YcU"",""X:X""), IMPORTRANGE(""17XjIPGwafStTRf_8bPPaoi2EFjHVy10_rRJ0uvy6YcU"",""AE:AE"")) + SUMPRODUCT((IMPORTRANGE(""17XjIPGwafSt"&amp;"TRf_8bPPaoi2EFjHVy10_rRJ0uvy6YcU"",""M:M"")=B34)*1, IMPORTRANGE(""17XjIPGwafStTRf_8bPPaoi2EFjHVy10_rRJ0uvy6YcU"",""X:X""), IMPORTRANGE(""17XjIPGwafStTRf_8bPPaoi2EFjHVy10_rRJ0uvy6YcU"",""AF:AF""))"),107141.12087761489)</f>
        <v>107141.1209</v>
      </c>
      <c r="E34" s="24">
        <f>IFERROR(__xludf.DUMMYFUNCTION("SUMPRODUCT((IMPORTRANGE(""17XjIPGwafStTRf_8bPPaoi2EFjHVy10_rRJ0uvy6YcU"",""M:M"")=B34)*1, IMPORTRANGE(""17XjIPGwafStTRf_8bPPaoi2EFjHVy10_rRJ0uvy6YcU"",""X:X""), IMPORTRANGE(""17XjIPGwafStTRf_8bPPaoi2EFjHVy10_rRJ0uvy6YcU"",""AO:AO""))"),49298.05382988492)</f>
        <v>49298.05383</v>
      </c>
      <c r="F34" s="25">
        <f>IFERROR(__xludf.DUMMYFUNCTION("SUMPRODUCT((IMPORTRANGE(""17XjIPGwafStTRf_8bPPaoi2EFjHVy10_rRJ0uvy6YcU"",""M:M"")=B34)*1, IMPORTRANGE(""17XjIPGwafStTRf_8bPPaoi2EFjHVy10_rRJ0uvy6YcU"",""X:X""))"),37.0)</f>
        <v>37</v>
      </c>
      <c r="G34" s="26">
        <f>IFERROR(__xludf.DUMMYFUNCTION("COUNTIF(IMPORTRANGE(""17XjIPGwafStTRf_8bPPaoi2EFjHVy10_rRJ0uvy6YcU"",""M:M""), B34)"),14.0)</f>
        <v>14</v>
      </c>
      <c r="H34" s="27">
        <f t="shared" si="1"/>
        <v>2.642857143</v>
      </c>
      <c r="I34" s="28">
        <f t="shared" si="2"/>
        <v>0.2626805871</v>
      </c>
      <c r="J34" s="29">
        <f t="shared" si="3"/>
        <v>0.4601226254</v>
      </c>
      <c r="K34" s="30"/>
      <c r="L34" s="31" t="str">
        <f t="shared" si="4"/>
        <v/>
      </c>
      <c r="M34" s="31" t="str">
        <f t="shared" si="5"/>
        <v/>
      </c>
      <c r="N34" s="4"/>
      <c r="Q34" s="39">
        <v>50.0</v>
      </c>
    </row>
    <row r="35">
      <c r="A35" s="1"/>
      <c r="B35" s="23">
        <f t="shared" si="7"/>
        <v>44377</v>
      </c>
      <c r="C35" s="24">
        <f>IFERROR(__xludf.DUMMYFUNCTION("SUMPRODUCT((IMPORTRANGE(""17XjIPGwafStTRf_8bPPaoi2EFjHVy10_rRJ0uvy6YcU"",""M:M"")=B35)*1, IMPORTRANGE(""17XjIPGwafStTRf_8bPPaoi2EFjHVy10_rRJ0uvy6YcU"",""X:X""), IMPORTRANGE(""17XjIPGwafStTRf_8bPPaoi2EFjHVy10_rRJ0uvy6YcU"",""AK:AK"")) - SUMPRODUCT((IMPORTR"&amp;"ANGE(""17XjIPGwafStTRf_8bPPaoi2EFjHVy10_rRJ0uvy6YcU"",""M:M"")=B35)*1, IMPORTRANGE(""17XjIPGwafStTRf_8bPPaoi2EFjHVy10_rRJ0uvy6YcU"",""X:X""), IMPORTRANGE(""17XjIPGwafStTRf_8bPPaoi2EFjHVy10_rRJ0uvy6YcU"",""AL:AL""))"),0.0)</f>
        <v>0</v>
      </c>
      <c r="D35" s="24">
        <f>IFERROR(__xludf.DUMMYFUNCTION("SUMPRODUCT((IMPORTRANGE(""17XjIPGwafStTRf_8bPPaoi2EFjHVy10_rRJ0uvy6YcU"",""M:M"")=B35)*1, IMPORTRANGE(""17XjIPGwafStTRf_8bPPaoi2EFjHVy10_rRJ0uvy6YcU"",""X:X""), IMPORTRANGE(""17XjIPGwafStTRf_8bPPaoi2EFjHVy10_rRJ0uvy6YcU"",""AA:AA"")) + SUMPRODUCT((IMPORTR"&amp;"ANGE(""17XjIPGwafStTRf_8bPPaoi2EFjHVy10_rRJ0uvy6YcU"",""M:M"")=B35)*1, IMPORTRANGE(""17XjIPGwafStTRf_8bPPaoi2EFjHVy10_rRJ0uvy6YcU"",""X:X""), IMPORTRANGE(""17XjIPGwafStTRf_8bPPaoi2EFjHVy10_rRJ0uvy6YcU"",""AE:AE"")) + SUMPRODUCT((IMPORTRANGE(""17XjIPGwafSt"&amp;"TRf_8bPPaoi2EFjHVy10_rRJ0uvy6YcU"",""M:M"")=B35)*1, IMPORTRANGE(""17XjIPGwafStTRf_8bPPaoi2EFjHVy10_rRJ0uvy6YcU"",""X:X""), IMPORTRANGE(""17XjIPGwafStTRf_8bPPaoi2EFjHVy10_rRJ0uvy6YcU"",""AF:AF""))"),0.0)</f>
        <v>0</v>
      </c>
      <c r="E35" s="24">
        <f>IFERROR(__xludf.DUMMYFUNCTION("SUMPRODUCT((IMPORTRANGE(""17XjIPGwafStTRf_8bPPaoi2EFjHVy10_rRJ0uvy6YcU"",""M:M"")=B35)*1, IMPORTRANGE(""17XjIPGwafStTRf_8bPPaoi2EFjHVy10_rRJ0uvy6YcU"",""X:X""), IMPORTRANGE(""17XjIPGwafStTRf_8bPPaoi2EFjHVy10_rRJ0uvy6YcU"",""AO:AO""))"),0.0)</f>
        <v>0</v>
      </c>
      <c r="F35" s="25">
        <f>IFERROR(__xludf.DUMMYFUNCTION("SUMPRODUCT((IMPORTRANGE(""17XjIPGwafStTRf_8bPPaoi2EFjHVy10_rRJ0uvy6YcU"",""M:M"")=B35)*1, IMPORTRANGE(""17XjIPGwafStTRf_8bPPaoi2EFjHVy10_rRJ0uvy6YcU"",""X:X""))"),0.0)</f>
        <v>0</v>
      </c>
      <c r="G35" s="26">
        <f>IFERROR(__xludf.DUMMYFUNCTION("COUNTIF(IMPORTRANGE(""17XjIPGwafStTRf_8bPPaoi2EFjHVy10_rRJ0uvy6YcU"",""M:M""), B35)"),0.0)</f>
        <v>0</v>
      </c>
      <c r="H35" s="27" t="str">
        <f t="shared" si="1"/>
        <v/>
      </c>
      <c r="I35" s="28" t="str">
        <f t="shared" si="2"/>
        <v/>
      </c>
      <c r="J35" s="29" t="str">
        <f t="shared" si="3"/>
        <v/>
      </c>
      <c r="K35" s="32"/>
      <c r="L35" s="31" t="str">
        <f t="shared" si="4"/>
        <v/>
      </c>
      <c r="M35" s="31" t="str">
        <f t="shared" si="5"/>
        <v/>
      </c>
      <c r="N35" s="4"/>
    </row>
    <row r="36">
      <c r="A36" s="1"/>
      <c r="B36" s="23" t="str">
        <f t="shared" si="7"/>
        <v>--</v>
      </c>
      <c r="C36" s="24">
        <f>IFERROR(__xludf.DUMMYFUNCTION("SUMPRODUCT((IMPORTRANGE(""17XjIPGwafStTRf_8bPPaoi2EFjHVy10_rRJ0uvy6YcU"",""M:M"")=B36)*1, IMPORTRANGE(""17XjIPGwafStTRf_8bPPaoi2EFjHVy10_rRJ0uvy6YcU"",""X:X""), IMPORTRANGE(""17XjIPGwafStTRf_8bPPaoi2EFjHVy10_rRJ0uvy6YcU"",""AK:AK"")) - SUMPRODUCT((IMPORTR"&amp;"ANGE(""17XjIPGwafStTRf_8bPPaoi2EFjHVy10_rRJ0uvy6YcU"",""M:M"")=B36)*1, IMPORTRANGE(""17XjIPGwafStTRf_8bPPaoi2EFjHVy10_rRJ0uvy6YcU"",""X:X""), IMPORTRANGE(""17XjIPGwafStTRf_8bPPaoi2EFjHVy10_rRJ0uvy6YcU"",""AL:AL""))"),0.0)</f>
        <v>0</v>
      </c>
      <c r="D36" s="24">
        <f>IFERROR(__xludf.DUMMYFUNCTION("SUMPRODUCT((IMPORTRANGE(""17XjIPGwafStTRf_8bPPaoi2EFjHVy10_rRJ0uvy6YcU"",""M:M"")=B36)*1, IMPORTRANGE(""17XjIPGwafStTRf_8bPPaoi2EFjHVy10_rRJ0uvy6YcU"",""X:X""), IMPORTRANGE(""17XjIPGwafStTRf_8bPPaoi2EFjHVy10_rRJ0uvy6YcU"",""AA:AA"")) + SUMPRODUCT((IMPORTR"&amp;"ANGE(""17XjIPGwafStTRf_8bPPaoi2EFjHVy10_rRJ0uvy6YcU"",""M:M"")=B36)*1, IMPORTRANGE(""17XjIPGwafStTRf_8bPPaoi2EFjHVy10_rRJ0uvy6YcU"",""X:X""), IMPORTRANGE(""17XjIPGwafStTRf_8bPPaoi2EFjHVy10_rRJ0uvy6YcU"",""AE:AE"")) + SUMPRODUCT((IMPORTRANGE(""17XjIPGwafSt"&amp;"TRf_8bPPaoi2EFjHVy10_rRJ0uvy6YcU"",""M:M"")=B36)*1, IMPORTRANGE(""17XjIPGwafStTRf_8bPPaoi2EFjHVy10_rRJ0uvy6YcU"",""X:X""), IMPORTRANGE(""17XjIPGwafStTRf_8bPPaoi2EFjHVy10_rRJ0uvy6YcU"",""AF:AF""))"),0.0)</f>
        <v>0</v>
      </c>
      <c r="E36" s="24">
        <f>IFERROR(__xludf.DUMMYFUNCTION("SUMPRODUCT((IMPORTRANGE(""17XjIPGwafStTRf_8bPPaoi2EFjHVy10_rRJ0uvy6YcU"",""M:M"")=B36)*1, IMPORTRANGE(""17XjIPGwafStTRf_8bPPaoi2EFjHVy10_rRJ0uvy6YcU"",""X:X""), IMPORTRANGE(""17XjIPGwafStTRf_8bPPaoi2EFjHVy10_rRJ0uvy6YcU"",""AO:AO""))"),0.0)</f>
        <v>0</v>
      </c>
      <c r="F36" s="25">
        <f>IFERROR(__xludf.DUMMYFUNCTION("SUMPRODUCT((IMPORTRANGE(""17XjIPGwafStTRf_8bPPaoi2EFjHVy10_rRJ0uvy6YcU"",""M:M"")=B36)*1, IMPORTRANGE(""17XjIPGwafStTRf_8bPPaoi2EFjHVy10_rRJ0uvy6YcU"",""X:X""))"),0.0)</f>
        <v>0</v>
      </c>
      <c r="G36" s="26">
        <f>IFERROR(__xludf.DUMMYFUNCTION("COUNTIF(IMPORTRANGE(""17XjIPGwafStTRf_8bPPaoi2EFjHVy10_rRJ0uvy6YcU"",""M:M""), B36)"),0.0)</f>
        <v>0</v>
      </c>
      <c r="H36" s="27" t="str">
        <f t="shared" si="1"/>
        <v/>
      </c>
      <c r="I36" s="28" t="str">
        <f t="shared" si="2"/>
        <v/>
      </c>
      <c r="J36" s="29" t="str">
        <f t="shared" si="3"/>
        <v/>
      </c>
      <c r="K36" s="30"/>
      <c r="L36" s="31" t="str">
        <f>if(B36="","",IF(K36="","",E36/K36))</f>
        <v/>
      </c>
      <c r="M36" s="31" t="str">
        <f>if(B36="","",IF(K36="","",D36/K36))</f>
        <v/>
      </c>
      <c r="N36" s="4"/>
    </row>
    <row r="37">
      <c r="A37" s="4"/>
      <c r="B37" s="33" t="s">
        <v>16</v>
      </c>
      <c r="C37" s="34">
        <f t="shared" ref="C37:H37" si="8">SUM(C6:C36)</f>
        <v>4449793</v>
      </c>
      <c r="D37" s="34">
        <f t="shared" si="8"/>
        <v>2929214.557</v>
      </c>
      <c r="E37" s="34">
        <f t="shared" si="8"/>
        <v>700863.854</v>
      </c>
      <c r="F37" s="34">
        <f t="shared" si="8"/>
        <v>920</v>
      </c>
      <c r="G37" s="34">
        <f t="shared" si="8"/>
        <v>429</v>
      </c>
      <c r="H37" s="34">
        <f t="shared" si="8"/>
        <v>65.995094</v>
      </c>
      <c r="I37" s="35">
        <f t="shared" si="2"/>
        <v>0.1575048219</v>
      </c>
      <c r="J37" s="35">
        <f t="shared" si="3"/>
        <v>0.2392668206</v>
      </c>
      <c r="K37" s="33">
        <f>SUM(K6:K36)</f>
        <v>0</v>
      </c>
      <c r="L37" s="34" t="str">
        <f>iferror(IF(K37="","",E37/K37),"")</f>
        <v/>
      </c>
      <c r="M37" s="34" t="str">
        <f>iferror(IF(K37="","",D37/K37),"")</f>
        <v/>
      </c>
      <c r="N37" s="4"/>
    </row>
    <row r="38">
      <c r="A38" s="4"/>
      <c r="B38" s="4"/>
      <c r="C38" s="4"/>
      <c r="D38" s="36" t="s">
        <v>17</v>
      </c>
      <c r="E38" s="4"/>
      <c r="F38" s="4"/>
      <c r="G38" s="4"/>
      <c r="H38" s="4"/>
      <c r="I38" s="4"/>
      <c r="J38" s="4"/>
      <c r="K38" s="4"/>
      <c r="L38" s="4"/>
      <c r="M38" s="4"/>
      <c r="N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.25"/>
    <col customWidth="1" min="2" max="2" width="7.38"/>
    <col customWidth="1" min="3" max="5" width="11.38"/>
    <col customWidth="1" min="6" max="8" width="5.75"/>
    <col customWidth="1" min="9" max="11" width="8.88"/>
    <col customWidth="1" min="12" max="13" width="11.38"/>
    <col customWidth="1" min="14" max="14" width="2.38"/>
  </cols>
  <sheetData>
    <row r="1" ht="7.5" customHeight="1">
      <c r="A1" s="1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</row>
    <row r="2">
      <c r="A2" s="1"/>
      <c r="B2" s="5">
        <v>44317.0</v>
      </c>
      <c r="C2" s="6"/>
      <c r="D2" s="3"/>
      <c r="E2" s="4"/>
      <c r="F2" s="4"/>
      <c r="G2" s="4"/>
      <c r="H2" s="4"/>
      <c r="I2" s="4"/>
      <c r="J2" s="4"/>
      <c r="K2" s="4"/>
      <c r="L2" s="7" t="s">
        <v>0</v>
      </c>
      <c r="M2" s="8">
        <v>1.5</v>
      </c>
      <c r="N2" s="4"/>
    </row>
    <row r="3">
      <c r="A3" s="4"/>
      <c r="B3" s="9" t="s">
        <v>1</v>
      </c>
      <c r="C3" s="10">
        <f>iferror((E3*M2)/I37,"")</f>
        <v>22235350.84</v>
      </c>
      <c r="D3" s="11" t="s">
        <v>2</v>
      </c>
      <c r="E3" s="12">
        <v>2000000.0</v>
      </c>
      <c r="F3" s="13"/>
      <c r="G3" s="4"/>
      <c r="H3" s="4"/>
      <c r="I3" s="4"/>
      <c r="J3" s="4"/>
      <c r="K3" s="4"/>
      <c r="L3" s="14"/>
      <c r="M3" s="15"/>
      <c r="N3" s="13"/>
    </row>
    <row r="4">
      <c r="A4" s="4"/>
      <c r="B4" s="9" t="s">
        <v>3</v>
      </c>
      <c r="C4" s="16">
        <f>iferror(C37/C3,"")</f>
        <v>0.3733617274</v>
      </c>
      <c r="D4" s="9"/>
      <c r="E4" s="16"/>
      <c r="F4" s="4"/>
      <c r="G4" s="4"/>
      <c r="H4" s="4"/>
      <c r="I4" s="4"/>
      <c r="J4" s="4"/>
      <c r="K4" s="17"/>
      <c r="L4" s="4"/>
      <c r="M4" s="4"/>
      <c r="N4" s="4"/>
    </row>
    <row r="5" ht="28.5" customHeight="1">
      <c r="A5" s="18"/>
      <c r="B5" s="19" t="s">
        <v>4</v>
      </c>
      <c r="C5" s="20" t="s">
        <v>5</v>
      </c>
      <c r="D5" s="20" t="s">
        <v>6</v>
      </c>
      <c r="E5" s="20" t="s">
        <v>7</v>
      </c>
      <c r="F5" s="21" t="s">
        <v>8</v>
      </c>
      <c r="G5" s="22" t="s">
        <v>9</v>
      </c>
      <c r="H5" s="22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18"/>
    </row>
    <row r="6">
      <c r="A6" s="1"/>
      <c r="B6" s="23">
        <f>B2</f>
        <v>44317</v>
      </c>
      <c r="C6" s="24">
        <f>IFERROR(__xludf.DUMMYFUNCTION("SUMPRODUCT((IMPORTRANGE(""17XjIPGwafStTRf_8bPPaoi2EFjHVy10_rRJ0uvy6YcU"",""M:M"")=B6)*1, IMPORTRANGE(""17XjIPGwafStTRf_8bPPaoi2EFjHVy10_rRJ0uvy6YcU"",""X:X""), IMPORTRANGE(""17XjIPGwafStTRf_8bPPaoi2EFjHVy10_rRJ0uvy6YcU"",""AK:AK"")) - SUMPRODUCT((IMPORTRA"&amp;"NGE(""17XjIPGwafStTRf_8bPPaoi2EFjHVy10_rRJ0uvy6YcU"",""M:M"")=B6)*1, IMPORTRANGE(""17XjIPGwafStTRf_8bPPaoi2EFjHVy10_rRJ0uvy6YcU"",""X:X""), IMPORTRANGE(""17XjIPGwafStTRf_8bPPaoi2EFjHVy10_rRJ0uvy6YcU"",""AL:AL""))"),0.0)</f>
        <v>0</v>
      </c>
      <c r="D6" s="24">
        <f>IFERROR(__xludf.DUMMYFUNCTION("SUMPRODUCT((IMPORTRANGE(""17XjIPGwafStTRf_8bPPaoi2EFjHVy10_rRJ0uvy6YcU"",""M:M"")=B6)*1, IMPORTRANGE(""17XjIPGwafStTRf_8bPPaoi2EFjHVy10_rRJ0uvy6YcU"",""X:X""), IMPORTRANGE(""17XjIPGwafStTRf_8bPPaoi2EFjHVy10_rRJ0uvy6YcU"",""AA:AA"")) + SUMPRODUCT((IMPORTRA"&amp;"NGE(""17XjIPGwafStTRf_8bPPaoi2EFjHVy10_rRJ0uvy6YcU"",""M:M"")=B6)*1, IMPORTRANGE(""17XjIPGwafStTRf_8bPPaoi2EFjHVy10_rRJ0uvy6YcU"",""X:X""), IMPORTRANGE(""17XjIPGwafStTRf_8bPPaoi2EFjHVy10_rRJ0uvy6YcU"",""AE:AE"")) + SUMPRODUCT((IMPORTRANGE(""17XjIPGwafStTR"&amp;"f_8bPPaoi2EFjHVy10_rRJ0uvy6YcU"",""M:M"")=B6)*1, IMPORTRANGE(""17XjIPGwafStTRf_8bPPaoi2EFjHVy10_rRJ0uvy6YcU"",""X:X""), IMPORTRANGE(""17XjIPGwafStTRf_8bPPaoi2EFjHVy10_rRJ0uvy6YcU"",""AF:AF""))"),0.0)</f>
        <v>0</v>
      </c>
      <c r="E6" s="24">
        <f>IFERROR(__xludf.DUMMYFUNCTION("SUMPRODUCT((IMPORTRANGE(""17XjIPGwafStTRf_8bPPaoi2EFjHVy10_rRJ0uvy6YcU"",""M:M"")=B6)*1, IMPORTRANGE(""17XjIPGwafStTRf_8bPPaoi2EFjHVy10_rRJ0uvy6YcU"",""X:X""), IMPORTRANGE(""17XjIPGwafStTRf_8bPPaoi2EFjHVy10_rRJ0uvy6YcU"",""AO:AO""))"),0.0)</f>
        <v>0</v>
      </c>
      <c r="F6" s="25">
        <f>IFERROR(__xludf.DUMMYFUNCTION("SUMPRODUCT((IMPORTRANGE(""17XjIPGwafStTRf_8bPPaoi2EFjHVy10_rRJ0uvy6YcU"",""M:M"")=B6)*1, IMPORTRANGE(""17XjIPGwafStTRf_8bPPaoi2EFjHVy10_rRJ0uvy6YcU"",""X:X""))"),0.0)</f>
        <v>0</v>
      </c>
      <c r="G6" s="26">
        <f>IFERROR(__xludf.DUMMYFUNCTION("COUNTIF(IMPORTRANGE(""17XjIPGwafStTRf_8bPPaoi2EFjHVy10_rRJ0uvy6YcU"",""M:M""), B6)"),0.0)</f>
        <v>0</v>
      </c>
      <c r="H6" s="27" t="str">
        <f t="shared" ref="H6:H36" si="1">IF(F6=0,"",F6/G6)</f>
        <v/>
      </c>
      <c r="I6" s="28" t="str">
        <f t="shared" ref="I6:I37" si="2">IF(C6=0,"",E6/C6)</f>
        <v/>
      </c>
      <c r="J6" s="29" t="str">
        <f t="shared" ref="J6:J37" si="3">IF(D6=0,"",E6/D6)</f>
        <v/>
      </c>
      <c r="K6" s="30"/>
      <c r="L6" s="31" t="str">
        <f t="shared" ref="L6:L35" si="4">IF(K6="","",E6/K6)</f>
        <v/>
      </c>
      <c r="M6" s="31" t="str">
        <f t="shared" ref="M6:M35" si="5">IF(K6="","",D6/K6)</f>
        <v/>
      </c>
      <c r="N6" s="4"/>
    </row>
    <row r="7">
      <c r="A7" s="1"/>
      <c r="B7" s="23">
        <f t="shared" ref="B7:B33" si="6">B6+1</f>
        <v>44318</v>
      </c>
      <c r="C7" s="24">
        <f>IFERROR(__xludf.DUMMYFUNCTION("SUMPRODUCT((IMPORTRANGE(""17XjIPGwafStTRf_8bPPaoi2EFjHVy10_rRJ0uvy6YcU"",""M:M"")=B7)*1, IMPORTRANGE(""17XjIPGwafStTRf_8bPPaoi2EFjHVy10_rRJ0uvy6YcU"",""X:X""), IMPORTRANGE(""17XjIPGwafStTRf_8bPPaoi2EFjHVy10_rRJ0uvy6YcU"",""AK:AK"")) - SUMPRODUCT((IMPORTRA"&amp;"NGE(""17XjIPGwafStTRf_8bPPaoi2EFjHVy10_rRJ0uvy6YcU"",""M:M"")=B7)*1, IMPORTRANGE(""17XjIPGwafStTRf_8bPPaoi2EFjHVy10_rRJ0uvy6YcU"",""X:X""), IMPORTRANGE(""17XjIPGwafStTRf_8bPPaoi2EFjHVy10_rRJ0uvy6YcU"",""AL:AL""))"),0.0)</f>
        <v>0</v>
      </c>
      <c r="D7" s="24">
        <f>IFERROR(__xludf.DUMMYFUNCTION("SUMPRODUCT((IMPORTRANGE(""17XjIPGwafStTRf_8bPPaoi2EFjHVy10_rRJ0uvy6YcU"",""M:M"")=B7)*1, IMPORTRANGE(""17XjIPGwafStTRf_8bPPaoi2EFjHVy10_rRJ0uvy6YcU"",""X:X""), IMPORTRANGE(""17XjIPGwafStTRf_8bPPaoi2EFjHVy10_rRJ0uvy6YcU"",""AA:AA"")) + SUMPRODUCT((IMPORTRA"&amp;"NGE(""17XjIPGwafStTRf_8bPPaoi2EFjHVy10_rRJ0uvy6YcU"",""M:M"")=B7)*1, IMPORTRANGE(""17XjIPGwafStTRf_8bPPaoi2EFjHVy10_rRJ0uvy6YcU"",""X:X""), IMPORTRANGE(""17XjIPGwafStTRf_8bPPaoi2EFjHVy10_rRJ0uvy6YcU"",""AE:AE"")) + SUMPRODUCT((IMPORTRANGE(""17XjIPGwafStTR"&amp;"f_8bPPaoi2EFjHVy10_rRJ0uvy6YcU"",""M:M"")=B7)*1, IMPORTRANGE(""17XjIPGwafStTRf_8bPPaoi2EFjHVy10_rRJ0uvy6YcU"",""X:X""), IMPORTRANGE(""17XjIPGwafStTRf_8bPPaoi2EFjHVy10_rRJ0uvy6YcU"",""AF:AF""))"),0.0)</f>
        <v>0</v>
      </c>
      <c r="E7" s="24">
        <f>IFERROR(__xludf.DUMMYFUNCTION("SUMPRODUCT((IMPORTRANGE(""17XjIPGwafStTRf_8bPPaoi2EFjHVy10_rRJ0uvy6YcU"",""M:M"")=B7)*1, IMPORTRANGE(""17XjIPGwafStTRf_8bPPaoi2EFjHVy10_rRJ0uvy6YcU"",""X:X""), IMPORTRANGE(""17XjIPGwafStTRf_8bPPaoi2EFjHVy10_rRJ0uvy6YcU"",""AO:AO""))"),0.0)</f>
        <v>0</v>
      </c>
      <c r="F7" s="25">
        <f>IFERROR(__xludf.DUMMYFUNCTION("SUMPRODUCT((IMPORTRANGE(""17XjIPGwafStTRf_8bPPaoi2EFjHVy10_rRJ0uvy6YcU"",""M:M"")=B7)*1, IMPORTRANGE(""17XjIPGwafStTRf_8bPPaoi2EFjHVy10_rRJ0uvy6YcU"",""X:X""))"),0.0)</f>
        <v>0</v>
      </c>
      <c r="G7" s="26">
        <f>IFERROR(__xludf.DUMMYFUNCTION("COUNTIF(IMPORTRANGE(""17XjIPGwafStTRf_8bPPaoi2EFjHVy10_rRJ0uvy6YcU"",""M:M""), B7)"),0.0)</f>
        <v>0</v>
      </c>
      <c r="H7" s="27" t="str">
        <f t="shared" si="1"/>
        <v/>
      </c>
      <c r="I7" s="28" t="str">
        <f t="shared" si="2"/>
        <v/>
      </c>
      <c r="J7" s="29" t="str">
        <f t="shared" si="3"/>
        <v/>
      </c>
      <c r="K7" s="30"/>
      <c r="L7" s="31" t="str">
        <f t="shared" si="4"/>
        <v/>
      </c>
      <c r="M7" s="31" t="str">
        <f t="shared" si="5"/>
        <v/>
      </c>
      <c r="N7" s="4"/>
    </row>
    <row r="8">
      <c r="A8" s="1"/>
      <c r="B8" s="23">
        <f t="shared" si="6"/>
        <v>44319</v>
      </c>
      <c r="C8" s="24">
        <f>IFERROR(__xludf.DUMMYFUNCTION("SUMPRODUCT((IMPORTRANGE(""17XjIPGwafStTRf_8bPPaoi2EFjHVy10_rRJ0uvy6YcU"",""M:M"")=B8)*1, IMPORTRANGE(""17XjIPGwafStTRf_8bPPaoi2EFjHVy10_rRJ0uvy6YcU"",""X:X""), IMPORTRANGE(""17XjIPGwafStTRf_8bPPaoi2EFjHVy10_rRJ0uvy6YcU"",""AK:AK"")) - SUMPRODUCT((IMPORTRA"&amp;"NGE(""17XjIPGwafStTRf_8bPPaoi2EFjHVy10_rRJ0uvy6YcU"",""M:M"")=B8)*1, IMPORTRANGE(""17XjIPGwafStTRf_8bPPaoi2EFjHVy10_rRJ0uvy6YcU"",""X:X""), IMPORTRANGE(""17XjIPGwafStTRf_8bPPaoi2EFjHVy10_rRJ0uvy6YcU"",""AL:AL""))"),0.0)</f>
        <v>0</v>
      </c>
      <c r="D8" s="24">
        <f>IFERROR(__xludf.DUMMYFUNCTION("SUMPRODUCT((IMPORTRANGE(""17XjIPGwafStTRf_8bPPaoi2EFjHVy10_rRJ0uvy6YcU"",""M:M"")=B8)*1, IMPORTRANGE(""17XjIPGwafStTRf_8bPPaoi2EFjHVy10_rRJ0uvy6YcU"",""X:X""), IMPORTRANGE(""17XjIPGwafStTRf_8bPPaoi2EFjHVy10_rRJ0uvy6YcU"",""AA:AA"")) + SUMPRODUCT((IMPORTRA"&amp;"NGE(""17XjIPGwafStTRf_8bPPaoi2EFjHVy10_rRJ0uvy6YcU"",""M:M"")=B8)*1, IMPORTRANGE(""17XjIPGwafStTRf_8bPPaoi2EFjHVy10_rRJ0uvy6YcU"",""X:X""), IMPORTRANGE(""17XjIPGwafStTRf_8bPPaoi2EFjHVy10_rRJ0uvy6YcU"",""AE:AE"")) + SUMPRODUCT((IMPORTRANGE(""17XjIPGwafStTR"&amp;"f_8bPPaoi2EFjHVy10_rRJ0uvy6YcU"",""M:M"")=B8)*1, IMPORTRANGE(""17XjIPGwafStTRf_8bPPaoi2EFjHVy10_rRJ0uvy6YcU"",""X:X""), IMPORTRANGE(""17XjIPGwafStTRf_8bPPaoi2EFjHVy10_rRJ0uvy6YcU"",""AF:AF""))"),0.0)</f>
        <v>0</v>
      </c>
      <c r="E8" s="24">
        <f>IFERROR(__xludf.DUMMYFUNCTION("SUMPRODUCT((IMPORTRANGE(""17XjIPGwafStTRf_8bPPaoi2EFjHVy10_rRJ0uvy6YcU"",""M:M"")=B8)*1, IMPORTRANGE(""17XjIPGwafStTRf_8bPPaoi2EFjHVy10_rRJ0uvy6YcU"",""X:X""), IMPORTRANGE(""17XjIPGwafStTRf_8bPPaoi2EFjHVy10_rRJ0uvy6YcU"",""AO:AO""))"),0.0)</f>
        <v>0</v>
      </c>
      <c r="F8" s="25">
        <f>IFERROR(__xludf.DUMMYFUNCTION("SUMPRODUCT((IMPORTRANGE(""17XjIPGwafStTRf_8bPPaoi2EFjHVy10_rRJ0uvy6YcU"",""M:M"")=B8)*1, IMPORTRANGE(""17XjIPGwafStTRf_8bPPaoi2EFjHVy10_rRJ0uvy6YcU"",""X:X""))"),0.0)</f>
        <v>0</v>
      </c>
      <c r="G8" s="26">
        <f>IFERROR(__xludf.DUMMYFUNCTION("COUNTIF(IMPORTRANGE(""17XjIPGwafStTRf_8bPPaoi2EFjHVy10_rRJ0uvy6YcU"",""M:M""), B8)"),0.0)</f>
        <v>0</v>
      </c>
      <c r="H8" s="27" t="str">
        <f t="shared" si="1"/>
        <v/>
      </c>
      <c r="I8" s="28" t="str">
        <f t="shared" si="2"/>
        <v/>
      </c>
      <c r="J8" s="29" t="str">
        <f t="shared" si="3"/>
        <v/>
      </c>
      <c r="K8" s="30"/>
      <c r="L8" s="31" t="str">
        <f t="shared" si="4"/>
        <v/>
      </c>
      <c r="M8" s="31" t="str">
        <f t="shared" si="5"/>
        <v/>
      </c>
      <c r="N8" s="4"/>
    </row>
    <row r="9">
      <c r="A9" s="1"/>
      <c r="B9" s="23">
        <f t="shared" si="6"/>
        <v>44320</v>
      </c>
      <c r="C9" s="24">
        <f>IFERROR(__xludf.DUMMYFUNCTION("SUMPRODUCT((IMPORTRANGE(""17XjIPGwafStTRf_8bPPaoi2EFjHVy10_rRJ0uvy6YcU"",""M:M"")=B9)*1, IMPORTRANGE(""17XjIPGwafStTRf_8bPPaoi2EFjHVy10_rRJ0uvy6YcU"",""X:X""), IMPORTRANGE(""17XjIPGwafStTRf_8bPPaoi2EFjHVy10_rRJ0uvy6YcU"",""AK:AK"")) - SUMPRODUCT((IMPORTRA"&amp;"NGE(""17XjIPGwafStTRf_8bPPaoi2EFjHVy10_rRJ0uvy6YcU"",""M:M"")=B9)*1, IMPORTRANGE(""17XjIPGwafStTRf_8bPPaoi2EFjHVy10_rRJ0uvy6YcU"",""X:X""), IMPORTRANGE(""17XjIPGwafStTRf_8bPPaoi2EFjHVy10_rRJ0uvy6YcU"",""AL:AL""))"),0.0)</f>
        <v>0</v>
      </c>
      <c r="D9" s="24">
        <f>IFERROR(__xludf.DUMMYFUNCTION("SUMPRODUCT((IMPORTRANGE(""17XjIPGwafStTRf_8bPPaoi2EFjHVy10_rRJ0uvy6YcU"",""M:M"")=B9)*1, IMPORTRANGE(""17XjIPGwafStTRf_8bPPaoi2EFjHVy10_rRJ0uvy6YcU"",""X:X""), IMPORTRANGE(""17XjIPGwafStTRf_8bPPaoi2EFjHVy10_rRJ0uvy6YcU"",""AA:AA"")) + SUMPRODUCT((IMPORTRA"&amp;"NGE(""17XjIPGwafStTRf_8bPPaoi2EFjHVy10_rRJ0uvy6YcU"",""M:M"")=B9)*1, IMPORTRANGE(""17XjIPGwafStTRf_8bPPaoi2EFjHVy10_rRJ0uvy6YcU"",""X:X""), IMPORTRANGE(""17XjIPGwafStTRf_8bPPaoi2EFjHVy10_rRJ0uvy6YcU"",""AE:AE"")) + SUMPRODUCT((IMPORTRANGE(""17XjIPGwafStTR"&amp;"f_8bPPaoi2EFjHVy10_rRJ0uvy6YcU"",""M:M"")=B9)*1, IMPORTRANGE(""17XjIPGwafStTRf_8bPPaoi2EFjHVy10_rRJ0uvy6YcU"",""X:X""), IMPORTRANGE(""17XjIPGwafStTRf_8bPPaoi2EFjHVy10_rRJ0uvy6YcU"",""AF:AF""))"),0.0)</f>
        <v>0</v>
      </c>
      <c r="E9" s="24">
        <f>IFERROR(__xludf.DUMMYFUNCTION("SUMPRODUCT((IMPORTRANGE(""17XjIPGwafStTRf_8bPPaoi2EFjHVy10_rRJ0uvy6YcU"",""M:M"")=B9)*1, IMPORTRANGE(""17XjIPGwafStTRf_8bPPaoi2EFjHVy10_rRJ0uvy6YcU"",""X:X""), IMPORTRANGE(""17XjIPGwafStTRf_8bPPaoi2EFjHVy10_rRJ0uvy6YcU"",""AO:AO""))"),0.0)</f>
        <v>0</v>
      </c>
      <c r="F9" s="25">
        <f>IFERROR(__xludf.DUMMYFUNCTION("SUMPRODUCT((IMPORTRANGE(""17XjIPGwafStTRf_8bPPaoi2EFjHVy10_rRJ0uvy6YcU"",""M:M"")=B9)*1, IMPORTRANGE(""17XjIPGwafStTRf_8bPPaoi2EFjHVy10_rRJ0uvy6YcU"",""X:X""))"),0.0)</f>
        <v>0</v>
      </c>
      <c r="G9" s="26">
        <f>IFERROR(__xludf.DUMMYFUNCTION("COUNTIF(IMPORTRANGE(""17XjIPGwafStTRf_8bPPaoi2EFjHVy10_rRJ0uvy6YcU"",""M:M""), B9)"),0.0)</f>
        <v>0</v>
      </c>
      <c r="H9" s="27" t="str">
        <f t="shared" si="1"/>
        <v/>
      </c>
      <c r="I9" s="28" t="str">
        <f t="shared" si="2"/>
        <v/>
      </c>
      <c r="J9" s="29" t="str">
        <f t="shared" si="3"/>
        <v/>
      </c>
      <c r="K9" s="32"/>
      <c r="L9" s="31" t="str">
        <f t="shared" si="4"/>
        <v/>
      </c>
      <c r="M9" s="31" t="str">
        <f t="shared" si="5"/>
        <v/>
      </c>
      <c r="N9" s="4"/>
    </row>
    <row r="10">
      <c r="A10" s="1"/>
      <c r="B10" s="23">
        <f t="shared" si="6"/>
        <v>44321</v>
      </c>
      <c r="C10" s="24">
        <f>IFERROR(__xludf.DUMMYFUNCTION("SUMPRODUCT((IMPORTRANGE(""17XjIPGwafStTRf_8bPPaoi2EFjHVy10_rRJ0uvy6YcU"",""M:M"")=B10)*1, IMPORTRANGE(""17XjIPGwafStTRf_8bPPaoi2EFjHVy10_rRJ0uvy6YcU"",""X:X""), IMPORTRANGE(""17XjIPGwafStTRf_8bPPaoi2EFjHVy10_rRJ0uvy6YcU"",""AK:AK"")) - SUMPRODUCT((IMPORTR"&amp;"ANGE(""17XjIPGwafStTRf_8bPPaoi2EFjHVy10_rRJ0uvy6YcU"",""M:M"")=B10)*1, IMPORTRANGE(""17XjIPGwafStTRf_8bPPaoi2EFjHVy10_rRJ0uvy6YcU"",""X:X""), IMPORTRANGE(""17XjIPGwafStTRf_8bPPaoi2EFjHVy10_rRJ0uvy6YcU"",""AL:AL""))"),0.0)</f>
        <v>0</v>
      </c>
      <c r="D10" s="24">
        <f>IFERROR(__xludf.DUMMYFUNCTION("SUMPRODUCT((IMPORTRANGE(""17XjIPGwafStTRf_8bPPaoi2EFjHVy10_rRJ0uvy6YcU"",""M:M"")=B10)*1, IMPORTRANGE(""17XjIPGwafStTRf_8bPPaoi2EFjHVy10_rRJ0uvy6YcU"",""X:X""), IMPORTRANGE(""17XjIPGwafStTRf_8bPPaoi2EFjHVy10_rRJ0uvy6YcU"",""AA:AA"")) + SUMPRODUCT((IMPORTR"&amp;"ANGE(""17XjIPGwafStTRf_8bPPaoi2EFjHVy10_rRJ0uvy6YcU"",""M:M"")=B10)*1, IMPORTRANGE(""17XjIPGwafStTRf_8bPPaoi2EFjHVy10_rRJ0uvy6YcU"",""X:X""), IMPORTRANGE(""17XjIPGwafStTRf_8bPPaoi2EFjHVy10_rRJ0uvy6YcU"",""AE:AE"")) + SUMPRODUCT((IMPORTRANGE(""17XjIPGwafSt"&amp;"TRf_8bPPaoi2EFjHVy10_rRJ0uvy6YcU"",""M:M"")=B10)*1, IMPORTRANGE(""17XjIPGwafStTRf_8bPPaoi2EFjHVy10_rRJ0uvy6YcU"",""X:X""), IMPORTRANGE(""17XjIPGwafStTRf_8bPPaoi2EFjHVy10_rRJ0uvy6YcU"",""AF:AF""))"),0.0)</f>
        <v>0</v>
      </c>
      <c r="E10" s="24">
        <f>IFERROR(__xludf.DUMMYFUNCTION("SUMPRODUCT((IMPORTRANGE(""17XjIPGwafStTRf_8bPPaoi2EFjHVy10_rRJ0uvy6YcU"",""M:M"")=B10)*1, IMPORTRANGE(""17XjIPGwafStTRf_8bPPaoi2EFjHVy10_rRJ0uvy6YcU"",""X:X""), IMPORTRANGE(""17XjIPGwafStTRf_8bPPaoi2EFjHVy10_rRJ0uvy6YcU"",""AO:AO""))"),0.0)</f>
        <v>0</v>
      </c>
      <c r="F10" s="25">
        <f>IFERROR(__xludf.DUMMYFUNCTION("SUMPRODUCT((IMPORTRANGE(""17XjIPGwafStTRf_8bPPaoi2EFjHVy10_rRJ0uvy6YcU"",""M:M"")=B10)*1, IMPORTRANGE(""17XjIPGwafStTRf_8bPPaoi2EFjHVy10_rRJ0uvy6YcU"",""X:X""))"),0.0)</f>
        <v>0</v>
      </c>
      <c r="G10" s="26">
        <f>IFERROR(__xludf.DUMMYFUNCTION("COUNTIF(IMPORTRANGE(""17XjIPGwafStTRf_8bPPaoi2EFjHVy10_rRJ0uvy6YcU"",""M:M""), B10)"),0.0)</f>
        <v>0</v>
      </c>
      <c r="H10" s="27" t="str">
        <f t="shared" si="1"/>
        <v/>
      </c>
      <c r="I10" s="28" t="str">
        <f t="shared" si="2"/>
        <v/>
      </c>
      <c r="J10" s="29" t="str">
        <f t="shared" si="3"/>
        <v/>
      </c>
      <c r="K10" s="32"/>
      <c r="L10" s="31" t="str">
        <f t="shared" si="4"/>
        <v/>
      </c>
      <c r="M10" s="31" t="str">
        <f t="shared" si="5"/>
        <v/>
      </c>
      <c r="N10" s="4"/>
    </row>
    <row r="11">
      <c r="A11" s="1"/>
      <c r="B11" s="23">
        <f t="shared" si="6"/>
        <v>44322</v>
      </c>
      <c r="C11" s="24">
        <f>IFERROR(__xludf.DUMMYFUNCTION("SUMPRODUCT((IMPORTRANGE(""17XjIPGwafStTRf_8bPPaoi2EFjHVy10_rRJ0uvy6YcU"",""M:M"")=B11)*1, IMPORTRANGE(""17XjIPGwafStTRf_8bPPaoi2EFjHVy10_rRJ0uvy6YcU"",""X:X""), IMPORTRANGE(""17XjIPGwafStTRf_8bPPaoi2EFjHVy10_rRJ0uvy6YcU"",""AK:AK"")) - SUMPRODUCT((IMPORTR"&amp;"ANGE(""17XjIPGwafStTRf_8bPPaoi2EFjHVy10_rRJ0uvy6YcU"",""M:M"")=B11)*1, IMPORTRANGE(""17XjIPGwafStTRf_8bPPaoi2EFjHVy10_rRJ0uvy6YcU"",""X:X""), IMPORTRANGE(""17XjIPGwafStTRf_8bPPaoi2EFjHVy10_rRJ0uvy6YcU"",""AL:AL""))"),64080.0)</f>
        <v>64080</v>
      </c>
      <c r="D11" s="24">
        <f>IFERROR(__xludf.DUMMYFUNCTION("SUMPRODUCT((IMPORTRANGE(""17XjIPGwafStTRf_8bPPaoi2EFjHVy10_rRJ0uvy6YcU"",""M:M"")=B11)*1, IMPORTRANGE(""17XjIPGwafStTRf_8bPPaoi2EFjHVy10_rRJ0uvy6YcU"",""X:X""), IMPORTRANGE(""17XjIPGwafStTRf_8bPPaoi2EFjHVy10_rRJ0uvy6YcU"",""AA:AA"")) + SUMPRODUCT((IMPORTR"&amp;"ANGE(""17XjIPGwafStTRf_8bPPaoi2EFjHVy10_rRJ0uvy6YcU"",""M:M"")=B11)*1, IMPORTRANGE(""17XjIPGwafStTRf_8bPPaoi2EFjHVy10_rRJ0uvy6YcU"",""X:X""), IMPORTRANGE(""17XjIPGwafStTRf_8bPPaoi2EFjHVy10_rRJ0uvy6YcU"",""AE:AE"")) + SUMPRODUCT((IMPORTRANGE(""17XjIPGwafSt"&amp;"TRf_8bPPaoi2EFjHVy10_rRJ0uvy6YcU"",""M:M"")=B11)*1, IMPORTRANGE(""17XjIPGwafStTRf_8bPPaoi2EFjHVy10_rRJ0uvy6YcU"",""X:X""), IMPORTRANGE(""17XjIPGwafStTRf_8bPPaoi2EFjHVy10_rRJ0uvy6YcU"",""AF:AF""))"),39714.55091644673)</f>
        <v>39714.55092</v>
      </c>
      <c r="E11" s="24">
        <f>IFERROR(__xludf.DUMMYFUNCTION("SUMPRODUCT((IMPORTRANGE(""17XjIPGwafStTRf_8bPPaoi2EFjHVy10_rRJ0uvy6YcU"",""M:M"")=B11)*1, IMPORTRANGE(""17XjIPGwafStTRf_8bPPaoi2EFjHVy10_rRJ0uvy6YcU"",""X:X""), IMPORTRANGE(""17XjIPGwafStTRf_8bPPaoi2EFjHVy10_rRJ0uvy6YcU"",""AO:AO""))"),11168.449083553272)</f>
        <v>11168.44908</v>
      </c>
      <c r="F11" s="25">
        <f>IFERROR(__xludf.DUMMYFUNCTION("SUMPRODUCT((IMPORTRANGE(""17XjIPGwafStTRf_8bPPaoi2EFjHVy10_rRJ0uvy6YcU"",""M:M"")=B11)*1, IMPORTRANGE(""17XjIPGwafStTRf_8bPPaoi2EFjHVy10_rRJ0uvy6YcU"",""X:X""))"),13.0)</f>
        <v>13</v>
      </c>
      <c r="G11" s="26">
        <f>IFERROR(__xludf.DUMMYFUNCTION("COUNTIF(IMPORTRANGE(""17XjIPGwafStTRf_8bPPaoi2EFjHVy10_rRJ0uvy6YcU"",""M:M""), B11)"),3.0)</f>
        <v>3</v>
      </c>
      <c r="H11" s="27">
        <f t="shared" si="1"/>
        <v>4.333333333</v>
      </c>
      <c r="I11" s="28">
        <f t="shared" si="2"/>
        <v>0.1742891555</v>
      </c>
      <c r="J11" s="29">
        <f t="shared" si="3"/>
        <v>0.281218063</v>
      </c>
      <c r="K11" s="30"/>
      <c r="L11" s="31" t="str">
        <f t="shared" si="4"/>
        <v/>
      </c>
      <c r="M11" s="31" t="str">
        <f t="shared" si="5"/>
        <v/>
      </c>
      <c r="N11" s="4"/>
    </row>
    <row r="12">
      <c r="A12" s="1"/>
      <c r="B12" s="23">
        <f t="shared" si="6"/>
        <v>44323</v>
      </c>
      <c r="C12" s="24">
        <f>IFERROR(__xludf.DUMMYFUNCTION("SUMPRODUCT((IMPORTRANGE(""17XjIPGwafStTRf_8bPPaoi2EFjHVy10_rRJ0uvy6YcU"",""M:M"")=B12)*1, IMPORTRANGE(""17XjIPGwafStTRf_8bPPaoi2EFjHVy10_rRJ0uvy6YcU"",""X:X""), IMPORTRANGE(""17XjIPGwafStTRf_8bPPaoi2EFjHVy10_rRJ0uvy6YcU"",""AK:AK"")) - SUMPRODUCT((IMPORTR"&amp;"ANGE(""17XjIPGwafStTRf_8bPPaoi2EFjHVy10_rRJ0uvy6YcU"",""M:M"")=B12)*1, IMPORTRANGE(""17XjIPGwafStTRf_8bPPaoi2EFjHVy10_rRJ0uvy6YcU"",""X:X""), IMPORTRANGE(""17XjIPGwafStTRf_8bPPaoi2EFjHVy10_rRJ0uvy6YcU"",""AL:AL""))"),93552.0)</f>
        <v>93552</v>
      </c>
      <c r="D12" s="24">
        <f>IFERROR(__xludf.DUMMYFUNCTION("SUMPRODUCT((IMPORTRANGE(""17XjIPGwafStTRf_8bPPaoi2EFjHVy10_rRJ0uvy6YcU"",""M:M"")=B12)*1, IMPORTRANGE(""17XjIPGwafStTRf_8bPPaoi2EFjHVy10_rRJ0uvy6YcU"",""X:X""), IMPORTRANGE(""17XjIPGwafStTRf_8bPPaoi2EFjHVy10_rRJ0uvy6YcU"",""AA:AA"")) + SUMPRODUCT((IMPORTR"&amp;"ANGE(""17XjIPGwafStTRf_8bPPaoi2EFjHVy10_rRJ0uvy6YcU"",""M:M"")=B12)*1, IMPORTRANGE(""17XjIPGwafStTRf_8bPPaoi2EFjHVy10_rRJ0uvy6YcU"",""X:X""), IMPORTRANGE(""17XjIPGwafStTRf_8bPPaoi2EFjHVy10_rRJ0uvy6YcU"",""AE:AE"")) + SUMPRODUCT((IMPORTRANGE(""17XjIPGwafSt"&amp;"TRf_8bPPaoi2EFjHVy10_rRJ0uvy6YcU"",""M:M"")=B12)*1, IMPORTRANGE(""17XjIPGwafStTRf_8bPPaoi2EFjHVy10_rRJ0uvy6YcU"",""X:X""), IMPORTRANGE(""17XjIPGwafStTRf_8bPPaoi2EFjHVy10_rRJ0uvy6YcU"",""AF:AF""))"),50289.73328524694)</f>
        <v>50289.73329</v>
      </c>
      <c r="E12" s="24">
        <f>IFERROR(__xludf.DUMMYFUNCTION("SUMPRODUCT((IMPORTRANGE(""17XjIPGwafStTRf_8bPPaoi2EFjHVy10_rRJ0uvy6YcU"",""M:M"")=B12)*1, IMPORTRANGE(""17XjIPGwafStTRf_8bPPaoi2EFjHVy10_rRJ0uvy6YcU"",""X:X""), IMPORTRANGE(""17XjIPGwafStTRf_8bPPaoi2EFjHVy10_rRJ0uvy6YcU"",""AO:AO""))"),21402.266714753052)</f>
        <v>21402.26671</v>
      </c>
      <c r="F12" s="25">
        <f>IFERROR(__xludf.DUMMYFUNCTION("SUMPRODUCT((IMPORTRANGE(""17XjIPGwafStTRf_8bPPaoi2EFjHVy10_rRJ0uvy6YcU"",""M:M"")=B12)*1, IMPORTRANGE(""17XjIPGwafStTRf_8bPPaoi2EFjHVy10_rRJ0uvy6YcU"",""X:X""))"),12.0)</f>
        <v>12</v>
      </c>
      <c r="G12" s="26">
        <f>IFERROR(__xludf.DUMMYFUNCTION("COUNTIF(IMPORTRANGE(""17XjIPGwafStTRf_8bPPaoi2EFjHVy10_rRJ0uvy6YcU"",""M:M""), B12)"),5.0)</f>
        <v>5</v>
      </c>
      <c r="H12" s="27">
        <f t="shared" si="1"/>
        <v>2.4</v>
      </c>
      <c r="I12" s="28">
        <f t="shared" si="2"/>
        <v>0.2287740157</v>
      </c>
      <c r="J12" s="29">
        <f t="shared" si="3"/>
        <v>0.4255792448</v>
      </c>
      <c r="K12" s="32"/>
      <c r="L12" s="31" t="str">
        <f t="shared" si="4"/>
        <v/>
      </c>
      <c r="M12" s="31" t="str">
        <f t="shared" si="5"/>
        <v/>
      </c>
      <c r="N12" s="4"/>
    </row>
    <row r="13">
      <c r="A13" s="1"/>
      <c r="B13" s="23">
        <f t="shared" si="6"/>
        <v>44324</v>
      </c>
      <c r="C13" s="24">
        <f>IFERROR(__xludf.DUMMYFUNCTION("SUMPRODUCT((IMPORTRANGE(""17XjIPGwafStTRf_8bPPaoi2EFjHVy10_rRJ0uvy6YcU"",""M:M"")=B13)*1, IMPORTRANGE(""17XjIPGwafStTRf_8bPPaoi2EFjHVy10_rRJ0uvy6YcU"",""X:X""), IMPORTRANGE(""17XjIPGwafStTRf_8bPPaoi2EFjHVy10_rRJ0uvy6YcU"",""AK:AK"")) - SUMPRODUCT((IMPORTR"&amp;"ANGE(""17XjIPGwafStTRf_8bPPaoi2EFjHVy10_rRJ0uvy6YcU"",""M:M"")=B13)*1, IMPORTRANGE(""17XjIPGwafStTRf_8bPPaoi2EFjHVy10_rRJ0uvy6YcU"",""X:X""), IMPORTRANGE(""17XjIPGwafStTRf_8bPPaoi2EFjHVy10_rRJ0uvy6YcU"",""AL:AL""))"),7327.0)</f>
        <v>7327</v>
      </c>
      <c r="D13" s="24">
        <f>IFERROR(__xludf.DUMMYFUNCTION("SUMPRODUCT((IMPORTRANGE(""17XjIPGwafStTRf_8bPPaoi2EFjHVy10_rRJ0uvy6YcU"",""M:M"")=B13)*1, IMPORTRANGE(""17XjIPGwafStTRf_8bPPaoi2EFjHVy10_rRJ0uvy6YcU"",""X:X""), IMPORTRANGE(""17XjIPGwafStTRf_8bPPaoi2EFjHVy10_rRJ0uvy6YcU"",""AA:AA"")) + SUMPRODUCT((IMPORTR"&amp;"ANGE(""17XjIPGwafStTRf_8bPPaoi2EFjHVy10_rRJ0uvy6YcU"",""M:M"")=B13)*1, IMPORTRANGE(""17XjIPGwafStTRf_8bPPaoi2EFjHVy10_rRJ0uvy6YcU"",""X:X""), IMPORTRANGE(""17XjIPGwafStTRf_8bPPaoi2EFjHVy10_rRJ0uvy6YcU"",""AE:AE"")) + SUMPRODUCT((IMPORTRANGE(""17XjIPGwafSt"&amp;"TRf_8bPPaoi2EFjHVy10_rRJ0uvy6YcU"",""M:M"")=B13)*1, IMPORTRANGE(""17XjIPGwafStTRf_8bPPaoi2EFjHVy10_rRJ0uvy6YcU"",""X:X""), IMPORTRANGE(""17XjIPGwafStTRf_8bPPaoi2EFjHVy10_rRJ0uvy6YcU"",""AF:AF""))"),4697.991682023212)</f>
        <v>4697.991682</v>
      </c>
      <c r="E13" s="24">
        <f>IFERROR(__xludf.DUMMYFUNCTION("SUMPRODUCT((IMPORTRANGE(""17XjIPGwafStTRf_8bPPaoi2EFjHVy10_rRJ0uvy6YcU"",""M:M"")=B13)*1, IMPORTRANGE(""17XjIPGwafStTRf_8bPPaoi2EFjHVy10_rRJ0uvy6YcU"",""X:X""), IMPORTRANGE(""17XjIPGwafStTRf_8bPPaoi2EFjHVy10_rRJ0uvy6YcU"",""AO:AO""))"),1016.008317976788)</f>
        <v>1016.008318</v>
      </c>
      <c r="F13" s="25">
        <f>IFERROR(__xludf.DUMMYFUNCTION("SUMPRODUCT((IMPORTRANGE(""17XjIPGwafStTRf_8bPPaoi2EFjHVy10_rRJ0uvy6YcU"",""M:M"")=B13)*1, IMPORTRANGE(""17XjIPGwafStTRf_8bPPaoi2EFjHVy10_rRJ0uvy6YcU"",""X:X""))"),1.0)</f>
        <v>1</v>
      </c>
      <c r="G13" s="26">
        <f>IFERROR(__xludf.DUMMYFUNCTION("COUNTIF(IMPORTRANGE(""17XjIPGwafStTRf_8bPPaoi2EFjHVy10_rRJ0uvy6YcU"",""M:M""), B13)"),1.0)</f>
        <v>1</v>
      </c>
      <c r="H13" s="27">
        <f t="shared" si="1"/>
        <v>1</v>
      </c>
      <c r="I13" s="28">
        <f t="shared" si="2"/>
        <v>0.1386663461</v>
      </c>
      <c r="J13" s="29">
        <f t="shared" si="3"/>
        <v>0.2162643927</v>
      </c>
      <c r="K13" s="32"/>
      <c r="L13" s="31" t="str">
        <f t="shared" si="4"/>
        <v/>
      </c>
      <c r="M13" s="31" t="str">
        <f t="shared" si="5"/>
        <v/>
      </c>
      <c r="N13" s="4"/>
    </row>
    <row r="14">
      <c r="A14" s="1"/>
      <c r="B14" s="23">
        <f t="shared" si="6"/>
        <v>44325</v>
      </c>
      <c r="C14" s="24">
        <f>IFERROR(__xludf.DUMMYFUNCTION("SUMPRODUCT((IMPORTRANGE(""17XjIPGwafStTRf_8bPPaoi2EFjHVy10_rRJ0uvy6YcU"",""M:M"")=B14)*1, IMPORTRANGE(""17XjIPGwafStTRf_8bPPaoi2EFjHVy10_rRJ0uvy6YcU"",""X:X""), IMPORTRANGE(""17XjIPGwafStTRf_8bPPaoi2EFjHVy10_rRJ0uvy6YcU"",""AK:AK"")) - SUMPRODUCT((IMPORTR"&amp;"ANGE(""17XjIPGwafStTRf_8bPPaoi2EFjHVy10_rRJ0uvy6YcU"",""M:M"")=B14)*1, IMPORTRANGE(""17XjIPGwafStTRf_8bPPaoi2EFjHVy10_rRJ0uvy6YcU"",""X:X""), IMPORTRANGE(""17XjIPGwafStTRf_8bPPaoi2EFjHVy10_rRJ0uvy6YcU"",""AL:AL""))"),0.0)</f>
        <v>0</v>
      </c>
      <c r="D14" s="24">
        <f>IFERROR(__xludf.DUMMYFUNCTION("SUMPRODUCT((IMPORTRANGE(""17XjIPGwafStTRf_8bPPaoi2EFjHVy10_rRJ0uvy6YcU"",""M:M"")=B14)*1, IMPORTRANGE(""17XjIPGwafStTRf_8bPPaoi2EFjHVy10_rRJ0uvy6YcU"",""X:X""), IMPORTRANGE(""17XjIPGwafStTRf_8bPPaoi2EFjHVy10_rRJ0uvy6YcU"",""AA:AA"")) + SUMPRODUCT((IMPORTR"&amp;"ANGE(""17XjIPGwafStTRf_8bPPaoi2EFjHVy10_rRJ0uvy6YcU"",""M:M"")=B14)*1, IMPORTRANGE(""17XjIPGwafStTRf_8bPPaoi2EFjHVy10_rRJ0uvy6YcU"",""X:X""), IMPORTRANGE(""17XjIPGwafStTRf_8bPPaoi2EFjHVy10_rRJ0uvy6YcU"",""AE:AE"")) + SUMPRODUCT((IMPORTRANGE(""17XjIPGwafSt"&amp;"TRf_8bPPaoi2EFjHVy10_rRJ0uvy6YcU"",""M:M"")=B14)*1, IMPORTRANGE(""17XjIPGwafStTRf_8bPPaoi2EFjHVy10_rRJ0uvy6YcU"",""X:X""), IMPORTRANGE(""17XjIPGwafStTRf_8bPPaoi2EFjHVy10_rRJ0uvy6YcU"",""AF:AF""))"),0.0)</f>
        <v>0</v>
      </c>
      <c r="E14" s="24">
        <f>IFERROR(__xludf.DUMMYFUNCTION("SUMPRODUCT((IMPORTRANGE(""17XjIPGwafStTRf_8bPPaoi2EFjHVy10_rRJ0uvy6YcU"",""M:M"")=B14)*1, IMPORTRANGE(""17XjIPGwafStTRf_8bPPaoi2EFjHVy10_rRJ0uvy6YcU"",""X:X""), IMPORTRANGE(""17XjIPGwafStTRf_8bPPaoi2EFjHVy10_rRJ0uvy6YcU"",""AO:AO""))"),0.0)</f>
        <v>0</v>
      </c>
      <c r="F14" s="25">
        <f>IFERROR(__xludf.DUMMYFUNCTION("SUMPRODUCT((IMPORTRANGE(""17XjIPGwafStTRf_8bPPaoi2EFjHVy10_rRJ0uvy6YcU"",""M:M"")=B14)*1, IMPORTRANGE(""17XjIPGwafStTRf_8bPPaoi2EFjHVy10_rRJ0uvy6YcU"",""X:X""))"),0.0)</f>
        <v>0</v>
      </c>
      <c r="G14" s="26">
        <f>IFERROR(__xludf.DUMMYFUNCTION("COUNTIF(IMPORTRANGE(""17XjIPGwafStTRf_8bPPaoi2EFjHVy10_rRJ0uvy6YcU"",""M:M""), B14)"),0.0)</f>
        <v>0</v>
      </c>
      <c r="H14" s="27" t="str">
        <f t="shared" si="1"/>
        <v/>
      </c>
      <c r="I14" s="28" t="str">
        <f t="shared" si="2"/>
        <v/>
      </c>
      <c r="J14" s="29" t="str">
        <f t="shared" si="3"/>
        <v/>
      </c>
      <c r="K14" s="32"/>
      <c r="L14" s="31" t="str">
        <f t="shared" si="4"/>
        <v/>
      </c>
      <c r="M14" s="31" t="str">
        <f t="shared" si="5"/>
        <v/>
      </c>
      <c r="N14" s="4"/>
    </row>
    <row r="15">
      <c r="A15" s="1"/>
      <c r="B15" s="23">
        <f t="shared" si="6"/>
        <v>44326</v>
      </c>
      <c r="C15" s="24">
        <f>IFERROR(__xludf.DUMMYFUNCTION("SUMPRODUCT((IMPORTRANGE(""17XjIPGwafStTRf_8bPPaoi2EFjHVy10_rRJ0uvy6YcU"",""M:M"")=B15)*1, IMPORTRANGE(""17XjIPGwafStTRf_8bPPaoi2EFjHVy10_rRJ0uvy6YcU"",""X:X""), IMPORTRANGE(""17XjIPGwafStTRf_8bPPaoi2EFjHVy10_rRJ0uvy6YcU"",""AK:AK"")) - SUMPRODUCT((IMPORTR"&amp;"ANGE(""17XjIPGwafStTRf_8bPPaoi2EFjHVy10_rRJ0uvy6YcU"",""M:M"")=B15)*1, IMPORTRANGE(""17XjIPGwafStTRf_8bPPaoi2EFjHVy10_rRJ0uvy6YcU"",""X:X""), IMPORTRANGE(""17XjIPGwafStTRf_8bPPaoi2EFjHVy10_rRJ0uvy6YcU"",""AL:AL""))"),0.0)</f>
        <v>0</v>
      </c>
      <c r="D15" s="24">
        <f>IFERROR(__xludf.DUMMYFUNCTION("SUMPRODUCT((IMPORTRANGE(""17XjIPGwafStTRf_8bPPaoi2EFjHVy10_rRJ0uvy6YcU"",""M:M"")=B15)*1, IMPORTRANGE(""17XjIPGwafStTRf_8bPPaoi2EFjHVy10_rRJ0uvy6YcU"",""X:X""), IMPORTRANGE(""17XjIPGwafStTRf_8bPPaoi2EFjHVy10_rRJ0uvy6YcU"",""AA:AA"")) + SUMPRODUCT((IMPORTR"&amp;"ANGE(""17XjIPGwafStTRf_8bPPaoi2EFjHVy10_rRJ0uvy6YcU"",""M:M"")=B15)*1, IMPORTRANGE(""17XjIPGwafStTRf_8bPPaoi2EFjHVy10_rRJ0uvy6YcU"",""X:X""), IMPORTRANGE(""17XjIPGwafStTRf_8bPPaoi2EFjHVy10_rRJ0uvy6YcU"",""AE:AE"")) + SUMPRODUCT((IMPORTRANGE(""17XjIPGwafSt"&amp;"TRf_8bPPaoi2EFjHVy10_rRJ0uvy6YcU"",""M:M"")=B15)*1, IMPORTRANGE(""17XjIPGwafStTRf_8bPPaoi2EFjHVy10_rRJ0uvy6YcU"",""X:X""), IMPORTRANGE(""17XjIPGwafStTRf_8bPPaoi2EFjHVy10_rRJ0uvy6YcU"",""AF:AF""))"),0.0)</f>
        <v>0</v>
      </c>
      <c r="E15" s="24">
        <f>IFERROR(__xludf.DUMMYFUNCTION("SUMPRODUCT((IMPORTRANGE(""17XjIPGwafStTRf_8bPPaoi2EFjHVy10_rRJ0uvy6YcU"",""M:M"")=B15)*1, IMPORTRANGE(""17XjIPGwafStTRf_8bPPaoi2EFjHVy10_rRJ0uvy6YcU"",""X:X""), IMPORTRANGE(""17XjIPGwafStTRf_8bPPaoi2EFjHVy10_rRJ0uvy6YcU"",""AO:AO""))"),0.0)</f>
        <v>0</v>
      </c>
      <c r="F15" s="25">
        <f>IFERROR(__xludf.DUMMYFUNCTION("SUMPRODUCT((IMPORTRANGE(""17XjIPGwafStTRf_8bPPaoi2EFjHVy10_rRJ0uvy6YcU"",""M:M"")=B15)*1, IMPORTRANGE(""17XjIPGwafStTRf_8bPPaoi2EFjHVy10_rRJ0uvy6YcU"",""X:X""))"),0.0)</f>
        <v>0</v>
      </c>
      <c r="G15" s="26">
        <f>IFERROR(__xludf.DUMMYFUNCTION("COUNTIF(IMPORTRANGE(""17XjIPGwafStTRf_8bPPaoi2EFjHVy10_rRJ0uvy6YcU"",""M:M""), B15)"),0.0)</f>
        <v>0</v>
      </c>
      <c r="H15" s="27" t="str">
        <f t="shared" si="1"/>
        <v/>
      </c>
      <c r="I15" s="28" t="str">
        <f t="shared" si="2"/>
        <v/>
      </c>
      <c r="J15" s="29" t="str">
        <f t="shared" si="3"/>
        <v/>
      </c>
      <c r="K15" s="30"/>
      <c r="L15" s="31" t="str">
        <f t="shared" si="4"/>
        <v/>
      </c>
      <c r="M15" s="31" t="str">
        <f t="shared" si="5"/>
        <v/>
      </c>
      <c r="N15" s="4"/>
    </row>
    <row r="16">
      <c r="A16" s="1"/>
      <c r="B16" s="23">
        <f t="shared" si="6"/>
        <v>44327</v>
      </c>
      <c r="C16" s="24">
        <f>IFERROR(__xludf.DUMMYFUNCTION("SUMPRODUCT((IMPORTRANGE(""17XjIPGwafStTRf_8bPPaoi2EFjHVy10_rRJ0uvy6YcU"",""M:M"")=B16)*1, IMPORTRANGE(""17XjIPGwafStTRf_8bPPaoi2EFjHVy10_rRJ0uvy6YcU"",""X:X""), IMPORTRANGE(""17XjIPGwafStTRf_8bPPaoi2EFjHVy10_rRJ0uvy6YcU"",""AK:AK"")) - SUMPRODUCT((IMPORTR"&amp;"ANGE(""17XjIPGwafStTRf_8bPPaoi2EFjHVy10_rRJ0uvy6YcU"",""M:M"")=B16)*1, IMPORTRANGE(""17XjIPGwafStTRf_8bPPaoi2EFjHVy10_rRJ0uvy6YcU"",""X:X""), IMPORTRANGE(""17XjIPGwafStTRf_8bPPaoi2EFjHVy10_rRJ0uvy6YcU"",""AL:AL""))"),1563172.0)</f>
        <v>1563172</v>
      </c>
      <c r="D16" s="24">
        <f>IFERROR(__xludf.DUMMYFUNCTION("SUMPRODUCT((IMPORTRANGE(""17XjIPGwafStTRf_8bPPaoi2EFjHVy10_rRJ0uvy6YcU"",""M:M"")=B16)*1, IMPORTRANGE(""17XjIPGwafStTRf_8bPPaoi2EFjHVy10_rRJ0uvy6YcU"",""X:X""), IMPORTRANGE(""17XjIPGwafStTRf_8bPPaoi2EFjHVy10_rRJ0uvy6YcU"",""AA:AA"")) + SUMPRODUCT((IMPORTR"&amp;"ANGE(""17XjIPGwafStTRf_8bPPaoi2EFjHVy10_rRJ0uvy6YcU"",""M:M"")=B16)*1, IMPORTRANGE(""17XjIPGwafStTRf_8bPPaoi2EFjHVy10_rRJ0uvy6YcU"",""X:X""), IMPORTRANGE(""17XjIPGwafStTRf_8bPPaoi2EFjHVy10_rRJ0uvy6YcU"",""AE:AE"")) + SUMPRODUCT((IMPORTRANGE(""17XjIPGwafSt"&amp;"TRf_8bPPaoi2EFjHVy10_rRJ0uvy6YcU"",""M:M"")=B16)*1, IMPORTRANGE(""17XjIPGwafStTRf_8bPPaoi2EFjHVy10_rRJ0uvy6YcU"",""X:X""), IMPORTRANGE(""17XjIPGwafStTRf_8bPPaoi2EFjHVy10_rRJ0uvy6YcU"",""AF:AF""))"),1140806.8079509253)</f>
        <v>1140806.808</v>
      </c>
      <c r="E16" s="24">
        <f>IFERROR(__xludf.DUMMYFUNCTION("SUMPRODUCT((IMPORTRANGE(""17XjIPGwafStTRf_8bPPaoi2EFjHVy10_rRJ0uvy6YcU"",""M:M"")=B16)*1, IMPORTRANGE(""17XjIPGwafStTRf_8bPPaoi2EFjHVy10_rRJ0uvy6YcU"",""X:X""), IMPORTRANGE(""17XjIPGwafStTRf_8bPPaoi2EFjHVy10_rRJ0uvy6YcU"",""AO:AO""))"),105102.44672905125)</f>
        <v>105102.4467</v>
      </c>
      <c r="F16" s="25">
        <f>IFERROR(__xludf.DUMMYFUNCTION("SUMPRODUCT((IMPORTRANGE(""17XjIPGwafStTRf_8bPPaoi2EFjHVy10_rRJ0uvy6YcU"",""M:M"")=B16)*1, IMPORTRANGE(""17XjIPGwafStTRf_8bPPaoi2EFjHVy10_rRJ0uvy6YcU"",""X:X""))"),290.0)</f>
        <v>290</v>
      </c>
      <c r="G16" s="26">
        <f>IFERROR(__xludf.DUMMYFUNCTION("COUNTIF(IMPORTRANGE(""17XjIPGwafStTRf_8bPPaoi2EFjHVy10_rRJ0uvy6YcU"",""M:M""), B16)"),74.0)</f>
        <v>74</v>
      </c>
      <c r="H16" s="27">
        <f t="shared" si="1"/>
        <v>3.918918919</v>
      </c>
      <c r="I16" s="28">
        <f t="shared" si="2"/>
        <v>0.06723664877</v>
      </c>
      <c r="J16" s="29">
        <f t="shared" si="3"/>
        <v>0.09212992594</v>
      </c>
      <c r="K16" s="32"/>
      <c r="L16" s="31" t="str">
        <f t="shared" si="4"/>
        <v/>
      </c>
      <c r="M16" s="31" t="str">
        <f t="shared" si="5"/>
        <v/>
      </c>
      <c r="N16" s="4"/>
    </row>
    <row r="17">
      <c r="A17" s="1"/>
      <c r="B17" s="23">
        <f t="shared" si="6"/>
        <v>44328</v>
      </c>
      <c r="C17" s="24">
        <f>IFERROR(__xludf.DUMMYFUNCTION("SUMPRODUCT((IMPORTRANGE(""17XjIPGwafStTRf_8bPPaoi2EFjHVy10_rRJ0uvy6YcU"",""M:M"")=B17)*1, IMPORTRANGE(""17XjIPGwafStTRf_8bPPaoi2EFjHVy10_rRJ0uvy6YcU"",""X:X""), IMPORTRANGE(""17XjIPGwafStTRf_8bPPaoi2EFjHVy10_rRJ0uvy6YcU"",""AK:AK"")) - SUMPRODUCT((IMPORTR"&amp;"ANGE(""17XjIPGwafStTRf_8bPPaoi2EFjHVy10_rRJ0uvy6YcU"",""M:M"")=B17)*1, IMPORTRANGE(""17XjIPGwafStTRf_8bPPaoi2EFjHVy10_rRJ0uvy6YcU"",""X:X""), IMPORTRANGE(""17XjIPGwafStTRf_8bPPaoi2EFjHVy10_rRJ0uvy6YcU"",""AL:AL""))"),151825.0)</f>
        <v>151825</v>
      </c>
      <c r="D17" s="24">
        <f>IFERROR(__xludf.DUMMYFUNCTION("SUMPRODUCT((IMPORTRANGE(""17XjIPGwafStTRf_8bPPaoi2EFjHVy10_rRJ0uvy6YcU"",""M:M"")=B17)*1, IMPORTRANGE(""17XjIPGwafStTRf_8bPPaoi2EFjHVy10_rRJ0uvy6YcU"",""X:X""), IMPORTRANGE(""17XjIPGwafStTRf_8bPPaoi2EFjHVy10_rRJ0uvy6YcU"",""AA:AA"")) + SUMPRODUCT((IMPORTR"&amp;"ANGE(""17XjIPGwafStTRf_8bPPaoi2EFjHVy10_rRJ0uvy6YcU"",""M:M"")=B17)*1, IMPORTRANGE(""17XjIPGwafStTRf_8bPPaoi2EFjHVy10_rRJ0uvy6YcU"",""X:X""), IMPORTRANGE(""17XjIPGwafStTRf_8bPPaoi2EFjHVy10_rRJ0uvy6YcU"",""AE:AE"")) + SUMPRODUCT((IMPORTRANGE(""17XjIPGwafSt"&amp;"TRf_8bPPaoi2EFjHVy10_rRJ0uvy6YcU"",""M:M"")=B17)*1, IMPORTRANGE(""17XjIPGwafStTRf_8bPPaoi2EFjHVy10_rRJ0uvy6YcU"",""X:X""), IMPORTRANGE(""17XjIPGwafStTRf_8bPPaoi2EFjHVy10_rRJ0uvy6YcU"",""AF:AF""))"),105737.5525269061)</f>
        <v>105737.5525</v>
      </c>
      <c r="E17" s="24">
        <f>IFERROR(__xludf.DUMMYFUNCTION("SUMPRODUCT((IMPORTRANGE(""17XjIPGwafStTRf_8bPPaoi2EFjHVy10_rRJ0uvy6YcU"",""M:M"")=B17)*1, IMPORTRANGE(""17XjIPGwafStTRf_8bPPaoi2EFjHVy10_rRJ0uvy6YcU"",""X:X""), IMPORTRANGE(""17XjIPGwafStTRf_8bPPaoi2EFjHVy10_rRJ0uvy6YcU"",""AO:AO""))"),11875.612301200154)</f>
        <v>11875.6123</v>
      </c>
      <c r="F17" s="25">
        <f>IFERROR(__xludf.DUMMYFUNCTION("SUMPRODUCT((IMPORTRANGE(""17XjIPGwafStTRf_8bPPaoi2EFjHVy10_rRJ0uvy6YcU"",""M:M"")=B17)*1, IMPORTRANGE(""17XjIPGwafStTRf_8bPPaoi2EFjHVy10_rRJ0uvy6YcU"",""X:X""))"),22.0)</f>
        <v>22</v>
      </c>
      <c r="G17" s="26">
        <f>IFERROR(__xludf.DUMMYFUNCTION("COUNTIF(IMPORTRANGE(""17XjIPGwafStTRf_8bPPaoi2EFjHVy10_rRJ0uvy6YcU"",""M:M""), B17)"),7.0)</f>
        <v>7</v>
      </c>
      <c r="H17" s="27">
        <f t="shared" si="1"/>
        <v>3.142857143</v>
      </c>
      <c r="I17" s="28">
        <f t="shared" si="2"/>
        <v>0.07821908316</v>
      </c>
      <c r="J17" s="29">
        <f t="shared" si="3"/>
        <v>0.1123121542</v>
      </c>
      <c r="K17" s="32"/>
      <c r="L17" s="31" t="str">
        <f t="shared" si="4"/>
        <v/>
      </c>
      <c r="M17" s="31" t="str">
        <f t="shared" si="5"/>
        <v/>
      </c>
      <c r="N17" s="4"/>
    </row>
    <row r="18">
      <c r="A18" s="1"/>
      <c r="B18" s="23">
        <f t="shared" si="6"/>
        <v>44329</v>
      </c>
      <c r="C18" s="24">
        <f>IFERROR(__xludf.DUMMYFUNCTION("SUMPRODUCT((IMPORTRANGE(""17XjIPGwafStTRf_8bPPaoi2EFjHVy10_rRJ0uvy6YcU"",""M:M"")=B18)*1, IMPORTRANGE(""17XjIPGwafStTRf_8bPPaoi2EFjHVy10_rRJ0uvy6YcU"",""X:X""), IMPORTRANGE(""17XjIPGwafStTRf_8bPPaoi2EFjHVy10_rRJ0uvy6YcU"",""AK:AK"")) - SUMPRODUCT((IMPORTR"&amp;"ANGE(""17XjIPGwafStTRf_8bPPaoi2EFjHVy10_rRJ0uvy6YcU"",""M:M"")=B18)*1, IMPORTRANGE(""17XjIPGwafStTRf_8bPPaoi2EFjHVy10_rRJ0uvy6YcU"",""X:X""), IMPORTRANGE(""17XjIPGwafStTRf_8bPPaoi2EFjHVy10_rRJ0uvy6YcU"",""AL:AL""))"),97726.0)</f>
        <v>97726</v>
      </c>
      <c r="D18" s="24">
        <f>IFERROR(__xludf.DUMMYFUNCTION("SUMPRODUCT((IMPORTRANGE(""17XjIPGwafStTRf_8bPPaoi2EFjHVy10_rRJ0uvy6YcU"",""M:M"")=B18)*1, IMPORTRANGE(""17XjIPGwafStTRf_8bPPaoi2EFjHVy10_rRJ0uvy6YcU"",""X:X""), IMPORTRANGE(""17XjIPGwafStTRf_8bPPaoi2EFjHVy10_rRJ0uvy6YcU"",""AA:AA"")) + SUMPRODUCT((IMPORTR"&amp;"ANGE(""17XjIPGwafStTRf_8bPPaoi2EFjHVy10_rRJ0uvy6YcU"",""M:M"")=B18)*1, IMPORTRANGE(""17XjIPGwafStTRf_8bPPaoi2EFjHVy10_rRJ0uvy6YcU"",""X:X""), IMPORTRANGE(""17XjIPGwafStTRf_8bPPaoi2EFjHVy10_rRJ0uvy6YcU"",""AE:AE"")) + SUMPRODUCT((IMPORTRANGE(""17XjIPGwafSt"&amp;"TRf_8bPPaoi2EFjHVy10_rRJ0uvy6YcU"",""M:M"")=B18)*1, IMPORTRANGE(""17XjIPGwafStTRf_8bPPaoi2EFjHVy10_rRJ0uvy6YcU"",""X:X""), IMPORTRANGE(""17XjIPGwafStTRf_8bPPaoi2EFjHVy10_rRJ0uvy6YcU"",""AF:AF""))"),68008.71583729661)</f>
        <v>68008.71584</v>
      </c>
      <c r="E18" s="24">
        <f>IFERROR(__xludf.DUMMYFUNCTION("SUMPRODUCT((IMPORTRANGE(""17XjIPGwafStTRf_8bPPaoi2EFjHVy10_rRJ0uvy6YcU"",""M:M"")=B18)*1, IMPORTRANGE(""17XjIPGwafStTRf_8bPPaoi2EFjHVy10_rRJ0uvy6YcU"",""X:X""), IMPORTRANGE(""17XjIPGwafStTRf_8bPPaoi2EFjHVy10_rRJ0uvy6YcU"",""AO:AO""))"),12507.580417671561)</f>
        <v>12507.58042</v>
      </c>
      <c r="F18" s="25">
        <f>IFERROR(__xludf.DUMMYFUNCTION("SUMPRODUCT((IMPORTRANGE(""17XjIPGwafStTRf_8bPPaoi2EFjHVy10_rRJ0uvy6YcU"",""M:M"")=B18)*1, IMPORTRANGE(""17XjIPGwafStTRf_8bPPaoi2EFjHVy10_rRJ0uvy6YcU"",""X:X""))"),23.0)</f>
        <v>23</v>
      </c>
      <c r="G18" s="26">
        <f>IFERROR(__xludf.DUMMYFUNCTION("COUNTIF(IMPORTRANGE(""17XjIPGwafStTRf_8bPPaoi2EFjHVy10_rRJ0uvy6YcU"",""M:M""), B18)"),9.0)</f>
        <v>9</v>
      </c>
      <c r="H18" s="27">
        <f t="shared" si="1"/>
        <v>2.555555556</v>
      </c>
      <c r="I18" s="28">
        <f t="shared" si="2"/>
        <v>0.1279862106</v>
      </c>
      <c r="J18" s="29">
        <f t="shared" si="3"/>
        <v>0.1839114335</v>
      </c>
      <c r="K18" s="32"/>
      <c r="L18" s="31" t="str">
        <f t="shared" si="4"/>
        <v/>
      </c>
      <c r="M18" s="31" t="str">
        <f t="shared" si="5"/>
        <v/>
      </c>
      <c r="N18" s="4"/>
    </row>
    <row r="19">
      <c r="A19" s="1"/>
      <c r="B19" s="23">
        <f t="shared" si="6"/>
        <v>44330</v>
      </c>
      <c r="C19" s="24">
        <f>IFERROR(__xludf.DUMMYFUNCTION("SUMPRODUCT((IMPORTRANGE(""17XjIPGwafStTRf_8bPPaoi2EFjHVy10_rRJ0uvy6YcU"",""M:M"")=B19)*1, IMPORTRANGE(""17XjIPGwafStTRf_8bPPaoi2EFjHVy10_rRJ0uvy6YcU"",""X:X""), IMPORTRANGE(""17XjIPGwafStTRf_8bPPaoi2EFjHVy10_rRJ0uvy6YcU"",""AK:AK"")) - SUMPRODUCT((IMPORTR"&amp;"ANGE(""17XjIPGwafStTRf_8bPPaoi2EFjHVy10_rRJ0uvy6YcU"",""M:M"")=B19)*1, IMPORTRANGE(""17XjIPGwafStTRf_8bPPaoi2EFjHVy10_rRJ0uvy6YcU"",""X:X""), IMPORTRANGE(""17XjIPGwafStTRf_8bPPaoi2EFjHVy10_rRJ0uvy6YcU"",""AL:AL""))"),174381.0)</f>
        <v>174381</v>
      </c>
      <c r="D19" s="24">
        <f>IFERROR(__xludf.DUMMYFUNCTION("SUMPRODUCT((IMPORTRANGE(""17XjIPGwafStTRf_8bPPaoi2EFjHVy10_rRJ0uvy6YcU"",""M:M"")=B19)*1, IMPORTRANGE(""17XjIPGwafStTRf_8bPPaoi2EFjHVy10_rRJ0uvy6YcU"",""X:X""), IMPORTRANGE(""17XjIPGwafStTRf_8bPPaoi2EFjHVy10_rRJ0uvy6YcU"",""AA:AA"")) + SUMPRODUCT((IMPORTR"&amp;"ANGE(""17XjIPGwafStTRf_8bPPaoi2EFjHVy10_rRJ0uvy6YcU"",""M:M"")=B19)*1, IMPORTRANGE(""17XjIPGwafStTRf_8bPPaoi2EFjHVy10_rRJ0uvy6YcU"",""X:X""), IMPORTRANGE(""17XjIPGwafStTRf_8bPPaoi2EFjHVy10_rRJ0uvy6YcU"",""AE:AE"")) + SUMPRODUCT((IMPORTRANGE(""17XjIPGwafSt"&amp;"TRf_8bPPaoi2EFjHVy10_rRJ0uvy6YcU"",""M:M"")=B19)*1, IMPORTRANGE(""17XjIPGwafStTRf_8bPPaoi2EFjHVy10_rRJ0uvy6YcU"",""X:X""), IMPORTRANGE(""17XjIPGwafStTRf_8bPPaoi2EFjHVy10_rRJ0uvy6YcU"",""AF:AF""))"),156398.0274795645)</f>
        <v>156398.0275</v>
      </c>
      <c r="E19" s="24">
        <f>IFERROR(__xludf.DUMMYFUNCTION("SUMPRODUCT((IMPORTRANGE(""17XjIPGwafStTRf_8bPPaoi2EFjHVy10_rRJ0uvy6YcU"",""M:M"")=B19)*1, IMPORTRANGE(""17XjIPGwafStTRf_8bPPaoi2EFjHVy10_rRJ0uvy6YcU"",""X:X""), IMPORTRANGE(""17XjIPGwafStTRf_8bPPaoi2EFjHVy10_rRJ0uvy6YcU"",""AO:AO""))"),7388.972520435507)</f>
        <v>7388.97252</v>
      </c>
      <c r="F19" s="25">
        <f>IFERROR(__xludf.DUMMYFUNCTION("SUMPRODUCT((IMPORTRANGE(""17XjIPGwafStTRf_8bPPaoi2EFjHVy10_rRJ0uvy6YcU"",""M:M"")=B19)*1, IMPORTRANGE(""17XjIPGwafStTRf_8bPPaoi2EFjHVy10_rRJ0uvy6YcU"",""X:X""))"),42.0)</f>
        <v>42</v>
      </c>
      <c r="G19" s="26">
        <f>IFERROR(__xludf.DUMMYFUNCTION("COUNTIF(IMPORTRANGE(""17XjIPGwafStTRf_8bPPaoi2EFjHVy10_rRJ0uvy6YcU"",""M:M""), B19)"),8.0)</f>
        <v>8</v>
      </c>
      <c r="H19" s="27">
        <f t="shared" si="1"/>
        <v>5.25</v>
      </c>
      <c r="I19" s="28">
        <f t="shared" si="2"/>
        <v>0.04237257798</v>
      </c>
      <c r="J19" s="29">
        <f t="shared" si="3"/>
        <v>0.04724466567</v>
      </c>
      <c r="K19" s="32"/>
      <c r="L19" s="31" t="str">
        <f t="shared" si="4"/>
        <v/>
      </c>
      <c r="M19" s="31" t="str">
        <f t="shared" si="5"/>
        <v/>
      </c>
      <c r="N19" s="4"/>
    </row>
    <row r="20">
      <c r="A20" s="1"/>
      <c r="B20" s="23">
        <f t="shared" si="6"/>
        <v>44331</v>
      </c>
      <c r="C20" s="24">
        <f>IFERROR(__xludf.DUMMYFUNCTION("SUMPRODUCT((IMPORTRANGE(""17XjIPGwafStTRf_8bPPaoi2EFjHVy10_rRJ0uvy6YcU"",""M:M"")=B20)*1, IMPORTRANGE(""17XjIPGwafStTRf_8bPPaoi2EFjHVy10_rRJ0uvy6YcU"",""X:X""), IMPORTRANGE(""17XjIPGwafStTRf_8bPPaoi2EFjHVy10_rRJ0uvy6YcU"",""AK:AK"")) - SUMPRODUCT((IMPORTR"&amp;"ANGE(""17XjIPGwafStTRf_8bPPaoi2EFjHVy10_rRJ0uvy6YcU"",""M:M"")=B20)*1, IMPORTRANGE(""17XjIPGwafStTRf_8bPPaoi2EFjHVy10_rRJ0uvy6YcU"",""X:X""), IMPORTRANGE(""17XjIPGwafStTRf_8bPPaoi2EFjHVy10_rRJ0uvy6YcU"",""AL:AL""))"),766660.0)</f>
        <v>766660</v>
      </c>
      <c r="D20" s="24">
        <f>IFERROR(__xludf.DUMMYFUNCTION("SUMPRODUCT((IMPORTRANGE(""17XjIPGwafStTRf_8bPPaoi2EFjHVy10_rRJ0uvy6YcU"",""M:M"")=B20)*1, IMPORTRANGE(""17XjIPGwafStTRf_8bPPaoi2EFjHVy10_rRJ0uvy6YcU"",""X:X""), IMPORTRANGE(""17XjIPGwafStTRf_8bPPaoi2EFjHVy10_rRJ0uvy6YcU"",""AA:AA"")) + SUMPRODUCT((IMPORTR"&amp;"ANGE(""17XjIPGwafStTRf_8bPPaoi2EFjHVy10_rRJ0uvy6YcU"",""M:M"")=B20)*1, IMPORTRANGE(""17XjIPGwafStTRf_8bPPaoi2EFjHVy10_rRJ0uvy6YcU"",""X:X""), IMPORTRANGE(""17XjIPGwafStTRf_8bPPaoi2EFjHVy10_rRJ0uvy6YcU"",""AE:AE"")) + SUMPRODUCT((IMPORTRANGE(""17XjIPGwafSt"&amp;"TRf_8bPPaoi2EFjHVy10_rRJ0uvy6YcU"",""M:M"")=B20)*1, IMPORTRANGE(""17XjIPGwafStTRf_8bPPaoi2EFjHVy10_rRJ0uvy6YcU"",""X:X""), IMPORTRANGE(""17XjIPGwafStTRf_8bPPaoi2EFjHVy10_rRJ0uvy6YcU"",""AF:AF""))"),587941.9601484274)</f>
        <v>587941.9601</v>
      </c>
      <c r="E20" s="24">
        <f>IFERROR(__xludf.DUMMYFUNCTION("SUMPRODUCT((IMPORTRANGE(""17XjIPGwafStTRf_8bPPaoi2EFjHVy10_rRJ0uvy6YcU"",""M:M"")=B20)*1, IMPORTRANGE(""17XjIPGwafStTRf_8bPPaoi2EFjHVy10_rRJ0uvy6YcU"",""X:X""), IMPORTRANGE(""17XjIPGwafStTRf_8bPPaoi2EFjHVy10_rRJ0uvy6YcU"",""AO:AO""))"),88429.6264056234)</f>
        <v>88429.62641</v>
      </c>
      <c r="F20" s="25">
        <f>IFERROR(__xludf.DUMMYFUNCTION("SUMPRODUCT((IMPORTRANGE(""17XjIPGwafStTRf_8bPPaoi2EFjHVy10_rRJ0uvy6YcU"",""M:M"")=B20)*1, IMPORTRANGE(""17XjIPGwafStTRf_8bPPaoi2EFjHVy10_rRJ0uvy6YcU"",""X:X""))"),111.0)</f>
        <v>111</v>
      </c>
      <c r="G20" s="26">
        <f>IFERROR(__xludf.DUMMYFUNCTION("COUNTIF(IMPORTRANGE(""17XjIPGwafStTRf_8bPPaoi2EFjHVy10_rRJ0uvy6YcU"",""M:M""), B20)"),38.0)</f>
        <v>38</v>
      </c>
      <c r="H20" s="27">
        <f t="shared" si="1"/>
        <v>2.921052632</v>
      </c>
      <c r="I20" s="28">
        <f t="shared" si="2"/>
        <v>0.115343994</v>
      </c>
      <c r="J20" s="29">
        <f t="shared" si="3"/>
        <v>0.1504053672</v>
      </c>
      <c r="K20" s="32"/>
      <c r="L20" s="31" t="str">
        <f t="shared" si="4"/>
        <v/>
      </c>
      <c r="M20" s="31" t="str">
        <f t="shared" si="5"/>
        <v/>
      </c>
      <c r="N20" s="4"/>
    </row>
    <row r="21">
      <c r="A21" s="1"/>
      <c r="B21" s="23">
        <f t="shared" si="6"/>
        <v>44332</v>
      </c>
      <c r="C21" s="24">
        <f>IFERROR(__xludf.DUMMYFUNCTION("SUMPRODUCT((IMPORTRANGE(""17XjIPGwafStTRf_8bPPaoi2EFjHVy10_rRJ0uvy6YcU"",""M:M"")=B21)*1, IMPORTRANGE(""17XjIPGwafStTRf_8bPPaoi2EFjHVy10_rRJ0uvy6YcU"",""X:X""), IMPORTRANGE(""17XjIPGwafStTRf_8bPPaoi2EFjHVy10_rRJ0uvy6YcU"",""AK:AK"")) - SUMPRODUCT((IMPORTR"&amp;"ANGE(""17XjIPGwafStTRf_8bPPaoi2EFjHVy10_rRJ0uvy6YcU"",""M:M"")=B21)*1, IMPORTRANGE(""17XjIPGwafStTRf_8bPPaoi2EFjHVy10_rRJ0uvy6YcU"",""X:X""), IMPORTRANGE(""17XjIPGwafStTRf_8bPPaoi2EFjHVy10_rRJ0uvy6YcU"",""AL:AL""))"),516491.0)</f>
        <v>516491</v>
      </c>
      <c r="D21" s="24">
        <f>IFERROR(__xludf.DUMMYFUNCTION("SUMPRODUCT((IMPORTRANGE(""17XjIPGwafStTRf_8bPPaoi2EFjHVy10_rRJ0uvy6YcU"",""M:M"")=B21)*1, IMPORTRANGE(""17XjIPGwafStTRf_8bPPaoi2EFjHVy10_rRJ0uvy6YcU"",""X:X""), IMPORTRANGE(""17XjIPGwafStTRf_8bPPaoi2EFjHVy10_rRJ0uvy6YcU"",""AA:AA"")) + SUMPRODUCT((IMPORTR"&amp;"ANGE(""17XjIPGwafStTRf_8bPPaoi2EFjHVy10_rRJ0uvy6YcU"",""M:M"")=B21)*1, IMPORTRANGE(""17XjIPGwafStTRf_8bPPaoi2EFjHVy10_rRJ0uvy6YcU"",""X:X""), IMPORTRANGE(""17XjIPGwafStTRf_8bPPaoi2EFjHVy10_rRJ0uvy6YcU"",""AE:AE"")) + SUMPRODUCT((IMPORTRANGE(""17XjIPGwafSt"&amp;"TRf_8bPPaoi2EFjHVy10_rRJ0uvy6YcU"",""M:M"")=B21)*1, IMPORTRANGE(""17XjIPGwafStTRf_8bPPaoi2EFjHVy10_rRJ0uvy6YcU"",""X:X""), IMPORTRANGE(""17XjIPGwafStTRf_8bPPaoi2EFjHVy10_rRJ0uvy6YcU"",""AF:AF""))"),338624.3746350547)</f>
        <v>338624.3746</v>
      </c>
      <c r="E21" s="24">
        <f>IFERROR(__xludf.DUMMYFUNCTION("SUMPRODUCT((IMPORTRANGE(""17XjIPGwafStTRf_8bPPaoi2EFjHVy10_rRJ0uvy6YcU"",""M:M"")=B21)*1, IMPORTRANGE(""17XjIPGwafStTRf_8bPPaoi2EFjHVy10_rRJ0uvy6YcU"",""X:X""), IMPORTRANGE(""17XjIPGwafStTRf_8bPPaoi2EFjHVy10_rRJ0uvy6YcU"",""AO:AO""))"),30389.22207143712)</f>
        <v>30389.22207</v>
      </c>
      <c r="F21" s="25">
        <f>IFERROR(__xludf.DUMMYFUNCTION("SUMPRODUCT((IMPORTRANGE(""17XjIPGwafStTRf_8bPPaoi2EFjHVy10_rRJ0uvy6YcU"",""M:M"")=B21)*1, IMPORTRANGE(""17XjIPGwafStTRf_8bPPaoi2EFjHVy10_rRJ0uvy6YcU"",""X:X""))"),90.0)</f>
        <v>90</v>
      </c>
      <c r="G21" s="26">
        <f>IFERROR(__xludf.DUMMYFUNCTION("COUNTIF(IMPORTRANGE(""17XjIPGwafStTRf_8bPPaoi2EFjHVy10_rRJ0uvy6YcU"",""M:M""), B21)"),17.0)</f>
        <v>17</v>
      </c>
      <c r="H21" s="27">
        <f t="shared" si="1"/>
        <v>5.294117647</v>
      </c>
      <c r="I21" s="28">
        <f t="shared" si="2"/>
        <v>0.05883785404</v>
      </c>
      <c r="J21" s="29">
        <f t="shared" si="3"/>
        <v>0.08974316189</v>
      </c>
      <c r="K21" s="32"/>
      <c r="L21" s="31" t="str">
        <f t="shared" si="4"/>
        <v/>
      </c>
      <c r="M21" s="31" t="str">
        <f t="shared" si="5"/>
        <v/>
      </c>
      <c r="N21" s="4"/>
    </row>
    <row r="22">
      <c r="A22" s="1"/>
      <c r="B22" s="23">
        <f t="shared" si="6"/>
        <v>44333</v>
      </c>
      <c r="C22" s="24">
        <f>IFERROR(__xludf.DUMMYFUNCTION("SUMPRODUCT((IMPORTRANGE(""17XjIPGwafStTRf_8bPPaoi2EFjHVy10_rRJ0uvy6YcU"",""M:M"")=B22)*1, IMPORTRANGE(""17XjIPGwafStTRf_8bPPaoi2EFjHVy10_rRJ0uvy6YcU"",""X:X""), IMPORTRANGE(""17XjIPGwafStTRf_8bPPaoi2EFjHVy10_rRJ0uvy6YcU"",""AK:AK"")) - SUMPRODUCT((IMPORTR"&amp;"ANGE(""17XjIPGwafStTRf_8bPPaoi2EFjHVy10_rRJ0uvy6YcU"",""M:M"")=B22)*1, IMPORTRANGE(""17XjIPGwafStTRf_8bPPaoi2EFjHVy10_rRJ0uvy6YcU"",""X:X""), IMPORTRANGE(""17XjIPGwafStTRf_8bPPaoi2EFjHVy10_rRJ0uvy6YcU"",""AL:AL""))"),112951.0)</f>
        <v>112951</v>
      </c>
      <c r="D22" s="24">
        <f>IFERROR(__xludf.DUMMYFUNCTION("SUMPRODUCT((IMPORTRANGE(""17XjIPGwafStTRf_8bPPaoi2EFjHVy10_rRJ0uvy6YcU"",""M:M"")=B22)*1, IMPORTRANGE(""17XjIPGwafStTRf_8bPPaoi2EFjHVy10_rRJ0uvy6YcU"",""X:X""), IMPORTRANGE(""17XjIPGwafStTRf_8bPPaoi2EFjHVy10_rRJ0uvy6YcU"",""AA:AA"")) + SUMPRODUCT((IMPORTR"&amp;"ANGE(""17XjIPGwafStTRf_8bPPaoi2EFjHVy10_rRJ0uvy6YcU"",""M:M"")=B22)*1, IMPORTRANGE(""17XjIPGwafStTRf_8bPPaoi2EFjHVy10_rRJ0uvy6YcU"",""X:X""), IMPORTRANGE(""17XjIPGwafStTRf_8bPPaoi2EFjHVy10_rRJ0uvy6YcU"",""AE:AE"")) + SUMPRODUCT((IMPORTRANGE(""17XjIPGwafSt"&amp;"TRf_8bPPaoi2EFjHVy10_rRJ0uvy6YcU"",""M:M"")=B22)*1, IMPORTRANGE(""17XjIPGwafStTRf_8bPPaoi2EFjHVy10_rRJ0uvy6YcU"",""X:X""), IMPORTRANGE(""17XjIPGwafStTRf_8bPPaoi2EFjHVy10_rRJ0uvy6YcU"",""AF:AF""))"),67334.11841929944)</f>
        <v>67334.11842</v>
      </c>
      <c r="E22" s="24">
        <f>IFERROR(__xludf.DUMMYFUNCTION("SUMPRODUCT((IMPORTRANGE(""17XjIPGwafStTRf_8bPPaoi2EFjHVy10_rRJ0uvy6YcU"",""M:M"")=B22)*1, IMPORTRANGE(""17XjIPGwafStTRf_8bPPaoi2EFjHVy10_rRJ0uvy6YcU"",""X:X""), IMPORTRANGE(""17XjIPGwafStTRf_8bPPaoi2EFjHVy10_rRJ0uvy6YcU"",""AO:AO""))"),10704.089524125087)</f>
        <v>10704.08952</v>
      </c>
      <c r="F22" s="25">
        <f>IFERROR(__xludf.DUMMYFUNCTION("SUMPRODUCT((IMPORTRANGE(""17XjIPGwafStTRf_8bPPaoi2EFjHVy10_rRJ0uvy6YcU"",""M:M"")=B22)*1, IMPORTRANGE(""17XjIPGwafStTRf_8bPPaoi2EFjHVy10_rRJ0uvy6YcU"",""X:X""))"),18.0)</f>
        <v>18</v>
      </c>
      <c r="G22" s="26">
        <f>IFERROR(__xludf.DUMMYFUNCTION("COUNTIF(IMPORTRANGE(""17XjIPGwafStTRf_8bPPaoi2EFjHVy10_rRJ0uvy6YcU"",""M:M""), B22)"),8.0)</f>
        <v>8</v>
      </c>
      <c r="H22" s="27">
        <f t="shared" si="1"/>
        <v>2.25</v>
      </c>
      <c r="I22" s="28">
        <f t="shared" si="2"/>
        <v>0.09476754986</v>
      </c>
      <c r="J22" s="29">
        <f t="shared" si="3"/>
        <v>0.1589697731</v>
      </c>
      <c r="K22" s="32"/>
      <c r="L22" s="31" t="str">
        <f t="shared" si="4"/>
        <v/>
      </c>
      <c r="M22" s="31" t="str">
        <f t="shared" si="5"/>
        <v/>
      </c>
      <c r="N22" s="4"/>
    </row>
    <row r="23">
      <c r="A23" s="1"/>
      <c r="B23" s="23">
        <f t="shared" si="6"/>
        <v>44334</v>
      </c>
      <c r="C23" s="24">
        <f>IFERROR(__xludf.DUMMYFUNCTION("SUMPRODUCT((IMPORTRANGE(""17XjIPGwafStTRf_8bPPaoi2EFjHVy10_rRJ0uvy6YcU"",""M:M"")=B23)*1, IMPORTRANGE(""17XjIPGwafStTRf_8bPPaoi2EFjHVy10_rRJ0uvy6YcU"",""X:X""), IMPORTRANGE(""17XjIPGwafStTRf_8bPPaoi2EFjHVy10_rRJ0uvy6YcU"",""AK:AK"")) - SUMPRODUCT((IMPORTR"&amp;"ANGE(""17XjIPGwafStTRf_8bPPaoi2EFjHVy10_rRJ0uvy6YcU"",""M:M"")=B23)*1, IMPORTRANGE(""17XjIPGwafStTRf_8bPPaoi2EFjHVy10_rRJ0uvy6YcU"",""X:X""), IMPORTRANGE(""17XjIPGwafStTRf_8bPPaoi2EFjHVy10_rRJ0uvy6YcU"",""AL:AL""))"),758549.0)</f>
        <v>758549</v>
      </c>
      <c r="D23" s="24">
        <f>IFERROR(__xludf.DUMMYFUNCTION("SUMPRODUCT((IMPORTRANGE(""17XjIPGwafStTRf_8bPPaoi2EFjHVy10_rRJ0uvy6YcU"",""M:M"")=B23)*1, IMPORTRANGE(""17XjIPGwafStTRf_8bPPaoi2EFjHVy10_rRJ0uvy6YcU"",""X:X""), IMPORTRANGE(""17XjIPGwafStTRf_8bPPaoi2EFjHVy10_rRJ0uvy6YcU"",""AA:AA"")) + SUMPRODUCT((IMPORTR"&amp;"ANGE(""17XjIPGwafStTRf_8bPPaoi2EFjHVy10_rRJ0uvy6YcU"",""M:M"")=B23)*1, IMPORTRANGE(""17XjIPGwafStTRf_8bPPaoi2EFjHVy10_rRJ0uvy6YcU"",""X:X""), IMPORTRANGE(""17XjIPGwafStTRf_8bPPaoi2EFjHVy10_rRJ0uvy6YcU"",""AE:AE"")) + SUMPRODUCT((IMPORTRANGE(""17XjIPGwafSt"&amp;"TRf_8bPPaoi2EFjHVy10_rRJ0uvy6YcU"",""M:M"")=B23)*1, IMPORTRANGE(""17XjIPGwafStTRf_8bPPaoi2EFjHVy10_rRJ0uvy6YcU"",""X:X""), IMPORTRANGE(""17XjIPGwafStTRf_8bPPaoi2EFjHVy10_rRJ0uvy6YcU"",""AF:AF""))"),561375.9251870255)</f>
        <v>561375.9252</v>
      </c>
      <c r="E23" s="24">
        <f>IFERROR(__xludf.DUMMYFUNCTION("SUMPRODUCT((IMPORTRANGE(""17XjIPGwafStTRf_8bPPaoi2EFjHVy10_rRJ0uvy6YcU"",""M:M"")=B23)*1, IMPORTRANGE(""17XjIPGwafStTRf_8bPPaoi2EFjHVy10_rRJ0uvy6YcU"",""X:X""), IMPORTRANGE(""17XjIPGwafStTRf_8bPPaoi2EFjHVy10_rRJ0uvy6YcU"",""AO:AO""))"),133704.82491291067)</f>
        <v>133704.8249</v>
      </c>
      <c r="F23" s="25">
        <f>IFERROR(__xludf.DUMMYFUNCTION("SUMPRODUCT((IMPORTRANGE(""17XjIPGwafStTRf_8bPPaoi2EFjHVy10_rRJ0uvy6YcU"",""M:M"")=B23)*1, IMPORTRANGE(""17XjIPGwafStTRf_8bPPaoi2EFjHVy10_rRJ0uvy6YcU"",""X:X""))"),105.0)</f>
        <v>105</v>
      </c>
      <c r="G23" s="26">
        <f>IFERROR(__xludf.DUMMYFUNCTION("COUNTIF(IMPORTRANGE(""17XjIPGwafStTRf_8bPPaoi2EFjHVy10_rRJ0uvy6YcU"",""M:M""), B23)"),43.0)</f>
        <v>43</v>
      </c>
      <c r="H23" s="27">
        <f t="shared" si="1"/>
        <v>2.441860465</v>
      </c>
      <c r="I23" s="28">
        <f t="shared" si="2"/>
        <v>0.1762639261</v>
      </c>
      <c r="J23" s="29">
        <f t="shared" si="3"/>
        <v>0.2381734216</v>
      </c>
      <c r="K23" s="32"/>
      <c r="L23" s="31" t="str">
        <f t="shared" si="4"/>
        <v/>
      </c>
      <c r="M23" s="31" t="str">
        <f t="shared" si="5"/>
        <v/>
      </c>
      <c r="N23" s="4"/>
    </row>
    <row r="24">
      <c r="A24" s="1"/>
      <c r="B24" s="23">
        <f t="shared" si="6"/>
        <v>44335</v>
      </c>
      <c r="C24" s="24">
        <f>IFERROR(__xludf.DUMMYFUNCTION("SUMPRODUCT((IMPORTRANGE(""17XjIPGwafStTRf_8bPPaoi2EFjHVy10_rRJ0uvy6YcU"",""M:M"")=B24)*1, IMPORTRANGE(""17XjIPGwafStTRf_8bPPaoi2EFjHVy10_rRJ0uvy6YcU"",""X:X""), IMPORTRANGE(""17XjIPGwafStTRf_8bPPaoi2EFjHVy10_rRJ0uvy6YcU"",""AK:AK"")) - SUMPRODUCT((IMPORTR"&amp;"ANGE(""17XjIPGwafStTRf_8bPPaoi2EFjHVy10_rRJ0uvy6YcU"",""M:M"")=B24)*1, IMPORTRANGE(""17XjIPGwafStTRf_8bPPaoi2EFjHVy10_rRJ0uvy6YcU"",""X:X""), IMPORTRANGE(""17XjIPGwafStTRf_8bPPaoi2EFjHVy10_rRJ0uvy6YcU"",""AL:AL""))"),387687.0)</f>
        <v>387687</v>
      </c>
      <c r="D24" s="24">
        <f>IFERROR(__xludf.DUMMYFUNCTION("SUMPRODUCT((IMPORTRANGE(""17XjIPGwafStTRf_8bPPaoi2EFjHVy10_rRJ0uvy6YcU"",""M:M"")=B24)*1, IMPORTRANGE(""17XjIPGwafStTRf_8bPPaoi2EFjHVy10_rRJ0uvy6YcU"",""X:X""), IMPORTRANGE(""17XjIPGwafStTRf_8bPPaoi2EFjHVy10_rRJ0uvy6YcU"",""AA:AA"")) + SUMPRODUCT((IMPORTR"&amp;"ANGE(""17XjIPGwafStTRf_8bPPaoi2EFjHVy10_rRJ0uvy6YcU"",""M:M"")=B24)*1, IMPORTRANGE(""17XjIPGwafStTRf_8bPPaoi2EFjHVy10_rRJ0uvy6YcU"",""X:X""), IMPORTRANGE(""17XjIPGwafStTRf_8bPPaoi2EFjHVy10_rRJ0uvy6YcU"",""AE:AE"")) + SUMPRODUCT((IMPORTRANGE(""17XjIPGwafSt"&amp;"TRf_8bPPaoi2EFjHVy10_rRJ0uvy6YcU"",""M:M"")=B24)*1, IMPORTRANGE(""17XjIPGwafStTRf_8bPPaoi2EFjHVy10_rRJ0uvy6YcU"",""X:X""), IMPORTRANGE(""17XjIPGwafStTRf_8bPPaoi2EFjHVy10_rRJ0uvy6YcU"",""AF:AF""))"),241874.32073322704)</f>
        <v>241874.3207</v>
      </c>
      <c r="E24" s="24">
        <f>IFERROR(__xludf.DUMMYFUNCTION("SUMPRODUCT((IMPORTRANGE(""17XjIPGwafStTRf_8bPPaoi2EFjHVy10_rRJ0uvy6YcU"",""M:M"")=B24)*1, IMPORTRANGE(""17XjIPGwafStTRf_8bPPaoi2EFjHVy10_rRJ0uvy6YcU"",""X:X""), IMPORTRANGE(""17XjIPGwafStTRf_8bPPaoi2EFjHVy10_rRJ0uvy6YcU"",""AO:AO""))"),82417.51019334776)</f>
        <v>82417.51019</v>
      </c>
      <c r="F24" s="25">
        <f>IFERROR(__xludf.DUMMYFUNCTION("SUMPRODUCT((IMPORTRANGE(""17XjIPGwafStTRf_8bPPaoi2EFjHVy10_rRJ0uvy6YcU"",""M:M"")=B24)*1, IMPORTRANGE(""17XjIPGwafStTRf_8bPPaoi2EFjHVy10_rRJ0uvy6YcU"",""X:X""))"),54.0)</f>
        <v>54</v>
      </c>
      <c r="G24" s="26">
        <f>IFERROR(__xludf.DUMMYFUNCTION("COUNTIF(IMPORTRANGE(""17XjIPGwafStTRf_8bPPaoi2EFjHVy10_rRJ0uvy6YcU"",""M:M""), B24)"),24.0)</f>
        <v>24</v>
      </c>
      <c r="H24" s="27">
        <f t="shared" si="1"/>
        <v>2.25</v>
      </c>
      <c r="I24" s="28">
        <f t="shared" si="2"/>
        <v>0.2125877581</v>
      </c>
      <c r="J24" s="29">
        <f t="shared" si="3"/>
        <v>0.3407451851</v>
      </c>
      <c r="K24" s="30"/>
      <c r="L24" s="31" t="str">
        <f t="shared" si="4"/>
        <v/>
      </c>
      <c r="M24" s="31" t="str">
        <f t="shared" si="5"/>
        <v/>
      </c>
      <c r="N24" s="4"/>
    </row>
    <row r="25">
      <c r="A25" s="1"/>
      <c r="B25" s="23">
        <f t="shared" si="6"/>
        <v>44336</v>
      </c>
      <c r="C25" s="24">
        <f>IFERROR(__xludf.DUMMYFUNCTION("SUMPRODUCT((IMPORTRANGE(""17XjIPGwafStTRf_8bPPaoi2EFjHVy10_rRJ0uvy6YcU"",""M:M"")=B25)*1, IMPORTRANGE(""17XjIPGwafStTRf_8bPPaoi2EFjHVy10_rRJ0uvy6YcU"",""X:X""), IMPORTRANGE(""17XjIPGwafStTRf_8bPPaoi2EFjHVy10_rRJ0uvy6YcU"",""AK:AK"")) - SUMPRODUCT((IMPORTR"&amp;"ANGE(""17XjIPGwafStTRf_8bPPaoi2EFjHVy10_rRJ0uvy6YcU"",""M:M"")=B25)*1, IMPORTRANGE(""17XjIPGwafStTRf_8bPPaoi2EFjHVy10_rRJ0uvy6YcU"",""X:X""), IMPORTRANGE(""17XjIPGwafStTRf_8bPPaoi2EFjHVy10_rRJ0uvy6YcU"",""AL:AL""))"),239375.0)</f>
        <v>239375</v>
      </c>
      <c r="D25" s="24">
        <f>IFERROR(__xludf.DUMMYFUNCTION("SUMPRODUCT((IMPORTRANGE(""17XjIPGwafStTRf_8bPPaoi2EFjHVy10_rRJ0uvy6YcU"",""M:M"")=B25)*1, IMPORTRANGE(""17XjIPGwafStTRf_8bPPaoi2EFjHVy10_rRJ0uvy6YcU"",""X:X""), IMPORTRANGE(""17XjIPGwafStTRf_8bPPaoi2EFjHVy10_rRJ0uvy6YcU"",""AA:AA"")) + SUMPRODUCT((IMPORTR"&amp;"ANGE(""17XjIPGwafStTRf_8bPPaoi2EFjHVy10_rRJ0uvy6YcU"",""M:M"")=B25)*1, IMPORTRANGE(""17XjIPGwafStTRf_8bPPaoi2EFjHVy10_rRJ0uvy6YcU"",""X:X""), IMPORTRANGE(""17XjIPGwafStTRf_8bPPaoi2EFjHVy10_rRJ0uvy6YcU"",""AE:AE"")) + SUMPRODUCT((IMPORTRANGE(""17XjIPGwafSt"&amp;"TRf_8bPPaoi2EFjHVy10_rRJ0uvy6YcU"",""M:M"")=B25)*1, IMPORTRANGE(""17XjIPGwafStTRf_8bPPaoi2EFjHVy10_rRJ0uvy6YcU"",""X:X""), IMPORTRANGE(""17XjIPGwafStTRf_8bPPaoi2EFjHVy10_rRJ0uvy6YcU"",""AF:AF""))"),195464.73401760656)</f>
        <v>195464.734</v>
      </c>
      <c r="E25" s="24">
        <f>IFERROR(__xludf.DUMMYFUNCTION("SUMPRODUCT((IMPORTRANGE(""17XjIPGwafStTRf_8bPPaoi2EFjHVy10_rRJ0uvy6YcU"",""M:M"")=B25)*1, IMPORTRANGE(""17XjIPGwafStTRf_8bPPaoi2EFjHVy10_rRJ0uvy6YcU"",""X:X""), IMPORTRANGE(""17XjIPGwafStTRf_8bPPaoi2EFjHVy10_rRJ0uvy6YcU"",""AO:AO""))"),-1580.0340176065583)</f>
        <v>-1580.034018</v>
      </c>
      <c r="F25" s="25">
        <f>IFERROR(__xludf.DUMMYFUNCTION("SUMPRODUCT((IMPORTRANGE(""17XjIPGwafStTRf_8bPPaoi2EFjHVy10_rRJ0uvy6YcU"",""M:M"")=B25)*1, IMPORTRANGE(""17XjIPGwafStTRf_8bPPaoi2EFjHVy10_rRJ0uvy6YcU"",""X:X""))"),54.0)</f>
        <v>54</v>
      </c>
      <c r="G25" s="26">
        <f>IFERROR(__xludf.DUMMYFUNCTION("COUNTIF(IMPORTRANGE(""17XjIPGwafStTRf_8bPPaoi2EFjHVy10_rRJ0uvy6YcU"",""M:M""), B25)"),15.0)</f>
        <v>15</v>
      </c>
      <c r="H25" s="27">
        <f t="shared" si="1"/>
        <v>3.6</v>
      </c>
      <c r="I25" s="28">
        <f t="shared" si="2"/>
        <v>-0.006600664303</v>
      </c>
      <c r="J25" s="29">
        <f t="shared" si="3"/>
        <v>-0.008083473602</v>
      </c>
      <c r="K25" s="32"/>
      <c r="L25" s="31" t="str">
        <f t="shared" si="4"/>
        <v/>
      </c>
      <c r="M25" s="31" t="str">
        <f t="shared" si="5"/>
        <v/>
      </c>
      <c r="N25" s="4"/>
    </row>
    <row r="26">
      <c r="A26" s="1"/>
      <c r="B26" s="23">
        <f t="shared" si="6"/>
        <v>44337</v>
      </c>
      <c r="C26" s="24">
        <f>IFERROR(__xludf.DUMMYFUNCTION("SUMPRODUCT((IMPORTRANGE(""17XjIPGwafStTRf_8bPPaoi2EFjHVy10_rRJ0uvy6YcU"",""M:M"")=B26)*1, IMPORTRANGE(""17XjIPGwafStTRf_8bPPaoi2EFjHVy10_rRJ0uvy6YcU"",""X:X""), IMPORTRANGE(""17XjIPGwafStTRf_8bPPaoi2EFjHVy10_rRJ0uvy6YcU"",""AK:AK"")) - SUMPRODUCT((IMPORTR"&amp;"ANGE(""17XjIPGwafStTRf_8bPPaoi2EFjHVy10_rRJ0uvy6YcU"",""M:M"")=B26)*1, IMPORTRANGE(""17XjIPGwafStTRf_8bPPaoi2EFjHVy10_rRJ0uvy6YcU"",""X:X""), IMPORTRANGE(""17XjIPGwafStTRf_8bPPaoi2EFjHVy10_rRJ0uvy6YcU"",""AL:AL""))"),113845.0)</f>
        <v>113845</v>
      </c>
      <c r="D26" s="24">
        <f>IFERROR(__xludf.DUMMYFUNCTION("SUMPRODUCT((IMPORTRANGE(""17XjIPGwafStTRf_8bPPaoi2EFjHVy10_rRJ0uvy6YcU"",""M:M"")=B26)*1, IMPORTRANGE(""17XjIPGwafStTRf_8bPPaoi2EFjHVy10_rRJ0uvy6YcU"",""X:X""), IMPORTRANGE(""17XjIPGwafStTRf_8bPPaoi2EFjHVy10_rRJ0uvy6YcU"",""AA:AA"")) + SUMPRODUCT((IMPORTR"&amp;"ANGE(""17XjIPGwafStTRf_8bPPaoi2EFjHVy10_rRJ0uvy6YcU"",""M:M"")=B26)*1, IMPORTRANGE(""17XjIPGwafStTRf_8bPPaoi2EFjHVy10_rRJ0uvy6YcU"",""X:X""), IMPORTRANGE(""17XjIPGwafStTRf_8bPPaoi2EFjHVy10_rRJ0uvy6YcU"",""AE:AE"")) + SUMPRODUCT((IMPORTRANGE(""17XjIPGwafSt"&amp;"TRf_8bPPaoi2EFjHVy10_rRJ0uvy6YcU"",""M:M"")=B26)*1, IMPORTRANGE(""17XjIPGwafStTRf_8bPPaoi2EFjHVy10_rRJ0uvy6YcU"",""X:X""), IMPORTRANGE(""17XjIPGwafStTRf_8bPPaoi2EFjHVy10_rRJ0uvy6YcU"",""AF:AF""))"),86179.58740504281)</f>
        <v>86179.58741</v>
      </c>
      <c r="E26" s="24">
        <f>IFERROR(__xludf.DUMMYFUNCTION("SUMPRODUCT((IMPORTRANGE(""17XjIPGwafStTRf_8bPPaoi2EFjHVy10_rRJ0uvy6YcU"",""M:M"")=B26)*1, IMPORTRANGE(""17XjIPGwafStTRf_8bPPaoi2EFjHVy10_rRJ0uvy6YcU"",""X:X""), IMPORTRANGE(""17XjIPGwafStTRf_8bPPaoi2EFjHVy10_rRJ0uvy6YcU"",""AO:AO""))"),9835.21994573638)</f>
        <v>9835.219946</v>
      </c>
      <c r="F26" s="25">
        <f>IFERROR(__xludf.DUMMYFUNCTION("SUMPRODUCT((IMPORTRANGE(""17XjIPGwafStTRf_8bPPaoi2EFjHVy10_rRJ0uvy6YcU"",""M:M"")=B26)*1, IMPORTRANGE(""17XjIPGwafStTRf_8bPPaoi2EFjHVy10_rRJ0uvy6YcU"",""X:X""))"),18.0)</f>
        <v>18</v>
      </c>
      <c r="G26" s="26">
        <f>IFERROR(__xludf.DUMMYFUNCTION("COUNTIF(IMPORTRANGE(""17XjIPGwafStTRf_8bPPaoi2EFjHVy10_rRJ0uvy6YcU"",""M:M""), B26)"),8.0)</f>
        <v>8</v>
      </c>
      <c r="H26" s="27">
        <f t="shared" si="1"/>
        <v>2.25</v>
      </c>
      <c r="I26" s="28">
        <f t="shared" si="2"/>
        <v>0.08639132106</v>
      </c>
      <c r="J26" s="29">
        <f t="shared" si="3"/>
        <v>0.1141247045</v>
      </c>
      <c r="K26" s="30"/>
      <c r="L26" s="31" t="str">
        <f t="shared" si="4"/>
        <v/>
      </c>
      <c r="M26" s="31" t="str">
        <f t="shared" si="5"/>
        <v/>
      </c>
      <c r="N26" s="4"/>
    </row>
    <row r="27">
      <c r="A27" s="1"/>
      <c r="B27" s="23">
        <f t="shared" si="6"/>
        <v>44338</v>
      </c>
      <c r="C27" s="24">
        <f>IFERROR(__xludf.DUMMYFUNCTION("SUMPRODUCT((IMPORTRANGE(""17XjIPGwafStTRf_8bPPaoi2EFjHVy10_rRJ0uvy6YcU"",""M:M"")=B27)*1, IMPORTRANGE(""17XjIPGwafStTRf_8bPPaoi2EFjHVy10_rRJ0uvy6YcU"",""X:X""), IMPORTRANGE(""17XjIPGwafStTRf_8bPPaoi2EFjHVy10_rRJ0uvy6YcU"",""AK:AK"")) - SUMPRODUCT((IMPORTR"&amp;"ANGE(""17XjIPGwafStTRf_8bPPaoi2EFjHVy10_rRJ0uvy6YcU"",""M:M"")=B27)*1, IMPORTRANGE(""17XjIPGwafStTRf_8bPPaoi2EFjHVy10_rRJ0uvy6YcU"",""X:X""), IMPORTRANGE(""17XjIPGwafStTRf_8bPPaoi2EFjHVy10_rRJ0uvy6YcU"",""AL:AL""))"),227913.0)</f>
        <v>227913</v>
      </c>
      <c r="D27" s="24">
        <f>IFERROR(__xludf.DUMMYFUNCTION("SUMPRODUCT((IMPORTRANGE(""17XjIPGwafStTRf_8bPPaoi2EFjHVy10_rRJ0uvy6YcU"",""M:M"")=B27)*1, IMPORTRANGE(""17XjIPGwafStTRf_8bPPaoi2EFjHVy10_rRJ0uvy6YcU"",""X:X""), IMPORTRANGE(""17XjIPGwafStTRf_8bPPaoi2EFjHVy10_rRJ0uvy6YcU"",""AA:AA"")) + SUMPRODUCT((IMPORTR"&amp;"ANGE(""17XjIPGwafStTRf_8bPPaoi2EFjHVy10_rRJ0uvy6YcU"",""M:M"")=B27)*1, IMPORTRANGE(""17XjIPGwafStTRf_8bPPaoi2EFjHVy10_rRJ0uvy6YcU"",""X:X""), IMPORTRANGE(""17XjIPGwafStTRf_8bPPaoi2EFjHVy10_rRJ0uvy6YcU"",""AE:AE"")) + SUMPRODUCT((IMPORTRANGE(""17XjIPGwafSt"&amp;"TRf_8bPPaoi2EFjHVy10_rRJ0uvy6YcU"",""M:M"")=B27)*1, IMPORTRANGE(""17XjIPGwafStTRf_8bPPaoi2EFjHVy10_rRJ0uvy6YcU"",""X:X""), IMPORTRANGE(""17XjIPGwafStTRf_8bPPaoi2EFjHVy10_rRJ0uvy6YcU"",""AF:AF""))"),138047.8791153505)</f>
        <v>138047.8791</v>
      </c>
      <c r="E27" s="24">
        <f>IFERROR(__xludf.DUMMYFUNCTION("SUMPRODUCT((IMPORTRANGE(""17XjIPGwafStTRf_8bPPaoi2EFjHVy10_rRJ0uvy6YcU"",""M:M"")=B27)*1, IMPORTRANGE(""17XjIPGwafStTRf_8bPPaoi2EFjHVy10_rRJ0uvy6YcU"",""X:X""), IMPORTRANGE(""17XjIPGwafStTRf_8bPPaoi2EFjHVy10_rRJ0uvy6YcU"",""AO:AO""))"),65734.59908283922)</f>
        <v>65734.59908</v>
      </c>
      <c r="F27" s="25">
        <f>IFERROR(__xludf.DUMMYFUNCTION("SUMPRODUCT((IMPORTRANGE(""17XjIPGwafStTRf_8bPPaoi2EFjHVy10_rRJ0uvy6YcU"",""M:M"")=B27)*1, IMPORTRANGE(""17XjIPGwafStTRf_8bPPaoi2EFjHVy10_rRJ0uvy6YcU"",""X:X""))"),42.0)</f>
        <v>42</v>
      </c>
      <c r="G27" s="26">
        <f>IFERROR(__xludf.DUMMYFUNCTION("COUNTIF(IMPORTRANGE(""17XjIPGwafStTRf_8bPPaoi2EFjHVy10_rRJ0uvy6YcU"",""M:M""), B27)"),14.0)</f>
        <v>14</v>
      </c>
      <c r="H27" s="27">
        <f t="shared" si="1"/>
        <v>3</v>
      </c>
      <c r="I27" s="28">
        <f t="shared" si="2"/>
        <v>0.2884197</v>
      </c>
      <c r="J27" s="29">
        <f t="shared" si="3"/>
        <v>0.4761724664</v>
      </c>
      <c r="K27" s="32"/>
      <c r="L27" s="31" t="str">
        <f t="shared" si="4"/>
        <v/>
      </c>
      <c r="M27" s="31" t="str">
        <f t="shared" si="5"/>
        <v/>
      </c>
      <c r="N27" s="4"/>
    </row>
    <row r="28">
      <c r="A28" s="1"/>
      <c r="B28" s="23">
        <f t="shared" si="6"/>
        <v>44339</v>
      </c>
      <c r="C28" s="24">
        <f>IFERROR(__xludf.DUMMYFUNCTION("SUMPRODUCT((IMPORTRANGE(""17XjIPGwafStTRf_8bPPaoi2EFjHVy10_rRJ0uvy6YcU"",""M:M"")=B28)*1, IMPORTRANGE(""17XjIPGwafStTRf_8bPPaoi2EFjHVy10_rRJ0uvy6YcU"",""X:X""), IMPORTRANGE(""17XjIPGwafStTRf_8bPPaoi2EFjHVy10_rRJ0uvy6YcU"",""AK:AK"")) - SUMPRODUCT((IMPORTR"&amp;"ANGE(""17XjIPGwafStTRf_8bPPaoi2EFjHVy10_rRJ0uvy6YcU"",""M:M"")=B28)*1, IMPORTRANGE(""17XjIPGwafStTRf_8bPPaoi2EFjHVy10_rRJ0uvy6YcU"",""X:X""), IMPORTRANGE(""17XjIPGwafStTRf_8bPPaoi2EFjHVy10_rRJ0uvy6YcU"",""AL:AL""))"),69417.0)</f>
        <v>69417</v>
      </c>
      <c r="D28" s="24">
        <f>IFERROR(__xludf.DUMMYFUNCTION("SUMPRODUCT((IMPORTRANGE(""17XjIPGwafStTRf_8bPPaoi2EFjHVy10_rRJ0uvy6YcU"",""M:M"")=B28)*1, IMPORTRANGE(""17XjIPGwafStTRf_8bPPaoi2EFjHVy10_rRJ0uvy6YcU"",""X:X""), IMPORTRANGE(""17XjIPGwafStTRf_8bPPaoi2EFjHVy10_rRJ0uvy6YcU"",""AA:AA"")) + SUMPRODUCT((IMPORTR"&amp;"ANGE(""17XjIPGwafStTRf_8bPPaoi2EFjHVy10_rRJ0uvy6YcU"",""M:M"")=B28)*1, IMPORTRANGE(""17XjIPGwafStTRf_8bPPaoi2EFjHVy10_rRJ0uvy6YcU"",""X:X""), IMPORTRANGE(""17XjIPGwafStTRf_8bPPaoi2EFjHVy10_rRJ0uvy6YcU"",""AE:AE"")) + SUMPRODUCT((IMPORTRANGE(""17XjIPGwafSt"&amp;"TRf_8bPPaoi2EFjHVy10_rRJ0uvy6YcU"",""M:M"")=B28)*1, IMPORTRANGE(""17XjIPGwafStTRf_8bPPaoi2EFjHVy10_rRJ0uvy6YcU"",""X:X""), IMPORTRANGE(""17XjIPGwafStTRf_8bPPaoi2EFjHVy10_rRJ0uvy6YcU"",""AF:AF""))"),42346.52566182399)</f>
        <v>42346.52566</v>
      </c>
      <c r="E28" s="24">
        <f>IFERROR(__xludf.DUMMYFUNCTION("SUMPRODUCT((IMPORTRANGE(""17XjIPGwafStTRf_8bPPaoi2EFjHVy10_rRJ0uvy6YcU"",""M:M"")=B28)*1, IMPORTRANGE(""17XjIPGwafStTRf_8bPPaoi2EFjHVy10_rRJ0uvy6YcU"",""X:X""), IMPORTRANGE(""17XjIPGwafStTRf_8bPPaoi2EFjHVy10_rRJ0uvy6YcU"",""AO:AO""))"),10274.861434950206)</f>
        <v>10274.86143</v>
      </c>
      <c r="F28" s="25">
        <f>IFERROR(__xludf.DUMMYFUNCTION("SUMPRODUCT((IMPORTRANGE(""17XjIPGwafStTRf_8bPPaoi2EFjHVy10_rRJ0uvy6YcU"",""M:M"")=B28)*1, IMPORTRANGE(""17XjIPGwafStTRf_8bPPaoi2EFjHVy10_rRJ0uvy6YcU"",""X:X""))"),11.0)</f>
        <v>11</v>
      </c>
      <c r="G28" s="26">
        <f>IFERROR(__xludf.DUMMYFUNCTION("COUNTIF(IMPORTRANGE(""17XjIPGwafStTRf_8bPPaoi2EFjHVy10_rRJ0uvy6YcU"",""M:M""), B28)"),6.0)</f>
        <v>6</v>
      </c>
      <c r="H28" s="27">
        <f t="shared" si="1"/>
        <v>1.833333333</v>
      </c>
      <c r="I28" s="28">
        <f t="shared" si="2"/>
        <v>0.1480165008</v>
      </c>
      <c r="J28" s="29">
        <f t="shared" si="3"/>
        <v>0.2426376491</v>
      </c>
      <c r="K28" s="32"/>
      <c r="L28" s="31" t="str">
        <f t="shared" si="4"/>
        <v/>
      </c>
      <c r="M28" s="31" t="str">
        <f t="shared" si="5"/>
        <v/>
      </c>
      <c r="N28" s="4"/>
    </row>
    <row r="29">
      <c r="A29" s="1"/>
      <c r="B29" s="23">
        <f t="shared" si="6"/>
        <v>44340</v>
      </c>
      <c r="C29" s="24">
        <f>IFERROR(__xludf.DUMMYFUNCTION("SUMPRODUCT((IMPORTRANGE(""17XjIPGwafStTRf_8bPPaoi2EFjHVy10_rRJ0uvy6YcU"",""M:M"")=B29)*1, IMPORTRANGE(""17XjIPGwafStTRf_8bPPaoi2EFjHVy10_rRJ0uvy6YcU"",""X:X""), IMPORTRANGE(""17XjIPGwafStTRf_8bPPaoi2EFjHVy10_rRJ0uvy6YcU"",""AK:AK"")) - SUMPRODUCT((IMPORTR"&amp;"ANGE(""17XjIPGwafStTRf_8bPPaoi2EFjHVy10_rRJ0uvy6YcU"",""M:M"")=B29)*1, IMPORTRANGE(""17XjIPGwafStTRf_8bPPaoi2EFjHVy10_rRJ0uvy6YcU"",""X:X""), IMPORTRANGE(""17XjIPGwafStTRf_8bPPaoi2EFjHVy10_rRJ0uvy6YcU"",""AL:AL""))"),369701.0)</f>
        <v>369701</v>
      </c>
      <c r="D29" s="24">
        <f>IFERROR(__xludf.DUMMYFUNCTION("SUMPRODUCT((IMPORTRANGE(""17XjIPGwafStTRf_8bPPaoi2EFjHVy10_rRJ0uvy6YcU"",""M:M"")=B29)*1, IMPORTRANGE(""17XjIPGwafStTRf_8bPPaoi2EFjHVy10_rRJ0uvy6YcU"",""X:X""), IMPORTRANGE(""17XjIPGwafStTRf_8bPPaoi2EFjHVy10_rRJ0uvy6YcU"",""AA:AA"")) + SUMPRODUCT((IMPORTR"&amp;"ANGE(""17XjIPGwafStTRf_8bPPaoi2EFjHVy10_rRJ0uvy6YcU"",""M:M"")=B29)*1, IMPORTRANGE(""17XjIPGwafStTRf_8bPPaoi2EFjHVy10_rRJ0uvy6YcU"",""X:X""), IMPORTRANGE(""17XjIPGwafStTRf_8bPPaoi2EFjHVy10_rRJ0uvy6YcU"",""AE:AE"")) + SUMPRODUCT((IMPORTRANGE(""17XjIPGwafSt"&amp;"TRf_8bPPaoi2EFjHVy10_rRJ0uvy6YcU"",""M:M"")=B29)*1, IMPORTRANGE(""17XjIPGwafStTRf_8bPPaoi2EFjHVy10_rRJ0uvy6YcU"",""X:X""), IMPORTRANGE(""17XjIPGwafStTRf_8bPPaoi2EFjHVy10_rRJ0uvy6YcU"",""AF:AF""))"),233380.12310395198)</f>
        <v>233380.1231</v>
      </c>
      <c r="E29" s="24">
        <f>IFERROR(__xludf.DUMMYFUNCTION("SUMPRODUCT((IMPORTRANGE(""17XjIPGwafStTRf_8bPPaoi2EFjHVy10_rRJ0uvy6YcU"",""M:M"")=B29)*1, IMPORTRANGE(""17XjIPGwafStTRf_8bPPaoi2EFjHVy10_rRJ0uvy6YcU"",""X:X""), IMPORTRANGE(""17XjIPGwafStTRf_8bPPaoi2EFjHVy10_rRJ0uvy6YcU"",""AO:AO""))"),64104.41408197764)</f>
        <v>64104.41408</v>
      </c>
      <c r="F29" s="25">
        <f>IFERROR(__xludf.DUMMYFUNCTION("SUMPRODUCT((IMPORTRANGE(""17XjIPGwafStTRf_8bPPaoi2EFjHVy10_rRJ0uvy6YcU"",""M:M"")=B29)*1, IMPORTRANGE(""17XjIPGwafStTRf_8bPPaoi2EFjHVy10_rRJ0uvy6YcU"",""X:X""))"),61.0)</f>
        <v>61</v>
      </c>
      <c r="G29" s="26">
        <f>IFERROR(__xludf.DUMMYFUNCTION("COUNTIF(IMPORTRANGE(""17XjIPGwafStTRf_8bPPaoi2EFjHVy10_rRJ0uvy6YcU"",""M:M""), B29)"),22.0)</f>
        <v>22</v>
      </c>
      <c r="H29" s="27">
        <f t="shared" si="1"/>
        <v>2.772727273</v>
      </c>
      <c r="I29" s="28">
        <f t="shared" si="2"/>
        <v>0.1733952953</v>
      </c>
      <c r="J29" s="29">
        <f t="shared" si="3"/>
        <v>0.2746781227</v>
      </c>
      <c r="K29" s="32"/>
      <c r="L29" s="31" t="str">
        <f t="shared" si="4"/>
        <v/>
      </c>
      <c r="M29" s="31" t="str">
        <f t="shared" si="5"/>
        <v/>
      </c>
      <c r="N29" s="4"/>
    </row>
    <row r="30">
      <c r="A30" s="1"/>
      <c r="B30" s="23">
        <f t="shared" si="6"/>
        <v>44341</v>
      </c>
      <c r="C30" s="24">
        <f>IFERROR(__xludf.DUMMYFUNCTION("SUMPRODUCT((IMPORTRANGE(""17XjIPGwafStTRf_8bPPaoi2EFjHVy10_rRJ0uvy6YcU"",""M:M"")=B30)*1, IMPORTRANGE(""17XjIPGwafStTRf_8bPPaoi2EFjHVy10_rRJ0uvy6YcU"",""X:X""), IMPORTRANGE(""17XjIPGwafStTRf_8bPPaoi2EFjHVy10_rRJ0uvy6YcU"",""AK:AK"")) - SUMPRODUCT((IMPORTR"&amp;"ANGE(""17XjIPGwafStTRf_8bPPaoi2EFjHVy10_rRJ0uvy6YcU"",""M:M"")=B30)*1, IMPORTRANGE(""17XjIPGwafStTRf_8bPPaoi2EFjHVy10_rRJ0uvy6YcU"",""X:X""), IMPORTRANGE(""17XjIPGwafStTRf_8bPPaoi2EFjHVy10_rRJ0uvy6YcU"",""AL:AL""))"),291108.0)</f>
        <v>291108</v>
      </c>
      <c r="D30" s="24">
        <f>IFERROR(__xludf.DUMMYFUNCTION("SUMPRODUCT((IMPORTRANGE(""17XjIPGwafStTRf_8bPPaoi2EFjHVy10_rRJ0uvy6YcU"",""M:M"")=B30)*1, IMPORTRANGE(""17XjIPGwafStTRf_8bPPaoi2EFjHVy10_rRJ0uvy6YcU"",""X:X""), IMPORTRANGE(""17XjIPGwafStTRf_8bPPaoi2EFjHVy10_rRJ0uvy6YcU"",""AA:AA"")) + SUMPRODUCT((IMPORTR"&amp;"ANGE(""17XjIPGwafStTRf_8bPPaoi2EFjHVy10_rRJ0uvy6YcU"",""M:M"")=B30)*1, IMPORTRANGE(""17XjIPGwafStTRf_8bPPaoi2EFjHVy10_rRJ0uvy6YcU"",""X:X""), IMPORTRANGE(""17XjIPGwafStTRf_8bPPaoi2EFjHVy10_rRJ0uvy6YcU"",""AE:AE"")) + SUMPRODUCT((IMPORTRANGE(""17XjIPGwafSt"&amp;"TRf_8bPPaoi2EFjHVy10_rRJ0uvy6YcU"",""M:M"")=B30)*1, IMPORTRANGE(""17XjIPGwafStTRf_8bPPaoi2EFjHVy10_rRJ0uvy6YcU"",""X:X""), IMPORTRANGE(""17XjIPGwafStTRf_8bPPaoi2EFjHVy10_rRJ0uvy6YcU"",""AF:AF""))"),187665.65256163894)</f>
        <v>187665.6526</v>
      </c>
      <c r="E30" s="24">
        <f>IFERROR(__xludf.DUMMYFUNCTION("SUMPRODUCT((IMPORTRANGE(""17XjIPGwafStTRf_8bPPaoi2EFjHVy10_rRJ0uvy6YcU"",""M:M"")=B30)*1, IMPORTRANGE(""17XjIPGwafStTRf_8bPPaoi2EFjHVy10_rRJ0uvy6YcU"",""X:X""), IMPORTRANGE(""17XjIPGwafStTRf_8bPPaoi2EFjHVy10_rRJ0uvy6YcU"",""AO:AO""))"),51365.21228030977)</f>
        <v>51365.21228</v>
      </c>
      <c r="F30" s="25">
        <f>IFERROR(__xludf.DUMMYFUNCTION("SUMPRODUCT((IMPORTRANGE(""17XjIPGwafStTRf_8bPPaoi2EFjHVy10_rRJ0uvy6YcU"",""M:M"")=B30)*1, IMPORTRANGE(""17XjIPGwafStTRf_8bPPaoi2EFjHVy10_rRJ0uvy6YcU"",""X:X""))"),58.0)</f>
        <v>58</v>
      </c>
      <c r="G30" s="26">
        <f>IFERROR(__xludf.DUMMYFUNCTION("COUNTIF(IMPORTRANGE(""17XjIPGwafStTRf_8bPPaoi2EFjHVy10_rRJ0uvy6YcU"",""M:M""), B30)"),34.0)</f>
        <v>34</v>
      </c>
      <c r="H30" s="27">
        <f t="shared" si="1"/>
        <v>1.705882353</v>
      </c>
      <c r="I30" s="28">
        <f t="shared" si="2"/>
        <v>0.1764472714</v>
      </c>
      <c r="J30" s="29">
        <f t="shared" si="3"/>
        <v>0.273705985</v>
      </c>
      <c r="K30" s="30"/>
      <c r="L30" s="31" t="str">
        <f t="shared" si="4"/>
        <v/>
      </c>
      <c r="M30" s="31" t="str">
        <f t="shared" si="5"/>
        <v/>
      </c>
      <c r="N30" s="4"/>
    </row>
    <row r="31">
      <c r="A31" s="1"/>
      <c r="B31" s="23">
        <f t="shared" si="6"/>
        <v>44342</v>
      </c>
      <c r="C31" s="24">
        <f>IFERROR(__xludf.DUMMYFUNCTION("SUMPRODUCT((IMPORTRANGE(""17XjIPGwafStTRf_8bPPaoi2EFjHVy10_rRJ0uvy6YcU"",""M:M"")=B31)*1, IMPORTRANGE(""17XjIPGwafStTRf_8bPPaoi2EFjHVy10_rRJ0uvy6YcU"",""X:X""), IMPORTRANGE(""17XjIPGwafStTRf_8bPPaoi2EFjHVy10_rRJ0uvy6YcU"",""AK:AK"")) - SUMPRODUCT((IMPORTR"&amp;"ANGE(""17XjIPGwafStTRf_8bPPaoi2EFjHVy10_rRJ0uvy6YcU"",""M:M"")=B31)*1, IMPORTRANGE(""17XjIPGwafStTRf_8bPPaoi2EFjHVy10_rRJ0uvy6YcU"",""X:X""), IMPORTRANGE(""17XjIPGwafStTRf_8bPPaoi2EFjHVy10_rRJ0uvy6YcU"",""AL:AL""))"),442948.0)</f>
        <v>442948</v>
      </c>
      <c r="D31" s="24">
        <f>IFERROR(__xludf.DUMMYFUNCTION("SUMPRODUCT((IMPORTRANGE(""17XjIPGwafStTRf_8bPPaoi2EFjHVy10_rRJ0uvy6YcU"",""M:M"")=B31)*1, IMPORTRANGE(""17XjIPGwafStTRf_8bPPaoi2EFjHVy10_rRJ0uvy6YcU"",""X:X""), IMPORTRANGE(""17XjIPGwafStTRf_8bPPaoi2EFjHVy10_rRJ0uvy6YcU"",""AA:AA"")) + SUMPRODUCT((IMPORTR"&amp;"ANGE(""17XjIPGwafStTRf_8bPPaoi2EFjHVy10_rRJ0uvy6YcU"",""M:M"")=B31)*1, IMPORTRANGE(""17XjIPGwafStTRf_8bPPaoi2EFjHVy10_rRJ0uvy6YcU"",""X:X""), IMPORTRANGE(""17XjIPGwafStTRf_8bPPaoi2EFjHVy10_rRJ0uvy6YcU"",""AE:AE"")) + SUMPRODUCT((IMPORTRANGE(""17XjIPGwafSt"&amp;"TRf_8bPPaoi2EFjHVy10_rRJ0uvy6YcU"",""M:M"")=B31)*1, IMPORTRANGE(""17XjIPGwafStTRf_8bPPaoi2EFjHVy10_rRJ0uvy6YcU"",""X:X""), IMPORTRANGE(""17XjIPGwafStTRf_8bPPaoi2EFjHVy10_rRJ0uvy6YcU"",""AF:AF""))"),283801.14877482696)</f>
        <v>283801.1488</v>
      </c>
      <c r="E31" s="24">
        <f>IFERROR(__xludf.DUMMYFUNCTION("SUMPRODUCT((IMPORTRANGE(""17XjIPGwafStTRf_8bPPaoi2EFjHVy10_rRJ0uvy6YcU"",""M:M"")=B31)*1, IMPORTRANGE(""17XjIPGwafStTRf_8bPPaoi2EFjHVy10_rRJ0uvy6YcU"",""X:X""), IMPORTRANGE(""17XjIPGwafStTRf_8bPPaoi2EFjHVy10_rRJ0uvy6YcU"",""AO:AO""))"),74307.52066843753)</f>
        <v>74307.52067</v>
      </c>
      <c r="F31" s="25">
        <f>IFERROR(__xludf.DUMMYFUNCTION("SUMPRODUCT((IMPORTRANGE(""17XjIPGwafStTRf_8bPPaoi2EFjHVy10_rRJ0uvy6YcU"",""M:M"")=B31)*1, IMPORTRANGE(""17XjIPGwafStTRf_8bPPaoi2EFjHVy10_rRJ0uvy6YcU"",""X:X""))"),73.0)</f>
        <v>73</v>
      </c>
      <c r="G31" s="26">
        <f>IFERROR(__xludf.DUMMYFUNCTION("COUNTIF(IMPORTRANGE(""17XjIPGwafStTRf_8bPPaoi2EFjHVy10_rRJ0uvy6YcU"",""M:M""), B31)"),31.0)</f>
        <v>31</v>
      </c>
      <c r="H31" s="27">
        <f t="shared" si="1"/>
        <v>2.35483871</v>
      </c>
      <c r="I31" s="28">
        <f t="shared" si="2"/>
        <v>0.1677567585</v>
      </c>
      <c r="J31" s="29">
        <f t="shared" si="3"/>
        <v>0.2618295274</v>
      </c>
      <c r="K31" s="30"/>
      <c r="L31" s="31" t="str">
        <f t="shared" si="4"/>
        <v/>
      </c>
      <c r="M31" s="31" t="str">
        <f t="shared" si="5"/>
        <v/>
      </c>
      <c r="N31" s="4"/>
    </row>
    <row r="32">
      <c r="A32" s="1"/>
      <c r="B32" s="23">
        <f t="shared" si="6"/>
        <v>44343</v>
      </c>
      <c r="C32" s="24">
        <f>IFERROR(__xludf.DUMMYFUNCTION("SUMPRODUCT((IMPORTRANGE(""17XjIPGwafStTRf_8bPPaoi2EFjHVy10_rRJ0uvy6YcU"",""M:M"")=B32)*1, IMPORTRANGE(""17XjIPGwafStTRf_8bPPaoi2EFjHVy10_rRJ0uvy6YcU"",""X:X""), IMPORTRANGE(""17XjIPGwafStTRf_8bPPaoi2EFjHVy10_rRJ0uvy6YcU"",""AK:AK"")) - SUMPRODUCT((IMPORTR"&amp;"ANGE(""17XjIPGwafStTRf_8bPPaoi2EFjHVy10_rRJ0uvy6YcU"",""M:M"")=B32)*1, IMPORTRANGE(""17XjIPGwafStTRf_8bPPaoi2EFjHVy10_rRJ0uvy6YcU"",""X:X""), IMPORTRANGE(""17XjIPGwafStTRf_8bPPaoi2EFjHVy10_rRJ0uvy6YcU"",""AL:AL""))"),242761.0)</f>
        <v>242761</v>
      </c>
      <c r="D32" s="24">
        <f>IFERROR(__xludf.DUMMYFUNCTION("SUMPRODUCT((IMPORTRANGE(""17XjIPGwafStTRf_8bPPaoi2EFjHVy10_rRJ0uvy6YcU"",""M:M"")=B32)*1, IMPORTRANGE(""17XjIPGwafStTRf_8bPPaoi2EFjHVy10_rRJ0uvy6YcU"",""X:X""), IMPORTRANGE(""17XjIPGwafStTRf_8bPPaoi2EFjHVy10_rRJ0uvy6YcU"",""AA:AA"")) + SUMPRODUCT((IMPORTR"&amp;"ANGE(""17XjIPGwafStTRf_8bPPaoi2EFjHVy10_rRJ0uvy6YcU"",""M:M"")=B32)*1, IMPORTRANGE(""17XjIPGwafStTRf_8bPPaoi2EFjHVy10_rRJ0uvy6YcU"",""X:X""), IMPORTRANGE(""17XjIPGwafStTRf_8bPPaoi2EFjHVy10_rRJ0uvy6YcU"",""AE:AE"")) + SUMPRODUCT((IMPORTRANGE(""17XjIPGwafSt"&amp;"TRf_8bPPaoi2EFjHVy10_rRJ0uvy6YcU"",""M:M"")=B32)*1, IMPORTRANGE(""17XjIPGwafStTRf_8bPPaoi2EFjHVy10_rRJ0uvy6YcU"",""X:X""), IMPORTRANGE(""17XjIPGwafStTRf_8bPPaoi2EFjHVy10_rRJ0uvy6YcU"",""AF:AF""))"),190100.4843081815)</f>
        <v>190100.4843</v>
      </c>
      <c r="E32" s="24">
        <f>IFERROR(__xludf.DUMMYFUNCTION("SUMPRODUCT((IMPORTRANGE(""17XjIPGwafStTRf_8bPPaoi2EFjHVy10_rRJ0uvy6YcU"",""M:M"")=B32)*1, IMPORTRANGE(""17XjIPGwafStTRf_8bPPaoi2EFjHVy10_rRJ0uvy6YcU"",""X:X""), IMPORTRANGE(""17XjIPGwafStTRf_8bPPaoi2EFjHVy10_rRJ0uvy6YcU"",""AO:AO""))"),56417.115691818486)</f>
        <v>56417.11569</v>
      </c>
      <c r="F32" s="25">
        <f>IFERROR(__xludf.DUMMYFUNCTION("SUMPRODUCT((IMPORTRANGE(""17XjIPGwafStTRf_8bPPaoi2EFjHVy10_rRJ0uvy6YcU"",""M:M"")=B32)*1, IMPORTRANGE(""17XjIPGwafStTRf_8bPPaoi2EFjHVy10_rRJ0uvy6YcU"",""X:X""))"),46.0)</f>
        <v>46</v>
      </c>
      <c r="G32" s="26">
        <f>IFERROR(__xludf.DUMMYFUNCTION("COUNTIF(IMPORTRANGE(""17XjIPGwafStTRf_8bPPaoi2EFjHVy10_rRJ0uvy6YcU"",""M:M""), B32)"),28.0)</f>
        <v>28</v>
      </c>
      <c r="H32" s="27">
        <f t="shared" si="1"/>
        <v>1.642857143</v>
      </c>
      <c r="I32" s="28">
        <f t="shared" si="2"/>
        <v>0.2323977727</v>
      </c>
      <c r="J32" s="29">
        <f t="shared" si="3"/>
        <v>0.2967752339</v>
      </c>
      <c r="K32" s="32"/>
      <c r="L32" s="31" t="str">
        <f t="shared" si="4"/>
        <v/>
      </c>
      <c r="M32" s="31" t="str">
        <f t="shared" si="5"/>
        <v/>
      </c>
      <c r="N32" s="4"/>
    </row>
    <row r="33">
      <c r="A33" s="1"/>
      <c r="B33" s="23">
        <f t="shared" si="6"/>
        <v>44344</v>
      </c>
      <c r="C33" s="24">
        <f>IFERROR(__xludf.DUMMYFUNCTION("SUMPRODUCT((IMPORTRANGE(""17XjIPGwafStTRf_8bPPaoi2EFjHVy10_rRJ0uvy6YcU"",""M:M"")=B33)*1, IMPORTRANGE(""17XjIPGwafStTRf_8bPPaoi2EFjHVy10_rRJ0uvy6YcU"",""X:X""), IMPORTRANGE(""17XjIPGwafStTRf_8bPPaoi2EFjHVy10_rRJ0uvy6YcU"",""AK:AK"")) - SUMPRODUCT((IMPORTR"&amp;"ANGE(""17XjIPGwafStTRf_8bPPaoi2EFjHVy10_rRJ0uvy6YcU"",""M:M"")=B33)*1, IMPORTRANGE(""17XjIPGwafStTRf_8bPPaoi2EFjHVy10_rRJ0uvy6YcU"",""X:X""), IMPORTRANGE(""17XjIPGwafStTRf_8bPPaoi2EFjHVy10_rRJ0uvy6YcU"",""AL:AL""))"),260993.0)</f>
        <v>260993</v>
      </c>
      <c r="D33" s="24">
        <f>IFERROR(__xludf.DUMMYFUNCTION("SUMPRODUCT((IMPORTRANGE(""17XjIPGwafStTRf_8bPPaoi2EFjHVy10_rRJ0uvy6YcU"",""M:M"")=B33)*1, IMPORTRANGE(""17XjIPGwafStTRf_8bPPaoi2EFjHVy10_rRJ0uvy6YcU"",""X:X""), IMPORTRANGE(""17XjIPGwafStTRf_8bPPaoi2EFjHVy10_rRJ0uvy6YcU"",""AA:AA"")) + SUMPRODUCT((IMPORTR"&amp;"ANGE(""17XjIPGwafStTRf_8bPPaoi2EFjHVy10_rRJ0uvy6YcU"",""M:M"")=B33)*1, IMPORTRANGE(""17XjIPGwafStTRf_8bPPaoi2EFjHVy10_rRJ0uvy6YcU"",""X:X""), IMPORTRANGE(""17XjIPGwafStTRf_8bPPaoi2EFjHVy10_rRJ0uvy6YcU"",""AE:AE"")) + SUMPRODUCT((IMPORTRANGE(""17XjIPGwafSt"&amp;"TRf_8bPPaoi2EFjHVy10_rRJ0uvy6YcU"",""M:M"")=B33)*1, IMPORTRANGE(""17XjIPGwafStTRf_8bPPaoi2EFjHVy10_rRJ0uvy6YcU"",""X:X""), IMPORTRANGE(""17XjIPGwafStTRf_8bPPaoi2EFjHVy10_rRJ0uvy6YcU"",""AF:AF""))"),171010.60036353595)</f>
        <v>171010.6004</v>
      </c>
      <c r="E33" s="24">
        <f>IFERROR(__xludf.DUMMYFUNCTION("SUMPRODUCT((IMPORTRANGE(""17XjIPGwafStTRf_8bPPaoi2EFjHVy10_rRJ0uvy6YcU"",""M:M"")=B33)*1, IMPORTRANGE(""17XjIPGwafStTRf_8bPPaoi2EFjHVy10_rRJ0uvy6YcU"",""X:X""), IMPORTRANGE(""17XjIPGwafStTRf_8bPPaoi2EFjHVy10_rRJ0uvy6YcU"",""AO:AO""))"),36219.6545965811)</f>
        <v>36219.6546</v>
      </c>
      <c r="F33" s="25">
        <f>IFERROR(__xludf.DUMMYFUNCTION("SUMPRODUCT((IMPORTRANGE(""17XjIPGwafStTRf_8bPPaoi2EFjHVy10_rRJ0uvy6YcU"",""M:M"")=B33)*1, IMPORTRANGE(""17XjIPGwafStTRf_8bPPaoi2EFjHVy10_rRJ0uvy6YcU"",""X:X""))"),49.0)</f>
        <v>49</v>
      </c>
      <c r="G33" s="26">
        <f>IFERROR(__xludf.DUMMYFUNCTION("COUNTIF(IMPORTRANGE(""17XjIPGwafStTRf_8bPPaoi2EFjHVy10_rRJ0uvy6YcU"",""M:M""), B33)"),27.0)</f>
        <v>27</v>
      </c>
      <c r="H33" s="27">
        <f t="shared" si="1"/>
        <v>1.814814815</v>
      </c>
      <c r="I33" s="28">
        <f t="shared" si="2"/>
        <v>0.1387763449</v>
      </c>
      <c r="J33" s="29">
        <f t="shared" si="3"/>
        <v>0.2117977162</v>
      </c>
      <c r="K33" s="30"/>
      <c r="L33" s="31" t="str">
        <f t="shared" si="4"/>
        <v/>
      </c>
      <c r="M33" s="31" t="str">
        <f t="shared" si="5"/>
        <v/>
      </c>
      <c r="N33" s="4"/>
    </row>
    <row r="34">
      <c r="A34" s="1"/>
      <c r="B34" s="23">
        <f t="shared" ref="B34:B36" si="7">IFERROR(IF(MONTH(B33)=MONTH(B33+1),B33+1,"--"),"--")</f>
        <v>44345</v>
      </c>
      <c r="C34" s="24">
        <f>IFERROR(__xludf.DUMMYFUNCTION("SUMPRODUCT((IMPORTRANGE(""17XjIPGwafStTRf_8bPPaoi2EFjHVy10_rRJ0uvy6YcU"",""M:M"")=B34)*1, IMPORTRANGE(""17XjIPGwafStTRf_8bPPaoi2EFjHVy10_rRJ0uvy6YcU"",""X:X""), IMPORTRANGE(""17XjIPGwafStTRf_8bPPaoi2EFjHVy10_rRJ0uvy6YcU"",""AK:AK"")) - SUMPRODUCT((IMPORTR"&amp;"ANGE(""17XjIPGwafStTRf_8bPPaoi2EFjHVy10_rRJ0uvy6YcU"",""M:M"")=B34)*1, IMPORTRANGE(""17XjIPGwafStTRf_8bPPaoi2EFjHVy10_rRJ0uvy6YcU"",""X:X""), IMPORTRANGE(""17XjIPGwafStTRf_8bPPaoi2EFjHVy10_rRJ0uvy6YcU"",""AL:AL""))"),171736.0)</f>
        <v>171736</v>
      </c>
      <c r="D34" s="24">
        <f>IFERROR(__xludf.DUMMYFUNCTION("SUMPRODUCT((IMPORTRANGE(""17XjIPGwafStTRf_8bPPaoi2EFjHVy10_rRJ0uvy6YcU"",""M:M"")=B34)*1, IMPORTRANGE(""17XjIPGwafStTRf_8bPPaoi2EFjHVy10_rRJ0uvy6YcU"",""X:X""), IMPORTRANGE(""17XjIPGwafStTRf_8bPPaoi2EFjHVy10_rRJ0uvy6YcU"",""AA:AA"")) + SUMPRODUCT((IMPORTR"&amp;"ANGE(""17XjIPGwafStTRf_8bPPaoi2EFjHVy10_rRJ0uvy6YcU"",""M:M"")=B34)*1, IMPORTRANGE(""17XjIPGwafStTRf_8bPPaoi2EFjHVy10_rRJ0uvy6YcU"",""X:X""), IMPORTRANGE(""17XjIPGwafStTRf_8bPPaoi2EFjHVy10_rRJ0uvy6YcU"",""AE:AE"")) + SUMPRODUCT((IMPORTRANGE(""17XjIPGwafSt"&amp;"TRf_8bPPaoi2EFjHVy10_rRJ0uvy6YcU"",""M:M"")=B34)*1, IMPORTRANGE(""17XjIPGwafStTRf_8bPPaoi2EFjHVy10_rRJ0uvy6YcU"",""X:X""), IMPORTRANGE(""17XjIPGwafStTRf_8bPPaoi2EFjHVy10_rRJ0uvy6YcU"",""AF:AF""))"),87234.23792515004)</f>
        <v>87234.23793</v>
      </c>
      <c r="E34" s="24">
        <f>IFERROR(__xludf.DUMMYFUNCTION("SUMPRODUCT((IMPORTRANGE(""17XjIPGwafStTRf_8bPPaoi2EFjHVy10_rRJ0uvy6YcU"",""M:M"")=B34)*1, IMPORTRANGE(""17XjIPGwafStTRf_8bPPaoi2EFjHVy10_rRJ0uvy6YcU"",""X:X""), IMPORTRANGE(""17XjIPGwafStTRf_8bPPaoi2EFjHVy10_rRJ0uvy6YcU"",""AO:AO""))"),61426.462074849944)</f>
        <v>61426.46207</v>
      </c>
      <c r="F34" s="25">
        <f>IFERROR(__xludf.DUMMYFUNCTION("SUMPRODUCT((IMPORTRANGE(""17XjIPGwafStTRf_8bPPaoi2EFjHVy10_rRJ0uvy6YcU"",""M:M"")=B34)*1, IMPORTRANGE(""17XjIPGwafStTRf_8bPPaoi2EFjHVy10_rRJ0uvy6YcU"",""X:X""))"),26.0)</f>
        <v>26</v>
      </c>
      <c r="G34" s="26">
        <f>IFERROR(__xludf.DUMMYFUNCTION("COUNTIF(IMPORTRANGE(""17XjIPGwafStTRf_8bPPaoi2EFjHVy10_rRJ0uvy6YcU"",""M:M""), B34)"),10.0)</f>
        <v>10</v>
      </c>
      <c r="H34" s="27">
        <f t="shared" si="1"/>
        <v>2.6</v>
      </c>
      <c r="I34" s="28">
        <f t="shared" si="2"/>
        <v>0.35767959</v>
      </c>
      <c r="J34" s="29">
        <f t="shared" si="3"/>
        <v>0.7041554272</v>
      </c>
      <c r="K34" s="30"/>
      <c r="L34" s="31" t="str">
        <f t="shared" si="4"/>
        <v/>
      </c>
      <c r="M34" s="31" t="str">
        <f t="shared" si="5"/>
        <v/>
      </c>
      <c r="N34" s="4"/>
    </row>
    <row r="35">
      <c r="A35" s="1"/>
      <c r="B35" s="23">
        <f t="shared" si="7"/>
        <v>44346</v>
      </c>
      <c r="C35" s="24">
        <f>IFERROR(__xludf.DUMMYFUNCTION("SUMPRODUCT((IMPORTRANGE(""17XjIPGwafStTRf_8bPPaoi2EFjHVy10_rRJ0uvy6YcU"",""M:M"")=B35)*1, IMPORTRANGE(""17XjIPGwafStTRf_8bPPaoi2EFjHVy10_rRJ0uvy6YcU"",""X:X""), IMPORTRANGE(""17XjIPGwafStTRf_8bPPaoi2EFjHVy10_rRJ0uvy6YcU"",""AK:AK"")) - SUMPRODUCT((IMPORTR"&amp;"ANGE(""17XjIPGwafStTRf_8bPPaoi2EFjHVy10_rRJ0uvy6YcU"",""M:M"")=B35)*1, IMPORTRANGE(""17XjIPGwafStTRf_8bPPaoi2EFjHVy10_rRJ0uvy6YcU"",""X:X""), IMPORTRANGE(""17XjIPGwafStTRf_8bPPaoi2EFjHVy10_rRJ0uvy6YcU"",""AL:AL""))"),167517.0)</f>
        <v>167517</v>
      </c>
      <c r="D35" s="24">
        <f>IFERROR(__xludf.DUMMYFUNCTION("SUMPRODUCT((IMPORTRANGE(""17XjIPGwafStTRf_8bPPaoi2EFjHVy10_rRJ0uvy6YcU"",""M:M"")=B35)*1, IMPORTRANGE(""17XjIPGwafStTRf_8bPPaoi2EFjHVy10_rRJ0uvy6YcU"",""X:X""), IMPORTRANGE(""17XjIPGwafStTRf_8bPPaoi2EFjHVy10_rRJ0uvy6YcU"",""AA:AA"")) + SUMPRODUCT((IMPORTR"&amp;"ANGE(""17XjIPGwafStTRf_8bPPaoi2EFjHVy10_rRJ0uvy6YcU"",""M:M"")=B35)*1, IMPORTRANGE(""17XjIPGwafStTRf_8bPPaoi2EFjHVy10_rRJ0uvy6YcU"",""X:X""), IMPORTRANGE(""17XjIPGwafStTRf_8bPPaoi2EFjHVy10_rRJ0uvy6YcU"",""AE:AE"")) + SUMPRODUCT((IMPORTRANGE(""17XjIPGwafSt"&amp;"TRf_8bPPaoi2EFjHVy10_rRJ0uvy6YcU"",""M:M"")=B35)*1, IMPORTRANGE(""17XjIPGwafStTRf_8bPPaoi2EFjHVy10_rRJ0uvy6YcU"",""X:X""), IMPORTRANGE(""17XjIPGwafStTRf_8bPPaoi2EFjHVy10_rRJ0uvy6YcU"",""AF:AF""))"),82032.95105129901)</f>
        <v>82032.95105</v>
      </c>
      <c r="E35" s="24">
        <f>IFERROR(__xludf.DUMMYFUNCTION("SUMPRODUCT((IMPORTRANGE(""17XjIPGwafStTRf_8bPPaoi2EFjHVy10_rRJ0uvy6YcU"",""M:M"")=B35)*1, IMPORTRANGE(""17XjIPGwafStTRf_8bPPaoi2EFjHVy10_rRJ0uvy6YcU"",""X:X""), IMPORTRANGE(""17XjIPGwafStTRf_8bPPaoi2EFjHVy10_rRJ0uvy6YcU"",""AO:AO""))"),20624.43866599397)</f>
        <v>20624.43867</v>
      </c>
      <c r="F35" s="25">
        <f>IFERROR(__xludf.DUMMYFUNCTION("SUMPRODUCT((IMPORTRANGE(""17XjIPGwafStTRf_8bPPaoi2EFjHVy10_rRJ0uvy6YcU"",""M:M"")=B35)*1, IMPORTRANGE(""17XjIPGwafStTRf_8bPPaoi2EFjHVy10_rRJ0uvy6YcU"",""X:X""))"),34.0)</f>
        <v>34</v>
      </c>
      <c r="G35" s="26">
        <f>IFERROR(__xludf.DUMMYFUNCTION("COUNTIF(IMPORTRANGE(""17XjIPGwafStTRf_8bPPaoi2EFjHVy10_rRJ0uvy6YcU"",""M:M""), B35)"),12.0)</f>
        <v>12</v>
      </c>
      <c r="H35" s="27">
        <f t="shared" si="1"/>
        <v>2.833333333</v>
      </c>
      <c r="I35" s="28">
        <f t="shared" si="2"/>
        <v>0.1231184815</v>
      </c>
      <c r="J35" s="29">
        <f t="shared" si="3"/>
        <v>0.251416515</v>
      </c>
      <c r="K35" s="32"/>
      <c r="L35" s="31" t="str">
        <f t="shared" si="4"/>
        <v/>
      </c>
      <c r="M35" s="31" t="str">
        <f t="shared" si="5"/>
        <v/>
      </c>
      <c r="N35" s="4"/>
    </row>
    <row r="36">
      <c r="A36" s="1"/>
      <c r="B36" s="23">
        <f t="shared" si="7"/>
        <v>44347</v>
      </c>
      <c r="C36" s="24">
        <f>IFERROR(__xludf.DUMMYFUNCTION("SUMPRODUCT((IMPORTRANGE(""17XjIPGwafStTRf_8bPPaoi2EFjHVy10_rRJ0uvy6YcU"",""M:M"")=B36)*1, IMPORTRANGE(""17XjIPGwafStTRf_8bPPaoi2EFjHVy10_rRJ0uvy6YcU"",""X:X""), IMPORTRANGE(""17XjIPGwafStTRf_8bPPaoi2EFjHVy10_rRJ0uvy6YcU"",""AK:AK"")) - SUMPRODUCT((IMPORTR"&amp;"ANGE(""17XjIPGwafStTRf_8bPPaoi2EFjHVy10_rRJ0uvy6YcU"",""M:M"")=B36)*1, IMPORTRANGE(""17XjIPGwafStTRf_8bPPaoi2EFjHVy10_rRJ0uvy6YcU"",""X:X""), IMPORTRANGE(""17XjIPGwafStTRf_8bPPaoi2EFjHVy10_rRJ0uvy6YcU"",""AL:AL""))"),1010114.0)</f>
        <v>1010114</v>
      </c>
      <c r="D36" s="24">
        <f>IFERROR(__xludf.DUMMYFUNCTION("SUMPRODUCT((IMPORTRANGE(""17XjIPGwafStTRf_8bPPaoi2EFjHVy10_rRJ0uvy6YcU"",""M:M"")=B36)*1, IMPORTRANGE(""17XjIPGwafStTRf_8bPPaoi2EFjHVy10_rRJ0uvy6YcU"",""X:X""), IMPORTRANGE(""17XjIPGwafStTRf_8bPPaoi2EFjHVy10_rRJ0uvy6YcU"",""AA:AA"")) + SUMPRODUCT((IMPORTR"&amp;"ANGE(""17XjIPGwafStTRf_8bPPaoi2EFjHVy10_rRJ0uvy6YcU"",""M:M"")=B36)*1, IMPORTRANGE(""17XjIPGwafStTRf_8bPPaoi2EFjHVy10_rRJ0uvy6YcU"",""X:X""), IMPORTRANGE(""17XjIPGwafStTRf_8bPPaoi2EFjHVy10_rRJ0uvy6YcU"",""AE:AE"")) + SUMPRODUCT((IMPORTRANGE(""17XjIPGwafSt"&amp;"TRf_8bPPaoi2EFjHVy10_rRJ0uvy6YcU"",""M:M"")=B36)*1, IMPORTRANGE(""17XjIPGwafStTRf_8bPPaoi2EFjHVy10_rRJ0uvy6YcU"",""X:X""), IMPORTRANGE(""17XjIPGwafStTRf_8bPPaoi2EFjHVy10_rRJ0uvy6YcU"",""AF:AF""))"),663866.610178706)</f>
        <v>663866.6102</v>
      </c>
      <c r="E36" s="24">
        <f>IFERROR(__xludf.DUMMYFUNCTION("SUMPRODUCT((IMPORTRANGE(""17XjIPGwafStTRf_8bPPaoi2EFjHVy10_rRJ0uvy6YcU"",""M:M"")=B36)*1, IMPORTRANGE(""17XjIPGwafStTRf_8bPPaoi2EFjHVy10_rRJ0uvy6YcU"",""X:X""), IMPORTRANGE(""17XjIPGwafStTRf_8bPPaoi2EFjHVy10_rRJ0uvy6YcU"",""AO:AO""))"),155249.1085601882)</f>
        <v>155249.1086</v>
      </c>
      <c r="F36" s="25">
        <f>IFERROR(__xludf.DUMMYFUNCTION("SUMPRODUCT((IMPORTRANGE(""17XjIPGwafStTRf_8bPPaoi2EFjHVy10_rRJ0uvy6YcU"",""M:M"")=B36)*1, IMPORTRANGE(""17XjIPGwafStTRf_8bPPaoi2EFjHVy10_rRJ0uvy6YcU"",""X:X""))"),199.0)</f>
        <v>199</v>
      </c>
      <c r="G36" s="26">
        <f>IFERROR(__xludf.DUMMYFUNCTION("COUNTIF(IMPORTRANGE(""17XjIPGwafStTRf_8bPPaoi2EFjHVy10_rRJ0uvy6YcU"",""M:M""), B36)"),34.0)</f>
        <v>34</v>
      </c>
      <c r="H36" s="27">
        <f t="shared" si="1"/>
        <v>5.852941176</v>
      </c>
      <c r="I36" s="28">
        <f t="shared" si="2"/>
        <v>0.153694641</v>
      </c>
      <c r="J36" s="29">
        <f t="shared" si="3"/>
        <v>0.2338558773</v>
      </c>
      <c r="K36" s="30"/>
      <c r="L36" s="31" t="str">
        <f>if(B36="","",IF(K36="","",E36/K36))</f>
        <v/>
      </c>
      <c r="M36" s="31" t="str">
        <f>if(B36="","",IF(K36="","",D36/K36))</f>
        <v/>
      </c>
      <c r="N36" s="4"/>
    </row>
    <row r="37">
      <c r="A37" s="4"/>
      <c r="B37" s="33" t="s">
        <v>16</v>
      </c>
      <c r="C37" s="34">
        <f t="shared" ref="C37:H37" si="8">SUM(C6:C36)</f>
        <v>8301829</v>
      </c>
      <c r="D37" s="34">
        <f t="shared" si="8"/>
        <v>5723934.613</v>
      </c>
      <c r="E37" s="34">
        <f t="shared" si="8"/>
        <v>1120085.182</v>
      </c>
      <c r="F37" s="34">
        <f t="shared" si="8"/>
        <v>1452</v>
      </c>
      <c r="G37" s="34">
        <f t="shared" si="8"/>
        <v>478</v>
      </c>
      <c r="H37" s="34">
        <f t="shared" si="8"/>
        <v>70.01842383</v>
      </c>
      <c r="I37" s="35">
        <f t="shared" si="2"/>
        <v>0.1349202907</v>
      </c>
      <c r="J37" s="35">
        <f t="shared" si="3"/>
        <v>0.1956844824</v>
      </c>
      <c r="K37" s="33">
        <f>SUM(K6:K36)</f>
        <v>0</v>
      </c>
      <c r="L37" s="34" t="str">
        <f>iferror(IF(K37="","",E37/K37),"")</f>
        <v/>
      </c>
      <c r="M37" s="34" t="str">
        <f>iferror(IF(K37="","",D37/K37),"")</f>
        <v/>
      </c>
      <c r="N37" s="4"/>
    </row>
    <row r="38">
      <c r="A38" s="4"/>
      <c r="B38" s="4"/>
      <c r="C38" s="4"/>
      <c r="D38" s="36" t="s">
        <v>17</v>
      </c>
      <c r="E38" s="4"/>
      <c r="F38" s="4"/>
      <c r="G38" s="4"/>
      <c r="H38" s="4"/>
      <c r="I38" s="4"/>
      <c r="J38" s="4"/>
      <c r="K38" s="4"/>
      <c r="L38" s="4"/>
      <c r="M38" s="4"/>
      <c r="N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.25"/>
    <col customWidth="1" min="2" max="2" width="7.38"/>
    <col customWidth="1" min="3" max="5" width="11.38"/>
    <col customWidth="1" min="6" max="8" width="5.75"/>
    <col customWidth="1" min="9" max="11" width="8.88"/>
    <col customWidth="1" min="12" max="13" width="11.38"/>
    <col customWidth="1" min="14" max="14" width="2.38"/>
  </cols>
  <sheetData>
    <row r="1" ht="7.5" customHeight="1">
      <c r="A1" s="1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</row>
    <row r="2">
      <c r="A2" s="1"/>
      <c r="B2" s="5">
        <v>44743.0</v>
      </c>
      <c r="C2" s="6"/>
      <c r="D2" s="3"/>
      <c r="E2" s="4"/>
      <c r="F2" s="4"/>
      <c r="G2" s="4"/>
      <c r="H2" s="4"/>
      <c r="I2" s="4"/>
      <c r="J2" s="4"/>
      <c r="K2" s="4"/>
      <c r="L2" s="7" t="s">
        <v>0</v>
      </c>
      <c r="M2" s="8">
        <v>1.5</v>
      </c>
      <c r="N2" s="4"/>
    </row>
    <row r="3">
      <c r="A3" s="4"/>
      <c r="B3" s="9" t="s">
        <v>1</v>
      </c>
      <c r="C3" s="10">
        <f>iferror((E3*M2)/I37,"")</f>
        <v>10804535.31</v>
      </c>
      <c r="D3" s="11" t="s">
        <v>2</v>
      </c>
      <c r="E3" s="12">
        <v>2000000.0</v>
      </c>
      <c r="F3" s="13"/>
      <c r="G3" s="4"/>
      <c r="H3" s="4"/>
      <c r="I3" s="4"/>
      <c r="J3" s="4"/>
      <c r="K3" s="4"/>
      <c r="L3" s="14"/>
      <c r="M3" s="15"/>
      <c r="N3" s="13"/>
    </row>
    <row r="4">
      <c r="A4" s="4"/>
      <c r="B4" s="9" t="s">
        <v>3</v>
      </c>
      <c r="C4" s="16">
        <f>iferror(C37/C3,"")</f>
        <v>2.306171551</v>
      </c>
      <c r="D4" s="9"/>
      <c r="E4" s="16"/>
      <c r="F4" s="4"/>
      <c r="G4" s="4"/>
      <c r="H4" s="4"/>
      <c r="I4" s="4"/>
      <c r="J4" s="4"/>
      <c r="K4" s="17"/>
      <c r="L4" s="4"/>
      <c r="M4" s="4"/>
      <c r="N4" s="4"/>
    </row>
    <row r="5" ht="28.5" customHeight="1">
      <c r="A5" s="18"/>
      <c r="B5" s="19" t="s">
        <v>4</v>
      </c>
      <c r="C5" s="20" t="s">
        <v>5</v>
      </c>
      <c r="D5" s="20" t="s">
        <v>6</v>
      </c>
      <c r="E5" s="20" t="s">
        <v>7</v>
      </c>
      <c r="F5" s="21" t="s">
        <v>8</v>
      </c>
      <c r="G5" s="22" t="s">
        <v>9</v>
      </c>
      <c r="H5" s="22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18"/>
    </row>
    <row r="6">
      <c r="A6" s="1"/>
      <c r="B6" s="23">
        <f>B2</f>
        <v>44743</v>
      </c>
      <c r="C6" s="24">
        <f>IFERROR(__xludf.DUMMYFUNCTION("SUMPRODUCT((IMPORTRANGE(""17XjIPGwafStTRf_8bPPaoi2EFjHVy10_rRJ0uvy6YcU"",""M:M"")=B6)*1, IMPORTRANGE(""17XjIPGwafStTRf_8bPPaoi2EFjHVy10_rRJ0uvy6YcU"",""X:X""), IMPORTRANGE(""17XjIPGwafStTRf_8bPPaoi2EFjHVy10_rRJ0uvy6YcU"",""AK:AK"")) - SUMPRODUCT((IMPORTRA"&amp;"NGE(""17XjIPGwafStTRf_8bPPaoi2EFjHVy10_rRJ0uvy6YcU"",""M:M"")=B6)*1, IMPORTRANGE(""17XjIPGwafStTRf_8bPPaoi2EFjHVy10_rRJ0uvy6YcU"",""X:X""), IMPORTRANGE(""17XjIPGwafStTRf_8bPPaoi2EFjHVy10_rRJ0uvy6YcU"",""AL:AL""))"),623231.0)</f>
        <v>623231</v>
      </c>
      <c r="D6" s="24">
        <f>IFERROR(__xludf.DUMMYFUNCTION("SUMPRODUCT((IMPORTRANGE(""17XjIPGwafStTRf_8bPPaoi2EFjHVy10_rRJ0uvy6YcU"",""M:M"")=B6)*1, IMPORTRANGE(""17XjIPGwafStTRf_8bPPaoi2EFjHVy10_rRJ0uvy6YcU"",""X:X""), IMPORTRANGE(""17XjIPGwafStTRf_8bPPaoi2EFjHVy10_rRJ0uvy6YcU"",""AA:AA"")) + SUMPRODUCT((IMPORTRA"&amp;"NGE(""17XjIPGwafStTRf_8bPPaoi2EFjHVy10_rRJ0uvy6YcU"",""M:M"")=B6)*1, IMPORTRANGE(""17XjIPGwafStTRf_8bPPaoi2EFjHVy10_rRJ0uvy6YcU"",""X:X""), IMPORTRANGE(""17XjIPGwafStTRf_8bPPaoi2EFjHVy10_rRJ0uvy6YcU"",""AE:AE"")) + SUMPRODUCT((IMPORTRANGE(""17XjIPGwafStTR"&amp;"f_8bPPaoi2EFjHVy10_rRJ0uvy6YcU"",""M:M"")=B6)*1, IMPORTRANGE(""17XjIPGwafStTRf_8bPPaoi2EFjHVy10_rRJ0uvy6YcU"",""X:X""), IMPORTRANGE(""17XjIPGwafStTRf_8bPPaoi2EFjHVy10_rRJ0uvy6YcU"",""AF:AF""))"),397590.43480452907)</f>
        <v>397590.4348</v>
      </c>
      <c r="E6" s="24">
        <f>IFERROR(__xludf.DUMMYFUNCTION("SUMPRODUCT((IMPORTRANGE(""17XjIPGwafStTRf_8bPPaoi2EFjHVy10_rRJ0uvy6YcU"",""M:M"")=B6)*1, IMPORTRANGE(""17XjIPGwafStTRf_8bPPaoi2EFjHVy10_rRJ0uvy6YcU"",""X:X""), IMPORTRANGE(""17XjIPGwafStTRf_8bPPaoi2EFjHVy10_rRJ0uvy6YcU"",""AO:AO""))"),129281.06519547096)</f>
        <v>129281.0652</v>
      </c>
      <c r="F6" s="25">
        <f>IFERROR(__xludf.DUMMYFUNCTION("SUMPRODUCT((IMPORTRANGE(""17XjIPGwafStTRf_8bPPaoi2EFjHVy10_rRJ0uvy6YcU"",""M:M"")=B6)*1, IMPORTRANGE(""17XjIPGwafStTRf_8bPPaoi2EFjHVy10_rRJ0uvy6YcU"",""X:X""))"),94.0)</f>
        <v>94</v>
      </c>
      <c r="G6" s="26">
        <f>IFERROR(__xludf.DUMMYFUNCTION("COUNTIF(IMPORTRANGE(""17XjIPGwafStTRf_8bPPaoi2EFjHVy10_rRJ0uvy6YcU"",""M:M""), B6)"),28.0)</f>
        <v>28</v>
      </c>
      <c r="H6" s="27">
        <f t="shared" ref="H6:H36" si="1">IF(F6=0,"",F6/G6)</f>
        <v>3.357142857</v>
      </c>
      <c r="I6" s="28">
        <f t="shared" ref="I6:I37" si="2">IF(C6=0,"",E6/C6)</f>
        <v>0.2074368335</v>
      </c>
      <c r="J6" s="29">
        <f t="shared" ref="J6:J37" si="3">IF(D6=0,"",E6/D6)</f>
        <v>0.325161407</v>
      </c>
      <c r="K6" s="30"/>
      <c r="L6" s="31" t="str">
        <f t="shared" ref="L6:L35" si="4">IF(K6="","",E6/K6)</f>
        <v/>
      </c>
      <c r="M6" s="31" t="str">
        <f t="shared" ref="M6:M35" si="5">IF(K6="","",D6/K6)</f>
        <v/>
      </c>
      <c r="N6" s="4"/>
    </row>
    <row r="7">
      <c r="A7" s="1"/>
      <c r="B7" s="23">
        <f t="shared" ref="B7:B33" si="6">B6+1</f>
        <v>44744</v>
      </c>
      <c r="C7" s="24">
        <f>IFERROR(__xludf.DUMMYFUNCTION("SUMPRODUCT((IMPORTRANGE(""17XjIPGwafStTRf_8bPPaoi2EFjHVy10_rRJ0uvy6YcU"",""M:M"")=B7)*1, IMPORTRANGE(""17XjIPGwafStTRf_8bPPaoi2EFjHVy10_rRJ0uvy6YcU"",""X:X""), IMPORTRANGE(""17XjIPGwafStTRf_8bPPaoi2EFjHVy10_rRJ0uvy6YcU"",""AK:AK"")) - SUMPRODUCT((IMPORTRA"&amp;"NGE(""17XjIPGwafStTRf_8bPPaoi2EFjHVy10_rRJ0uvy6YcU"",""M:M"")=B7)*1, IMPORTRANGE(""17XjIPGwafStTRf_8bPPaoi2EFjHVy10_rRJ0uvy6YcU"",""X:X""), IMPORTRANGE(""17XjIPGwafStTRf_8bPPaoi2EFjHVy10_rRJ0uvy6YcU"",""AL:AL""))"),1133087.0)</f>
        <v>1133087</v>
      </c>
      <c r="D7" s="24">
        <f>IFERROR(__xludf.DUMMYFUNCTION("SUMPRODUCT((IMPORTRANGE(""17XjIPGwafStTRf_8bPPaoi2EFjHVy10_rRJ0uvy6YcU"",""M:M"")=B7)*1, IMPORTRANGE(""17XjIPGwafStTRf_8bPPaoi2EFjHVy10_rRJ0uvy6YcU"",""X:X""), IMPORTRANGE(""17XjIPGwafStTRf_8bPPaoi2EFjHVy10_rRJ0uvy6YcU"",""AA:AA"")) + SUMPRODUCT((IMPORTRA"&amp;"NGE(""17XjIPGwafStTRf_8bPPaoi2EFjHVy10_rRJ0uvy6YcU"",""M:M"")=B7)*1, IMPORTRANGE(""17XjIPGwafStTRf_8bPPaoi2EFjHVy10_rRJ0uvy6YcU"",""X:X""), IMPORTRANGE(""17XjIPGwafStTRf_8bPPaoi2EFjHVy10_rRJ0uvy6YcU"",""AE:AE"")) + SUMPRODUCT((IMPORTRANGE(""17XjIPGwafStTR"&amp;"f_8bPPaoi2EFjHVy10_rRJ0uvy6YcU"",""M:M"")=B7)*1, IMPORTRANGE(""17XjIPGwafStTRf_8bPPaoi2EFjHVy10_rRJ0uvy6YcU"",""X:X""), IMPORTRANGE(""17XjIPGwafStTRf_8bPPaoi2EFjHVy10_rRJ0uvy6YcU"",""AF:AF""))"),498665.3228040649)</f>
        <v>498665.3228</v>
      </c>
      <c r="E7" s="24">
        <f>IFERROR(__xludf.DUMMYFUNCTION("SUMPRODUCT((IMPORTRANGE(""17XjIPGwafStTRf_8bPPaoi2EFjHVy10_rRJ0uvy6YcU"",""M:M"")=B7)*1, IMPORTRANGE(""17XjIPGwafStTRf_8bPPaoi2EFjHVy10_rRJ0uvy6YcU"",""X:X""), IMPORTRANGE(""17XjIPGwafStTRf_8bPPaoi2EFjHVy10_rRJ0uvy6YcU"",""AO:AO""))"),407015.6771959351)</f>
        <v>407015.6772</v>
      </c>
      <c r="F7" s="25">
        <f>IFERROR(__xludf.DUMMYFUNCTION("SUMPRODUCT((IMPORTRANGE(""17XjIPGwafStTRf_8bPPaoi2EFjHVy10_rRJ0uvy6YcU"",""M:M"")=B7)*1, IMPORTRANGE(""17XjIPGwafStTRf_8bPPaoi2EFjHVy10_rRJ0uvy6YcU"",""X:X""))"),282.0)</f>
        <v>282</v>
      </c>
      <c r="G7" s="26">
        <f>IFERROR(__xludf.DUMMYFUNCTION("COUNTIF(IMPORTRANGE(""17XjIPGwafStTRf_8bPPaoi2EFjHVy10_rRJ0uvy6YcU"",""M:M""), B7)"),25.0)</f>
        <v>25</v>
      </c>
      <c r="H7" s="27">
        <f t="shared" si="1"/>
        <v>11.28</v>
      </c>
      <c r="I7" s="28">
        <f t="shared" si="2"/>
        <v>0.3592095551</v>
      </c>
      <c r="J7" s="29">
        <f t="shared" si="3"/>
        <v>0.8162101084</v>
      </c>
      <c r="K7" s="30"/>
      <c r="L7" s="31" t="str">
        <f t="shared" si="4"/>
        <v/>
      </c>
      <c r="M7" s="31" t="str">
        <f t="shared" si="5"/>
        <v/>
      </c>
      <c r="N7" s="4"/>
    </row>
    <row r="8">
      <c r="A8" s="1"/>
      <c r="B8" s="23">
        <f t="shared" si="6"/>
        <v>44745</v>
      </c>
      <c r="C8" s="24">
        <f>IFERROR(__xludf.DUMMYFUNCTION("SUMPRODUCT((IMPORTRANGE(""17XjIPGwafStTRf_8bPPaoi2EFjHVy10_rRJ0uvy6YcU"",""M:M"")=B8)*1, IMPORTRANGE(""17XjIPGwafStTRf_8bPPaoi2EFjHVy10_rRJ0uvy6YcU"",""X:X""), IMPORTRANGE(""17XjIPGwafStTRf_8bPPaoi2EFjHVy10_rRJ0uvy6YcU"",""AK:AK"")) - SUMPRODUCT((IMPORTRA"&amp;"NGE(""17XjIPGwafStTRf_8bPPaoi2EFjHVy10_rRJ0uvy6YcU"",""M:M"")=B8)*1, IMPORTRANGE(""17XjIPGwafStTRf_8bPPaoi2EFjHVy10_rRJ0uvy6YcU"",""X:X""), IMPORTRANGE(""17XjIPGwafStTRf_8bPPaoi2EFjHVy10_rRJ0uvy6YcU"",""AL:AL""))"),511470.0)</f>
        <v>511470</v>
      </c>
      <c r="D8" s="24">
        <f>IFERROR(__xludf.DUMMYFUNCTION("SUMPRODUCT((IMPORTRANGE(""17XjIPGwafStTRf_8bPPaoi2EFjHVy10_rRJ0uvy6YcU"",""M:M"")=B8)*1, IMPORTRANGE(""17XjIPGwafStTRf_8bPPaoi2EFjHVy10_rRJ0uvy6YcU"",""X:X""), IMPORTRANGE(""17XjIPGwafStTRf_8bPPaoi2EFjHVy10_rRJ0uvy6YcU"",""AA:AA"")) + SUMPRODUCT((IMPORTRA"&amp;"NGE(""17XjIPGwafStTRf_8bPPaoi2EFjHVy10_rRJ0uvy6YcU"",""M:M"")=B8)*1, IMPORTRANGE(""17XjIPGwafStTRf_8bPPaoi2EFjHVy10_rRJ0uvy6YcU"",""X:X""), IMPORTRANGE(""17XjIPGwafStTRf_8bPPaoi2EFjHVy10_rRJ0uvy6YcU"",""AE:AE"")) + SUMPRODUCT((IMPORTRANGE(""17XjIPGwafStTR"&amp;"f_8bPPaoi2EFjHVy10_rRJ0uvy6YcU"",""M:M"")=B8)*1, IMPORTRANGE(""17XjIPGwafStTRf_8bPPaoi2EFjHVy10_rRJ0uvy6YcU"",""X:X""), IMPORTRANGE(""17XjIPGwafStTRf_8bPPaoi2EFjHVy10_rRJ0uvy6YcU"",""AF:AF""))"),283956.95828565274)</f>
        <v>283956.9583</v>
      </c>
      <c r="E8" s="24">
        <f>IFERROR(__xludf.DUMMYFUNCTION("SUMPRODUCT((IMPORTRANGE(""17XjIPGwafStTRf_8bPPaoi2EFjHVy10_rRJ0uvy6YcU"",""M:M"")=B8)*1, IMPORTRANGE(""17XjIPGwafStTRf_8bPPaoi2EFjHVy10_rRJ0uvy6YcU"",""X:X""), IMPORTRANGE(""17XjIPGwafStTRf_8bPPaoi2EFjHVy10_rRJ0uvy6YcU"",""AO:AO""))"),132069.9417143473)</f>
        <v>132069.9417</v>
      </c>
      <c r="F8" s="25">
        <f>IFERROR(__xludf.DUMMYFUNCTION("SUMPRODUCT((IMPORTRANGE(""17XjIPGwafStTRf_8bPPaoi2EFjHVy10_rRJ0uvy6YcU"",""M:M"")=B8)*1, IMPORTRANGE(""17XjIPGwafStTRf_8bPPaoi2EFjHVy10_rRJ0uvy6YcU"",""X:X""))"),137.0)</f>
        <v>137</v>
      </c>
      <c r="G8" s="26">
        <f>IFERROR(__xludf.DUMMYFUNCTION("COUNTIF(IMPORTRANGE(""17XjIPGwafStTRf_8bPPaoi2EFjHVy10_rRJ0uvy6YcU"",""M:M""), B8)"),19.0)</f>
        <v>19</v>
      </c>
      <c r="H8" s="27">
        <f t="shared" si="1"/>
        <v>7.210526316</v>
      </c>
      <c r="I8" s="28">
        <f t="shared" si="2"/>
        <v>0.2582163992</v>
      </c>
      <c r="J8" s="29">
        <f t="shared" si="3"/>
        <v>0.4651054953</v>
      </c>
      <c r="K8" s="30"/>
      <c r="L8" s="31" t="str">
        <f t="shared" si="4"/>
        <v/>
      </c>
      <c r="M8" s="31" t="str">
        <f t="shared" si="5"/>
        <v/>
      </c>
      <c r="N8" s="4"/>
    </row>
    <row r="9">
      <c r="A9" s="1"/>
      <c r="B9" s="23">
        <f t="shared" si="6"/>
        <v>44746</v>
      </c>
      <c r="C9" s="24">
        <f>IFERROR(__xludf.DUMMYFUNCTION("SUMPRODUCT((IMPORTRANGE(""17XjIPGwafStTRf_8bPPaoi2EFjHVy10_rRJ0uvy6YcU"",""M:M"")=B9)*1, IMPORTRANGE(""17XjIPGwafStTRf_8bPPaoi2EFjHVy10_rRJ0uvy6YcU"",""X:X""), IMPORTRANGE(""17XjIPGwafStTRf_8bPPaoi2EFjHVy10_rRJ0uvy6YcU"",""AK:AK"")) - SUMPRODUCT((IMPORTRA"&amp;"NGE(""17XjIPGwafStTRf_8bPPaoi2EFjHVy10_rRJ0uvy6YcU"",""M:M"")=B9)*1, IMPORTRANGE(""17XjIPGwafStTRf_8bPPaoi2EFjHVy10_rRJ0uvy6YcU"",""X:X""), IMPORTRANGE(""17XjIPGwafStTRf_8bPPaoi2EFjHVy10_rRJ0uvy6YcU"",""AL:AL""))"),1275281.0)</f>
        <v>1275281</v>
      </c>
      <c r="D9" s="24">
        <f>IFERROR(__xludf.DUMMYFUNCTION("SUMPRODUCT((IMPORTRANGE(""17XjIPGwafStTRf_8bPPaoi2EFjHVy10_rRJ0uvy6YcU"",""M:M"")=B9)*1, IMPORTRANGE(""17XjIPGwafStTRf_8bPPaoi2EFjHVy10_rRJ0uvy6YcU"",""X:X""), IMPORTRANGE(""17XjIPGwafStTRf_8bPPaoi2EFjHVy10_rRJ0uvy6YcU"",""AA:AA"")) + SUMPRODUCT((IMPORTRA"&amp;"NGE(""17XjIPGwafStTRf_8bPPaoi2EFjHVy10_rRJ0uvy6YcU"",""M:M"")=B9)*1, IMPORTRANGE(""17XjIPGwafStTRf_8bPPaoi2EFjHVy10_rRJ0uvy6YcU"",""X:X""), IMPORTRANGE(""17XjIPGwafStTRf_8bPPaoi2EFjHVy10_rRJ0uvy6YcU"",""AE:AE"")) + SUMPRODUCT((IMPORTRANGE(""17XjIPGwafStTR"&amp;"f_8bPPaoi2EFjHVy10_rRJ0uvy6YcU"",""M:M"")=B9)*1, IMPORTRANGE(""17XjIPGwafStTRf_8bPPaoi2EFjHVy10_rRJ0uvy6YcU"",""X:X""), IMPORTRANGE(""17XjIPGwafStTRf_8bPPaoi2EFjHVy10_rRJ0uvy6YcU"",""AF:AF""))"),539337.9864979679)</f>
        <v>539337.9865</v>
      </c>
      <c r="E9" s="24">
        <f>IFERROR(__xludf.DUMMYFUNCTION("SUMPRODUCT((IMPORTRANGE(""17XjIPGwafStTRf_8bPPaoi2EFjHVy10_rRJ0uvy6YcU"",""M:M"")=B9)*1, IMPORTRANGE(""17XjIPGwafStTRf_8bPPaoi2EFjHVy10_rRJ0uvy6YcU"",""X:X""), IMPORTRANGE(""17XjIPGwafStTRf_8bPPaoi2EFjHVy10_rRJ0uvy6YcU"",""AO:AO""))"),440343.5237584423)</f>
        <v>440343.5238</v>
      </c>
      <c r="F9" s="25">
        <f>IFERROR(__xludf.DUMMYFUNCTION("SUMPRODUCT((IMPORTRANGE(""17XjIPGwafStTRf_8bPPaoi2EFjHVy10_rRJ0uvy6YcU"",""M:M"")=B9)*1, IMPORTRANGE(""17XjIPGwafStTRf_8bPPaoi2EFjHVy10_rRJ0uvy6YcU"",""X:X""))"),540.0)</f>
        <v>540</v>
      </c>
      <c r="G9" s="26">
        <f>IFERROR(__xludf.DUMMYFUNCTION("COUNTIF(IMPORTRANGE(""17XjIPGwafStTRf_8bPPaoi2EFjHVy10_rRJ0uvy6YcU"",""M:M""), B9)"),43.0)</f>
        <v>43</v>
      </c>
      <c r="H9" s="27">
        <f t="shared" si="1"/>
        <v>12.55813953</v>
      </c>
      <c r="I9" s="28">
        <f t="shared" si="2"/>
        <v>0.3452913701</v>
      </c>
      <c r="J9" s="29">
        <f t="shared" si="3"/>
        <v>0.8164518999</v>
      </c>
      <c r="K9" s="32"/>
      <c r="L9" s="31" t="str">
        <f t="shared" si="4"/>
        <v/>
      </c>
      <c r="M9" s="31" t="str">
        <f t="shared" si="5"/>
        <v/>
      </c>
      <c r="N9" s="4"/>
    </row>
    <row r="10">
      <c r="A10" s="1"/>
      <c r="B10" s="23">
        <f t="shared" si="6"/>
        <v>44747</v>
      </c>
      <c r="C10" s="24">
        <f>IFERROR(__xludf.DUMMYFUNCTION("SUMPRODUCT((IMPORTRANGE(""17XjIPGwafStTRf_8bPPaoi2EFjHVy10_rRJ0uvy6YcU"",""M:M"")=B10)*1, IMPORTRANGE(""17XjIPGwafStTRf_8bPPaoi2EFjHVy10_rRJ0uvy6YcU"",""X:X""), IMPORTRANGE(""17XjIPGwafStTRf_8bPPaoi2EFjHVy10_rRJ0uvy6YcU"",""AK:AK"")) - SUMPRODUCT((IMPORTR"&amp;"ANGE(""17XjIPGwafStTRf_8bPPaoi2EFjHVy10_rRJ0uvy6YcU"",""M:M"")=B10)*1, IMPORTRANGE(""17XjIPGwafStTRf_8bPPaoi2EFjHVy10_rRJ0uvy6YcU"",""X:X""), IMPORTRANGE(""17XjIPGwafStTRf_8bPPaoi2EFjHVy10_rRJ0uvy6YcU"",""AL:AL""))"),596328.0)</f>
        <v>596328</v>
      </c>
      <c r="D10" s="24">
        <f>IFERROR(__xludf.DUMMYFUNCTION("SUMPRODUCT((IMPORTRANGE(""17XjIPGwafStTRf_8bPPaoi2EFjHVy10_rRJ0uvy6YcU"",""M:M"")=B10)*1, IMPORTRANGE(""17XjIPGwafStTRf_8bPPaoi2EFjHVy10_rRJ0uvy6YcU"",""X:X""), IMPORTRANGE(""17XjIPGwafStTRf_8bPPaoi2EFjHVy10_rRJ0uvy6YcU"",""AA:AA"")) + SUMPRODUCT((IMPORTR"&amp;"ANGE(""17XjIPGwafStTRf_8bPPaoi2EFjHVy10_rRJ0uvy6YcU"",""M:M"")=B10)*1, IMPORTRANGE(""17XjIPGwafStTRf_8bPPaoi2EFjHVy10_rRJ0uvy6YcU"",""X:X""), IMPORTRANGE(""17XjIPGwafStTRf_8bPPaoi2EFjHVy10_rRJ0uvy6YcU"",""AE:AE"")) + SUMPRODUCT((IMPORTRANGE(""17XjIPGwafSt"&amp;"TRf_8bPPaoi2EFjHVy10_rRJ0uvy6YcU"",""M:M"")=B10)*1, IMPORTRANGE(""17XjIPGwafStTRf_8bPPaoi2EFjHVy10_rRJ0uvy6YcU"",""X:X""), IMPORTRANGE(""17XjIPGwafStTRf_8bPPaoi2EFjHVy10_rRJ0uvy6YcU"",""AF:AF""))"),367395.93606613827)</f>
        <v>367395.9361</v>
      </c>
      <c r="E10" s="24">
        <f>IFERROR(__xludf.DUMMYFUNCTION("SUMPRODUCT((IMPORTRANGE(""17XjIPGwafStTRf_8bPPaoi2EFjHVy10_rRJ0uvy6YcU"",""M:M"")=B10)*1, IMPORTRANGE(""17XjIPGwafStTRf_8bPPaoi2EFjHVy10_rRJ0uvy6YcU"",""X:X""), IMPORTRANGE(""17XjIPGwafStTRf_8bPPaoi2EFjHVy10_rRJ0uvy6YcU"",""AO:AO""))"),138063.66393386168)</f>
        <v>138063.6639</v>
      </c>
      <c r="F10" s="25">
        <f>IFERROR(__xludf.DUMMYFUNCTION("SUMPRODUCT((IMPORTRANGE(""17XjIPGwafStTRf_8bPPaoi2EFjHVy10_rRJ0uvy6YcU"",""M:M"")=B10)*1, IMPORTRANGE(""17XjIPGwafStTRf_8bPPaoi2EFjHVy10_rRJ0uvy6YcU"",""X:X""))"),93.0)</f>
        <v>93</v>
      </c>
      <c r="G10" s="26">
        <f>IFERROR(__xludf.DUMMYFUNCTION("COUNTIF(IMPORTRANGE(""17XjIPGwafStTRf_8bPPaoi2EFjHVy10_rRJ0uvy6YcU"",""M:M""), B10)"),18.0)</f>
        <v>18</v>
      </c>
      <c r="H10" s="27">
        <f t="shared" si="1"/>
        <v>5.166666667</v>
      </c>
      <c r="I10" s="28">
        <f t="shared" si="2"/>
        <v>0.2315230275</v>
      </c>
      <c r="J10" s="29">
        <f t="shared" si="3"/>
        <v>0.3757898506</v>
      </c>
      <c r="K10" s="32"/>
      <c r="L10" s="31" t="str">
        <f t="shared" si="4"/>
        <v/>
      </c>
      <c r="M10" s="31" t="str">
        <f t="shared" si="5"/>
        <v/>
      </c>
      <c r="N10" s="4"/>
    </row>
    <row r="11">
      <c r="A11" s="1"/>
      <c r="B11" s="23">
        <f t="shared" si="6"/>
        <v>44748</v>
      </c>
      <c r="C11" s="24">
        <f>IFERROR(__xludf.DUMMYFUNCTION("SUMPRODUCT((IMPORTRANGE(""17XjIPGwafStTRf_8bPPaoi2EFjHVy10_rRJ0uvy6YcU"",""M:M"")=B11)*1, IMPORTRANGE(""17XjIPGwafStTRf_8bPPaoi2EFjHVy10_rRJ0uvy6YcU"",""X:X""), IMPORTRANGE(""17XjIPGwafStTRf_8bPPaoi2EFjHVy10_rRJ0uvy6YcU"",""AK:AK"")) - SUMPRODUCT((IMPORTR"&amp;"ANGE(""17XjIPGwafStTRf_8bPPaoi2EFjHVy10_rRJ0uvy6YcU"",""M:M"")=B11)*1, IMPORTRANGE(""17XjIPGwafStTRf_8bPPaoi2EFjHVy10_rRJ0uvy6YcU"",""X:X""), IMPORTRANGE(""17XjIPGwafStTRf_8bPPaoi2EFjHVy10_rRJ0uvy6YcU"",""AL:AL""))"),585209.0)</f>
        <v>585209</v>
      </c>
      <c r="D11" s="24">
        <f>IFERROR(__xludf.DUMMYFUNCTION("SUMPRODUCT((IMPORTRANGE(""17XjIPGwafStTRf_8bPPaoi2EFjHVy10_rRJ0uvy6YcU"",""M:M"")=B11)*1, IMPORTRANGE(""17XjIPGwafStTRf_8bPPaoi2EFjHVy10_rRJ0uvy6YcU"",""X:X""), IMPORTRANGE(""17XjIPGwafStTRf_8bPPaoi2EFjHVy10_rRJ0uvy6YcU"",""AA:AA"")) + SUMPRODUCT((IMPORTR"&amp;"ANGE(""17XjIPGwafStTRf_8bPPaoi2EFjHVy10_rRJ0uvy6YcU"",""M:M"")=B11)*1, IMPORTRANGE(""17XjIPGwafStTRf_8bPPaoi2EFjHVy10_rRJ0uvy6YcU"",""X:X""), IMPORTRANGE(""17XjIPGwafStTRf_8bPPaoi2EFjHVy10_rRJ0uvy6YcU"",""AE:AE"")) + SUMPRODUCT((IMPORTRANGE(""17XjIPGwafSt"&amp;"TRf_8bPPaoi2EFjHVy10_rRJ0uvy6YcU"",""M:M"")=B11)*1, IMPORTRANGE(""17XjIPGwafStTRf_8bPPaoi2EFjHVy10_rRJ0uvy6YcU"",""X:X""), IMPORTRANGE(""17XjIPGwafStTRf_8bPPaoi2EFjHVy10_rRJ0uvy6YcU"",""AF:AF""))"),292128.8165720854)</f>
        <v>292128.8166</v>
      </c>
      <c r="E11" s="24">
        <f>IFERROR(__xludf.DUMMYFUNCTION("SUMPRODUCT((IMPORTRANGE(""17XjIPGwafStTRf_8bPPaoi2EFjHVy10_rRJ0uvy6YcU"",""M:M"")=B11)*1, IMPORTRANGE(""17XjIPGwafStTRf_8bPPaoi2EFjHVy10_rRJ0uvy6YcU"",""X:X""), IMPORTRANGE(""17XjIPGwafStTRf_8bPPaoi2EFjHVy10_rRJ0uvy6YcU"",""AO:AO""))"),184340.28342791463)</f>
        <v>184340.2834</v>
      </c>
      <c r="F11" s="25">
        <f>IFERROR(__xludf.DUMMYFUNCTION("SUMPRODUCT((IMPORTRANGE(""17XjIPGwafStTRf_8bPPaoi2EFjHVy10_rRJ0uvy6YcU"",""M:M"")=B11)*1, IMPORTRANGE(""17XjIPGwafStTRf_8bPPaoi2EFjHVy10_rRJ0uvy6YcU"",""X:X""))"),137.0)</f>
        <v>137</v>
      </c>
      <c r="G11" s="26">
        <f>IFERROR(__xludf.DUMMYFUNCTION("COUNTIF(IMPORTRANGE(""17XjIPGwafStTRf_8bPPaoi2EFjHVy10_rRJ0uvy6YcU"",""M:M""), B11)"),18.0)</f>
        <v>18</v>
      </c>
      <c r="H11" s="27">
        <f t="shared" si="1"/>
        <v>7.611111111</v>
      </c>
      <c r="I11" s="28">
        <f t="shared" si="2"/>
        <v>0.3149990575</v>
      </c>
      <c r="J11" s="29">
        <f t="shared" si="3"/>
        <v>0.6310239626</v>
      </c>
      <c r="K11" s="30"/>
      <c r="L11" s="31" t="str">
        <f t="shared" si="4"/>
        <v/>
      </c>
      <c r="M11" s="31" t="str">
        <f t="shared" si="5"/>
        <v/>
      </c>
      <c r="N11" s="4"/>
    </row>
    <row r="12">
      <c r="A12" s="1"/>
      <c r="B12" s="23">
        <f t="shared" si="6"/>
        <v>44749</v>
      </c>
      <c r="C12" s="24">
        <f>IFERROR(__xludf.DUMMYFUNCTION("SUMPRODUCT((IMPORTRANGE(""17XjIPGwafStTRf_8bPPaoi2EFjHVy10_rRJ0uvy6YcU"",""M:M"")=B12)*1, IMPORTRANGE(""17XjIPGwafStTRf_8bPPaoi2EFjHVy10_rRJ0uvy6YcU"",""X:X""), IMPORTRANGE(""17XjIPGwafStTRf_8bPPaoi2EFjHVy10_rRJ0uvy6YcU"",""AK:AK"")) - SUMPRODUCT((IMPORTR"&amp;"ANGE(""17XjIPGwafStTRf_8bPPaoi2EFjHVy10_rRJ0uvy6YcU"",""M:M"")=B12)*1, IMPORTRANGE(""17XjIPGwafStTRf_8bPPaoi2EFjHVy10_rRJ0uvy6YcU"",""X:X""), IMPORTRANGE(""17XjIPGwafStTRf_8bPPaoi2EFjHVy10_rRJ0uvy6YcU"",""AL:AL""))"),1240595.0)</f>
        <v>1240595</v>
      </c>
      <c r="D12" s="24">
        <f>IFERROR(__xludf.DUMMYFUNCTION("SUMPRODUCT((IMPORTRANGE(""17XjIPGwafStTRf_8bPPaoi2EFjHVy10_rRJ0uvy6YcU"",""M:M"")=B12)*1, IMPORTRANGE(""17XjIPGwafStTRf_8bPPaoi2EFjHVy10_rRJ0uvy6YcU"",""X:X""), IMPORTRANGE(""17XjIPGwafStTRf_8bPPaoi2EFjHVy10_rRJ0uvy6YcU"",""AA:AA"")) + SUMPRODUCT((IMPORTR"&amp;"ANGE(""17XjIPGwafStTRf_8bPPaoi2EFjHVy10_rRJ0uvy6YcU"",""M:M"")=B12)*1, IMPORTRANGE(""17XjIPGwafStTRf_8bPPaoi2EFjHVy10_rRJ0uvy6YcU"",""X:X""), IMPORTRANGE(""17XjIPGwafStTRf_8bPPaoi2EFjHVy10_rRJ0uvy6YcU"",""AE:AE"")) + SUMPRODUCT((IMPORTRANGE(""17XjIPGwafSt"&amp;"TRf_8bPPaoi2EFjHVy10_rRJ0uvy6YcU"",""M:M"")=B12)*1, IMPORTRANGE(""17XjIPGwafStTRf_8bPPaoi2EFjHVy10_rRJ0uvy6YcU"",""X:X""), IMPORTRANGE(""17XjIPGwafStTRf_8bPPaoi2EFjHVy10_rRJ0uvy6YcU"",""AF:AF""))"),756770.4290853573)</f>
        <v>756770.4291</v>
      </c>
      <c r="E12" s="24">
        <f>IFERROR(__xludf.DUMMYFUNCTION("SUMPRODUCT((IMPORTRANGE(""17XjIPGwafStTRf_8bPPaoi2EFjHVy10_rRJ0uvy6YcU"",""M:M"")=B12)*1, IMPORTRANGE(""17XjIPGwafStTRf_8bPPaoi2EFjHVy10_rRJ0uvy6YcU"",""X:X""), IMPORTRANGE(""17XjIPGwafStTRf_8bPPaoi2EFjHVy10_rRJ0uvy6YcU"",""AO:AO""))"),300869.6709146428)</f>
        <v>300869.6709</v>
      </c>
      <c r="F12" s="25">
        <f>IFERROR(__xludf.DUMMYFUNCTION("SUMPRODUCT((IMPORTRANGE(""17XjIPGwafStTRf_8bPPaoi2EFjHVy10_rRJ0uvy6YcU"",""M:M"")=B12)*1, IMPORTRANGE(""17XjIPGwafStTRf_8bPPaoi2EFjHVy10_rRJ0uvy6YcU"",""X:X""))"),191.0)</f>
        <v>191</v>
      </c>
      <c r="G12" s="26">
        <f>IFERROR(__xludf.DUMMYFUNCTION("COUNTIF(IMPORTRANGE(""17XjIPGwafStTRf_8bPPaoi2EFjHVy10_rRJ0uvy6YcU"",""M:M""), B12)"),19.0)</f>
        <v>19</v>
      </c>
      <c r="H12" s="27">
        <f t="shared" si="1"/>
        <v>10.05263158</v>
      </c>
      <c r="I12" s="28">
        <f t="shared" si="2"/>
        <v>0.2425204607</v>
      </c>
      <c r="J12" s="29">
        <f t="shared" si="3"/>
        <v>0.3975705965</v>
      </c>
      <c r="K12" s="32"/>
      <c r="L12" s="31" t="str">
        <f t="shared" si="4"/>
        <v/>
      </c>
      <c r="M12" s="31" t="str">
        <f t="shared" si="5"/>
        <v/>
      </c>
      <c r="N12" s="4"/>
    </row>
    <row r="13">
      <c r="A13" s="1"/>
      <c r="B13" s="23">
        <f t="shared" si="6"/>
        <v>44750</v>
      </c>
      <c r="C13" s="24">
        <f>IFERROR(__xludf.DUMMYFUNCTION("SUMPRODUCT((IMPORTRANGE(""17XjIPGwafStTRf_8bPPaoi2EFjHVy10_rRJ0uvy6YcU"",""M:M"")=B13)*1, IMPORTRANGE(""17XjIPGwafStTRf_8bPPaoi2EFjHVy10_rRJ0uvy6YcU"",""X:X""), IMPORTRANGE(""17XjIPGwafStTRf_8bPPaoi2EFjHVy10_rRJ0uvy6YcU"",""AK:AK"")) - SUMPRODUCT((IMPORTR"&amp;"ANGE(""17XjIPGwafStTRf_8bPPaoi2EFjHVy10_rRJ0uvy6YcU"",""M:M"")=B13)*1, IMPORTRANGE(""17XjIPGwafStTRf_8bPPaoi2EFjHVy10_rRJ0uvy6YcU"",""X:X""), IMPORTRANGE(""17XjIPGwafStTRf_8bPPaoi2EFjHVy10_rRJ0uvy6YcU"",""AL:AL""))"),180867.75)</f>
        <v>180867.75</v>
      </c>
      <c r="D13" s="24">
        <f>IFERROR(__xludf.DUMMYFUNCTION("SUMPRODUCT((IMPORTRANGE(""17XjIPGwafStTRf_8bPPaoi2EFjHVy10_rRJ0uvy6YcU"",""M:M"")=B13)*1, IMPORTRANGE(""17XjIPGwafStTRf_8bPPaoi2EFjHVy10_rRJ0uvy6YcU"",""X:X""), IMPORTRANGE(""17XjIPGwafStTRf_8bPPaoi2EFjHVy10_rRJ0uvy6YcU"",""AA:AA"")) + SUMPRODUCT((IMPORTR"&amp;"ANGE(""17XjIPGwafStTRf_8bPPaoi2EFjHVy10_rRJ0uvy6YcU"",""M:M"")=B13)*1, IMPORTRANGE(""17XjIPGwafStTRf_8bPPaoi2EFjHVy10_rRJ0uvy6YcU"",""X:X""), IMPORTRANGE(""17XjIPGwafStTRf_8bPPaoi2EFjHVy10_rRJ0uvy6YcU"",""AE:AE"")) + SUMPRODUCT((IMPORTRANGE(""17XjIPGwafSt"&amp;"TRf_8bPPaoi2EFjHVy10_rRJ0uvy6YcU"",""M:M"")=B13)*1, IMPORTRANGE(""17XjIPGwafStTRf_8bPPaoi2EFjHVy10_rRJ0uvy6YcU"",""X:X""), IMPORTRANGE(""17XjIPGwafStTRf_8bPPaoi2EFjHVy10_rRJ0uvy6YcU"",""AF:AF""))"),109338.57402920203)</f>
        <v>109338.574</v>
      </c>
      <c r="E13" s="24">
        <f>IFERROR(__xludf.DUMMYFUNCTION("SUMPRODUCT((IMPORTRANGE(""17XjIPGwafStTRf_8bPPaoi2EFjHVy10_rRJ0uvy6YcU"",""M:M"")=B13)*1, IMPORTRANGE(""17XjIPGwafStTRf_8bPPaoi2EFjHVy10_rRJ0uvy6YcU"",""X:X""), IMPORTRANGE(""17XjIPGwafStTRf_8bPPaoi2EFjHVy10_rRJ0uvy6YcU"",""AO:AO""))"),43102.32597079797)</f>
        <v>43102.32597</v>
      </c>
      <c r="F13" s="25">
        <f>IFERROR(__xludf.DUMMYFUNCTION("SUMPRODUCT((IMPORTRANGE(""17XjIPGwafStTRf_8bPPaoi2EFjHVy10_rRJ0uvy6YcU"",""M:M"")=B13)*1, IMPORTRANGE(""17XjIPGwafStTRf_8bPPaoi2EFjHVy10_rRJ0uvy6YcU"",""X:X""))"),36.0)</f>
        <v>36</v>
      </c>
      <c r="G13" s="26">
        <f>IFERROR(__xludf.DUMMYFUNCTION("COUNTIF(IMPORTRANGE(""17XjIPGwafStTRf_8bPPaoi2EFjHVy10_rRJ0uvy6YcU"",""M:M""), B13)"),16.0)</f>
        <v>16</v>
      </c>
      <c r="H13" s="27">
        <f t="shared" si="1"/>
        <v>2.25</v>
      </c>
      <c r="I13" s="28">
        <f t="shared" si="2"/>
        <v>0.2383085208</v>
      </c>
      <c r="J13" s="29">
        <f t="shared" si="3"/>
        <v>0.3942096955</v>
      </c>
      <c r="K13" s="32"/>
      <c r="L13" s="31" t="str">
        <f t="shared" si="4"/>
        <v/>
      </c>
      <c r="M13" s="31" t="str">
        <f t="shared" si="5"/>
        <v/>
      </c>
      <c r="N13" s="4"/>
    </row>
    <row r="14">
      <c r="A14" s="1"/>
      <c r="B14" s="23">
        <f t="shared" si="6"/>
        <v>44751</v>
      </c>
      <c r="C14" s="24">
        <f>IFERROR(__xludf.DUMMYFUNCTION("SUMPRODUCT((IMPORTRANGE(""17XjIPGwafStTRf_8bPPaoi2EFjHVy10_rRJ0uvy6YcU"",""M:M"")=B14)*1, IMPORTRANGE(""17XjIPGwafStTRf_8bPPaoi2EFjHVy10_rRJ0uvy6YcU"",""X:X""), IMPORTRANGE(""17XjIPGwafStTRf_8bPPaoi2EFjHVy10_rRJ0uvy6YcU"",""AK:AK"")) - SUMPRODUCT((IMPORTR"&amp;"ANGE(""17XjIPGwafStTRf_8bPPaoi2EFjHVy10_rRJ0uvy6YcU"",""M:M"")=B14)*1, IMPORTRANGE(""17XjIPGwafStTRf_8bPPaoi2EFjHVy10_rRJ0uvy6YcU"",""X:X""), IMPORTRANGE(""17XjIPGwafStTRf_8bPPaoi2EFjHVy10_rRJ0uvy6YcU"",""AL:AL""))"),0.0)</f>
        <v>0</v>
      </c>
      <c r="D14" s="24">
        <f>IFERROR(__xludf.DUMMYFUNCTION("SUMPRODUCT((IMPORTRANGE(""17XjIPGwafStTRf_8bPPaoi2EFjHVy10_rRJ0uvy6YcU"",""M:M"")=B14)*1, IMPORTRANGE(""17XjIPGwafStTRf_8bPPaoi2EFjHVy10_rRJ0uvy6YcU"",""X:X""), IMPORTRANGE(""17XjIPGwafStTRf_8bPPaoi2EFjHVy10_rRJ0uvy6YcU"",""AA:AA"")) + SUMPRODUCT((IMPORTR"&amp;"ANGE(""17XjIPGwafStTRf_8bPPaoi2EFjHVy10_rRJ0uvy6YcU"",""M:M"")=B14)*1, IMPORTRANGE(""17XjIPGwafStTRf_8bPPaoi2EFjHVy10_rRJ0uvy6YcU"",""X:X""), IMPORTRANGE(""17XjIPGwafStTRf_8bPPaoi2EFjHVy10_rRJ0uvy6YcU"",""AE:AE"")) + SUMPRODUCT((IMPORTRANGE(""17XjIPGwafSt"&amp;"TRf_8bPPaoi2EFjHVy10_rRJ0uvy6YcU"",""M:M"")=B14)*1, IMPORTRANGE(""17XjIPGwafStTRf_8bPPaoi2EFjHVy10_rRJ0uvy6YcU"",""X:X""), IMPORTRANGE(""17XjIPGwafStTRf_8bPPaoi2EFjHVy10_rRJ0uvy6YcU"",""AF:AF""))"),0.0)</f>
        <v>0</v>
      </c>
      <c r="E14" s="24">
        <f>IFERROR(__xludf.DUMMYFUNCTION("SUMPRODUCT((IMPORTRANGE(""17XjIPGwafStTRf_8bPPaoi2EFjHVy10_rRJ0uvy6YcU"",""M:M"")=B14)*1, IMPORTRANGE(""17XjIPGwafStTRf_8bPPaoi2EFjHVy10_rRJ0uvy6YcU"",""X:X""), IMPORTRANGE(""17XjIPGwafStTRf_8bPPaoi2EFjHVy10_rRJ0uvy6YcU"",""AO:AO""))"),0.0)</f>
        <v>0</v>
      </c>
      <c r="F14" s="25">
        <f>IFERROR(__xludf.DUMMYFUNCTION("SUMPRODUCT((IMPORTRANGE(""17XjIPGwafStTRf_8bPPaoi2EFjHVy10_rRJ0uvy6YcU"",""M:M"")=B14)*1, IMPORTRANGE(""17XjIPGwafStTRf_8bPPaoi2EFjHVy10_rRJ0uvy6YcU"",""X:X""))"),0.0)</f>
        <v>0</v>
      </c>
      <c r="G14" s="26">
        <f>IFERROR(__xludf.DUMMYFUNCTION("COUNTIF(IMPORTRANGE(""17XjIPGwafStTRf_8bPPaoi2EFjHVy10_rRJ0uvy6YcU"",""M:M""), B14)"),0.0)</f>
        <v>0</v>
      </c>
      <c r="H14" s="27" t="str">
        <f t="shared" si="1"/>
        <v/>
      </c>
      <c r="I14" s="28" t="str">
        <f t="shared" si="2"/>
        <v/>
      </c>
      <c r="J14" s="29" t="str">
        <f t="shared" si="3"/>
        <v/>
      </c>
      <c r="K14" s="32"/>
      <c r="L14" s="31" t="str">
        <f t="shared" si="4"/>
        <v/>
      </c>
      <c r="M14" s="31" t="str">
        <f t="shared" si="5"/>
        <v/>
      </c>
      <c r="N14" s="4"/>
    </row>
    <row r="15">
      <c r="A15" s="1"/>
      <c r="B15" s="23">
        <f t="shared" si="6"/>
        <v>44752</v>
      </c>
      <c r="C15" s="24">
        <f>IFERROR(__xludf.DUMMYFUNCTION("SUMPRODUCT((IMPORTRANGE(""17XjIPGwafStTRf_8bPPaoi2EFjHVy10_rRJ0uvy6YcU"",""M:M"")=B15)*1, IMPORTRANGE(""17XjIPGwafStTRf_8bPPaoi2EFjHVy10_rRJ0uvy6YcU"",""X:X""), IMPORTRANGE(""17XjIPGwafStTRf_8bPPaoi2EFjHVy10_rRJ0uvy6YcU"",""AK:AK"")) - SUMPRODUCT((IMPORTR"&amp;"ANGE(""17XjIPGwafStTRf_8bPPaoi2EFjHVy10_rRJ0uvy6YcU"",""M:M"")=B15)*1, IMPORTRANGE(""17XjIPGwafStTRf_8bPPaoi2EFjHVy10_rRJ0uvy6YcU"",""X:X""), IMPORTRANGE(""17XjIPGwafStTRf_8bPPaoi2EFjHVy10_rRJ0uvy6YcU"",""AL:AL""))"),1676189.0)</f>
        <v>1676189</v>
      </c>
      <c r="D15" s="24">
        <f>IFERROR(__xludf.DUMMYFUNCTION("SUMPRODUCT((IMPORTRANGE(""17XjIPGwafStTRf_8bPPaoi2EFjHVy10_rRJ0uvy6YcU"",""M:M"")=B15)*1, IMPORTRANGE(""17XjIPGwafStTRf_8bPPaoi2EFjHVy10_rRJ0uvy6YcU"",""X:X""), IMPORTRANGE(""17XjIPGwafStTRf_8bPPaoi2EFjHVy10_rRJ0uvy6YcU"",""AA:AA"")) + SUMPRODUCT((IMPORTR"&amp;"ANGE(""17XjIPGwafStTRf_8bPPaoi2EFjHVy10_rRJ0uvy6YcU"",""M:M"")=B15)*1, IMPORTRANGE(""17XjIPGwafStTRf_8bPPaoi2EFjHVy10_rRJ0uvy6YcU"",""X:X""), IMPORTRANGE(""17XjIPGwafStTRf_8bPPaoi2EFjHVy10_rRJ0uvy6YcU"",""AE:AE"")) + SUMPRODUCT((IMPORTRANGE(""17XjIPGwafSt"&amp;"TRf_8bPPaoi2EFjHVy10_rRJ0uvy6YcU"",""M:M"")=B15)*1, IMPORTRANGE(""17XjIPGwafStTRf_8bPPaoi2EFjHVy10_rRJ0uvy6YcU"",""X:X""), IMPORTRANGE(""17XjIPGwafStTRf_8bPPaoi2EFjHVy10_rRJ0uvy6YcU"",""AF:AF""))"),1046042.0169936806)</f>
        <v>1046042.017</v>
      </c>
      <c r="E15" s="24">
        <f>IFERROR(__xludf.DUMMYFUNCTION("SUMPRODUCT((IMPORTRANGE(""17XjIPGwafStTRf_8bPPaoi2EFjHVy10_rRJ0uvy6YcU"",""M:M"")=B15)*1, IMPORTRANGE(""17XjIPGwafStTRf_8bPPaoi2EFjHVy10_rRJ0uvy6YcU"",""X:X""), IMPORTRANGE(""17XjIPGwafStTRf_8bPPaoi2EFjHVy10_rRJ0uvy6YcU"",""AO:AO""))"),384077.3530063194)</f>
        <v>384077.353</v>
      </c>
      <c r="F15" s="25">
        <f>IFERROR(__xludf.DUMMYFUNCTION("SUMPRODUCT((IMPORTRANGE(""17XjIPGwafStTRf_8bPPaoi2EFjHVy10_rRJ0uvy6YcU"",""M:M"")=B15)*1, IMPORTRANGE(""17XjIPGwafStTRf_8bPPaoi2EFjHVy10_rRJ0uvy6YcU"",""X:X""))"),220.0)</f>
        <v>220</v>
      </c>
      <c r="G15" s="26">
        <f>IFERROR(__xludf.DUMMYFUNCTION("COUNTIF(IMPORTRANGE(""17XjIPGwafStTRf_8bPPaoi2EFjHVy10_rRJ0uvy6YcU"",""M:M""), B15)"),42.0)</f>
        <v>42</v>
      </c>
      <c r="H15" s="27">
        <f t="shared" si="1"/>
        <v>5.238095238</v>
      </c>
      <c r="I15" s="28">
        <f t="shared" si="2"/>
        <v>0.229137259</v>
      </c>
      <c r="J15" s="29">
        <f t="shared" si="3"/>
        <v>0.3671720129</v>
      </c>
      <c r="K15" s="30"/>
      <c r="L15" s="31" t="str">
        <f t="shared" si="4"/>
        <v/>
      </c>
      <c r="M15" s="31" t="str">
        <f t="shared" si="5"/>
        <v/>
      </c>
      <c r="N15" s="4"/>
    </row>
    <row r="16">
      <c r="A16" s="1"/>
      <c r="B16" s="23">
        <f t="shared" si="6"/>
        <v>44753</v>
      </c>
      <c r="C16" s="24">
        <f>IFERROR(__xludf.DUMMYFUNCTION("SUMPRODUCT((IMPORTRANGE(""17XjIPGwafStTRf_8bPPaoi2EFjHVy10_rRJ0uvy6YcU"",""M:M"")=B16)*1, IMPORTRANGE(""17XjIPGwafStTRf_8bPPaoi2EFjHVy10_rRJ0uvy6YcU"",""X:X""), IMPORTRANGE(""17XjIPGwafStTRf_8bPPaoi2EFjHVy10_rRJ0uvy6YcU"",""AK:AK"")) - SUMPRODUCT((IMPORTR"&amp;"ANGE(""17XjIPGwafStTRf_8bPPaoi2EFjHVy10_rRJ0uvy6YcU"",""M:M"")=B16)*1, IMPORTRANGE(""17XjIPGwafStTRf_8bPPaoi2EFjHVy10_rRJ0uvy6YcU"",""X:X""), IMPORTRANGE(""17XjIPGwafStTRf_8bPPaoi2EFjHVy10_rRJ0uvy6YcU"",""AL:AL""))"),522399.0)</f>
        <v>522399</v>
      </c>
      <c r="D16" s="24">
        <f>IFERROR(__xludf.DUMMYFUNCTION("SUMPRODUCT((IMPORTRANGE(""17XjIPGwafStTRf_8bPPaoi2EFjHVy10_rRJ0uvy6YcU"",""M:M"")=B16)*1, IMPORTRANGE(""17XjIPGwafStTRf_8bPPaoi2EFjHVy10_rRJ0uvy6YcU"",""X:X""), IMPORTRANGE(""17XjIPGwafStTRf_8bPPaoi2EFjHVy10_rRJ0uvy6YcU"",""AA:AA"")) + SUMPRODUCT((IMPORTR"&amp;"ANGE(""17XjIPGwafStTRf_8bPPaoi2EFjHVy10_rRJ0uvy6YcU"",""M:M"")=B16)*1, IMPORTRANGE(""17XjIPGwafStTRf_8bPPaoi2EFjHVy10_rRJ0uvy6YcU"",""X:X""), IMPORTRANGE(""17XjIPGwafStTRf_8bPPaoi2EFjHVy10_rRJ0uvy6YcU"",""AE:AE"")) + SUMPRODUCT((IMPORTRANGE(""17XjIPGwafSt"&amp;"TRf_8bPPaoi2EFjHVy10_rRJ0uvy6YcU"",""M:M"")=B16)*1, IMPORTRANGE(""17XjIPGwafStTRf_8bPPaoi2EFjHVy10_rRJ0uvy6YcU"",""X:X""), IMPORTRANGE(""17XjIPGwafStTRf_8bPPaoi2EFjHVy10_rRJ0uvy6YcU"",""AF:AF""))"),313491.2447075385)</f>
        <v>313491.2447</v>
      </c>
      <c r="E16" s="24">
        <f>IFERROR(__xludf.DUMMYFUNCTION("SUMPRODUCT((IMPORTRANGE(""17XjIPGwafStTRf_8bPPaoi2EFjHVy10_rRJ0uvy6YcU"",""M:M"")=B16)*1, IMPORTRANGE(""17XjIPGwafStTRf_8bPPaoi2EFjHVy10_rRJ0uvy6YcU"",""X:X""), IMPORTRANGE(""17XjIPGwafStTRf_8bPPaoi2EFjHVy10_rRJ0uvy6YcU"",""AO:AO""))"),168417.85529246152)</f>
        <v>168417.8553</v>
      </c>
      <c r="F16" s="25">
        <f>IFERROR(__xludf.DUMMYFUNCTION("SUMPRODUCT((IMPORTRANGE(""17XjIPGwafStTRf_8bPPaoi2EFjHVy10_rRJ0uvy6YcU"",""M:M"")=B16)*1, IMPORTRANGE(""17XjIPGwafStTRf_8bPPaoi2EFjHVy10_rRJ0uvy6YcU"",""X:X""))"),120.0)</f>
        <v>120</v>
      </c>
      <c r="G16" s="26">
        <f>IFERROR(__xludf.DUMMYFUNCTION("COUNTIF(IMPORTRANGE(""17XjIPGwafStTRf_8bPPaoi2EFjHVy10_rRJ0uvy6YcU"",""M:M""), B16)"),30.0)</f>
        <v>30</v>
      </c>
      <c r="H16" s="27">
        <f t="shared" si="1"/>
        <v>4</v>
      </c>
      <c r="I16" s="28">
        <f t="shared" si="2"/>
        <v>0.3223931426</v>
      </c>
      <c r="J16" s="29">
        <f t="shared" si="3"/>
        <v>0.5372330428</v>
      </c>
      <c r="K16" s="32"/>
      <c r="L16" s="31" t="str">
        <f t="shared" si="4"/>
        <v/>
      </c>
      <c r="M16" s="31" t="str">
        <f t="shared" si="5"/>
        <v/>
      </c>
      <c r="N16" s="4"/>
    </row>
    <row r="17">
      <c r="A17" s="1"/>
      <c r="B17" s="23">
        <f t="shared" si="6"/>
        <v>44754</v>
      </c>
      <c r="C17" s="24">
        <f>IFERROR(__xludf.DUMMYFUNCTION("SUMPRODUCT((IMPORTRANGE(""17XjIPGwafStTRf_8bPPaoi2EFjHVy10_rRJ0uvy6YcU"",""M:M"")=B17)*1, IMPORTRANGE(""17XjIPGwafStTRf_8bPPaoi2EFjHVy10_rRJ0uvy6YcU"",""X:X""), IMPORTRANGE(""17XjIPGwafStTRf_8bPPaoi2EFjHVy10_rRJ0uvy6YcU"",""AK:AK"")) - SUMPRODUCT((IMPORTR"&amp;"ANGE(""17XjIPGwafStTRf_8bPPaoi2EFjHVy10_rRJ0uvy6YcU"",""M:M"")=B17)*1, IMPORTRANGE(""17XjIPGwafStTRf_8bPPaoi2EFjHVy10_rRJ0uvy6YcU"",""X:X""), IMPORTRANGE(""17XjIPGwafStTRf_8bPPaoi2EFjHVy10_rRJ0uvy6YcU"",""AL:AL""))"),1086744.0)</f>
        <v>1086744</v>
      </c>
      <c r="D17" s="24">
        <f>IFERROR(__xludf.DUMMYFUNCTION("SUMPRODUCT((IMPORTRANGE(""17XjIPGwafStTRf_8bPPaoi2EFjHVy10_rRJ0uvy6YcU"",""M:M"")=B17)*1, IMPORTRANGE(""17XjIPGwafStTRf_8bPPaoi2EFjHVy10_rRJ0uvy6YcU"",""X:X""), IMPORTRANGE(""17XjIPGwafStTRf_8bPPaoi2EFjHVy10_rRJ0uvy6YcU"",""AA:AA"")) + SUMPRODUCT((IMPORTR"&amp;"ANGE(""17XjIPGwafStTRf_8bPPaoi2EFjHVy10_rRJ0uvy6YcU"",""M:M"")=B17)*1, IMPORTRANGE(""17XjIPGwafStTRf_8bPPaoi2EFjHVy10_rRJ0uvy6YcU"",""X:X""), IMPORTRANGE(""17XjIPGwafStTRf_8bPPaoi2EFjHVy10_rRJ0uvy6YcU"",""AE:AE"")) + SUMPRODUCT((IMPORTRANGE(""17XjIPGwafSt"&amp;"TRf_8bPPaoi2EFjHVy10_rRJ0uvy6YcU"",""M:M"")=B17)*1, IMPORTRANGE(""17XjIPGwafStTRf_8bPPaoi2EFjHVy10_rRJ0uvy6YcU"",""X:X""), IMPORTRANGE(""17XjIPGwafStTRf_8bPPaoi2EFjHVy10_rRJ0uvy6YcU"",""AF:AF""))"),424272.60337406874)</f>
        <v>424272.6034</v>
      </c>
      <c r="E17" s="24">
        <f>IFERROR(__xludf.DUMMYFUNCTION("SUMPRODUCT((IMPORTRANGE(""17XjIPGwafStTRf_8bPPaoi2EFjHVy10_rRJ0uvy6YcU"",""M:M"")=B17)*1, IMPORTRANGE(""17XjIPGwafStTRf_8bPPaoi2EFjHVy10_rRJ0uvy6YcU"",""X:X""), IMPORTRANGE(""17XjIPGwafStTRf_8bPPaoi2EFjHVy10_rRJ0uvy6YcU"",""AO:AO""))"),403757.55553586554)</f>
        <v>403757.5555</v>
      </c>
      <c r="F17" s="25">
        <f>IFERROR(__xludf.DUMMYFUNCTION("SUMPRODUCT((IMPORTRANGE(""17XjIPGwafStTRf_8bPPaoi2EFjHVy10_rRJ0uvy6YcU"",""M:M"")=B17)*1, IMPORTRANGE(""17XjIPGwafStTRf_8bPPaoi2EFjHVy10_rRJ0uvy6YcU"",""X:X""))"),289.0)</f>
        <v>289</v>
      </c>
      <c r="G17" s="26">
        <f>IFERROR(__xludf.DUMMYFUNCTION("COUNTIF(IMPORTRANGE(""17XjIPGwafStTRf_8bPPaoi2EFjHVy10_rRJ0uvy6YcU"",""M:M""), B17)"),27.0)</f>
        <v>27</v>
      </c>
      <c r="H17" s="27">
        <f t="shared" si="1"/>
        <v>10.7037037</v>
      </c>
      <c r="I17" s="28">
        <f t="shared" si="2"/>
        <v>0.3715295926</v>
      </c>
      <c r="J17" s="29">
        <f t="shared" si="3"/>
        <v>0.9516465412</v>
      </c>
      <c r="K17" s="32"/>
      <c r="L17" s="31" t="str">
        <f t="shared" si="4"/>
        <v/>
      </c>
      <c r="M17" s="31" t="str">
        <f t="shared" si="5"/>
        <v/>
      </c>
      <c r="N17" s="4"/>
    </row>
    <row r="18">
      <c r="A18" s="1"/>
      <c r="B18" s="23">
        <f t="shared" si="6"/>
        <v>44755</v>
      </c>
      <c r="C18" s="24">
        <f>IFERROR(__xludf.DUMMYFUNCTION("SUMPRODUCT((IMPORTRANGE(""17XjIPGwafStTRf_8bPPaoi2EFjHVy10_rRJ0uvy6YcU"",""M:M"")=B18)*1, IMPORTRANGE(""17XjIPGwafStTRf_8bPPaoi2EFjHVy10_rRJ0uvy6YcU"",""X:X""), IMPORTRANGE(""17XjIPGwafStTRf_8bPPaoi2EFjHVy10_rRJ0uvy6YcU"",""AK:AK"")) - SUMPRODUCT((IMPORTR"&amp;"ANGE(""17XjIPGwafStTRf_8bPPaoi2EFjHVy10_rRJ0uvy6YcU"",""M:M"")=B18)*1, IMPORTRANGE(""17XjIPGwafStTRf_8bPPaoi2EFjHVy10_rRJ0uvy6YcU"",""X:X""), IMPORTRANGE(""17XjIPGwafStTRf_8bPPaoi2EFjHVy10_rRJ0uvy6YcU"",""AL:AL""))"),562327.29)</f>
        <v>562327.29</v>
      </c>
      <c r="D18" s="24">
        <f>IFERROR(__xludf.DUMMYFUNCTION("SUMPRODUCT((IMPORTRANGE(""17XjIPGwafStTRf_8bPPaoi2EFjHVy10_rRJ0uvy6YcU"",""M:M"")=B18)*1, IMPORTRANGE(""17XjIPGwafStTRf_8bPPaoi2EFjHVy10_rRJ0uvy6YcU"",""X:X""), IMPORTRANGE(""17XjIPGwafStTRf_8bPPaoi2EFjHVy10_rRJ0uvy6YcU"",""AA:AA"")) + SUMPRODUCT((IMPORTR"&amp;"ANGE(""17XjIPGwafStTRf_8bPPaoi2EFjHVy10_rRJ0uvy6YcU"",""M:M"")=B18)*1, IMPORTRANGE(""17XjIPGwafStTRf_8bPPaoi2EFjHVy10_rRJ0uvy6YcU"",""X:X""), IMPORTRANGE(""17XjIPGwafStTRf_8bPPaoi2EFjHVy10_rRJ0uvy6YcU"",""AE:AE"")) + SUMPRODUCT((IMPORTRANGE(""17XjIPGwafSt"&amp;"TRf_8bPPaoi2EFjHVy10_rRJ0uvy6YcU"",""M:M"")=B18)*1, IMPORTRANGE(""17XjIPGwafStTRf_8bPPaoi2EFjHVy10_rRJ0uvy6YcU"",""X:X""), IMPORTRANGE(""17XjIPGwafStTRf_8bPPaoi2EFjHVy10_rRJ0uvy6YcU"",""AF:AF""))"),261688.04098050867)</f>
        <v>261688.041</v>
      </c>
      <c r="E18" s="24">
        <f>IFERROR(__xludf.DUMMYFUNCTION("SUMPRODUCT((IMPORTRANGE(""17XjIPGwafStTRf_8bPPaoi2EFjHVy10_rRJ0uvy6YcU"",""M:M"")=B18)*1, IMPORTRANGE(""17XjIPGwafStTRf_8bPPaoi2EFjHVy10_rRJ0uvy6YcU"",""X:X""), IMPORTRANGE(""17XjIPGwafStTRf_8bPPaoi2EFjHVy10_rRJ0uvy6YcU"",""AO:AO""))"),191580.34901949135)</f>
        <v>191580.349</v>
      </c>
      <c r="F18" s="25">
        <f>IFERROR(__xludf.DUMMYFUNCTION("SUMPRODUCT((IMPORTRANGE(""17XjIPGwafStTRf_8bPPaoi2EFjHVy10_rRJ0uvy6YcU"",""M:M"")=B18)*1, IMPORTRANGE(""17XjIPGwafStTRf_8bPPaoi2EFjHVy10_rRJ0uvy6YcU"",""X:X""))"),146.0)</f>
        <v>146</v>
      </c>
      <c r="G18" s="26">
        <f>IFERROR(__xludf.DUMMYFUNCTION("COUNTIF(IMPORTRANGE(""17XjIPGwafStTRf_8bPPaoi2EFjHVy10_rRJ0uvy6YcU"",""M:M""), B18)"),34.0)</f>
        <v>34</v>
      </c>
      <c r="H18" s="27">
        <f t="shared" si="1"/>
        <v>4.294117647</v>
      </c>
      <c r="I18" s="28">
        <f t="shared" si="2"/>
        <v>0.3406918932</v>
      </c>
      <c r="J18" s="29">
        <f t="shared" si="3"/>
        <v>0.7320943987</v>
      </c>
      <c r="K18" s="32"/>
      <c r="L18" s="31" t="str">
        <f t="shared" si="4"/>
        <v/>
      </c>
      <c r="M18" s="31" t="str">
        <f t="shared" si="5"/>
        <v/>
      </c>
      <c r="N18" s="4"/>
    </row>
    <row r="19">
      <c r="A19" s="1"/>
      <c r="B19" s="23">
        <f t="shared" si="6"/>
        <v>44756</v>
      </c>
      <c r="C19" s="24">
        <f>IFERROR(__xludf.DUMMYFUNCTION("SUMPRODUCT((IMPORTRANGE(""17XjIPGwafStTRf_8bPPaoi2EFjHVy10_rRJ0uvy6YcU"",""M:M"")=B19)*1, IMPORTRANGE(""17XjIPGwafStTRf_8bPPaoi2EFjHVy10_rRJ0uvy6YcU"",""X:X""), IMPORTRANGE(""17XjIPGwafStTRf_8bPPaoi2EFjHVy10_rRJ0uvy6YcU"",""AK:AK"")) - SUMPRODUCT((IMPORTR"&amp;"ANGE(""17XjIPGwafStTRf_8bPPaoi2EFjHVy10_rRJ0uvy6YcU"",""M:M"")=B19)*1, IMPORTRANGE(""17XjIPGwafStTRf_8bPPaoi2EFjHVy10_rRJ0uvy6YcU"",""X:X""), IMPORTRANGE(""17XjIPGwafStTRf_8bPPaoi2EFjHVy10_rRJ0uvy6YcU"",""AL:AL""))"),334229.6)</f>
        <v>334229.6</v>
      </c>
      <c r="D19" s="24">
        <f>IFERROR(__xludf.DUMMYFUNCTION("SUMPRODUCT((IMPORTRANGE(""17XjIPGwafStTRf_8bPPaoi2EFjHVy10_rRJ0uvy6YcU"",""M:M"")=B19)*1, IMPORTRANGE(""17XjIPGwafStTRf_8bPPaoi2EFjHVy10_rRJ0uvy6YcU"",""X:X""), IMPORTRANGE(""17XjIPGwafStTRf_8bPPaoi2EFjHVy10_rRJ0uvy6YcU"",""AA:AA"")) + SUMPRODUCT((IMPORTR"&amp;"ANGE(""17XjIPGwafStTRf_8bPPaoi2EFjHVy10_rRJ0uvy6YcU"",""M:M"")=B19)*1, IMPORTRANGE(""17XjIPGwafStTRf_8bPPaoi2EFjHVy10_rRJ0uvy6YcU"",""X:X""), IMPORTRANGE(""17XjIPGwafStTRf_8bPPaoi2EFjHVy10_rRJ0uvy6YcU"",""AE:AE"")) + SUMPRODUCT((IMPORTRANGE(""17XjIPGwafSt"&amp;"TRf_8bPPaoi2EFjHVy10_rRJ0uvy6YcU"",""M:M"")=B19)*1, IMPORTRANGE(""17XjIPGwafStTRf_8bPPaoi2EFjHVy10_rRJ0uvy6YcU"",""X:X""), IMPORTRANGE(""17XjIPGwafStTRf_8bPPaoi2EFjHVy10_rRJ0uvy6YcU"",""AF:AF""))"),180233.63757648855)</f>
        <v>180233.6376</v>
      </c>
      <c r="E19" s="24">
        <f>IFERROR(__xludf.DUMMYFUNCTION("SUMPRODUCT((IMPORTRANGE(""17XjIPGwafStTRf_8bPPaoi2EFjHVy10_rRJ0uvy6YcU"",""M:M"")=B19)*1, IMPORTRANGE(""17XjIPGwafStTRf_8bPPaoi2EFjHVy10_rRJ0uvy6YcU"",""X:X""), IMPORTRANGE(""17XjIPGwafStTRf_8bPPaoi2EFjHVy10_rRJ0uvy6YcU"",""AO:AO""))"),95743.66242351146)</f>
        <v>95743.66242</v>
      </c>
      <c r="F19" s="25">
        <f>IFERROR(__xludf.DUMMYFUNCTION("SUMPRODUCT((IMPORTRANGE(""17XjIPGwafStTRf_8bPPaoi2EFjHVy10_rRJ0uvy6YcU"",""M:M"")=B19)*1, IMPORTRANGE(""17XjIPGwafStTRf_8bPPaoi2EFjHVy10_rRJ0uvy6YcU"",""X:X""))"),79.0)</f>
        <v>79</v>
      </c>
      <c r="G19" s="26">
        <f>IFERROR(__xludf.DUMMYFUNCTION("COUNTIF(IMPORTRANGE(""17XjIPGwafStTRf_8bPPaoi2EFjHVy10_rRJ0uvy6YcU"",""M:M""), B19)"),23.0)</f>
        <v>23</v>
      </c>
      <c r="H19" s="27">
        <f t="shared" si="1"/>
        <v>3.434782609</v>
      </c>
      <c r="I19" s="28">
        <f t="shared" si="2"/>
        <v>0.2864607516</v>
      </c>
      <c r="J19" s="29">
        <f t="shared" si="3"/>
        <v>0.5312197196</v>
      </c>
      <c r="K19" s="32"/>
      <c r="L19" s="31" t="str">
        <f t="shared" si="4"/>
        <v/>
      </c>
      <c r="M19" s="31" t="str">
        <f t="shared" si="5"/>
        <v/>
      </c>
      <c r="N19" s="4"/>
    </row>
    <row r="20">
      <c r="A20" s="1"/>
      <c r="B20" s="23">
        <f t="shared" si="6"/>
        <v>44757</v>
      </c>
      <c r="C20" s="24">
        <f>IFERROR(__xludf.DUMMYFUNCTION("SUMPRODUCT((IMPORTRANGE(""17XjIPGwafStTRf_8bPPaoi2EFjHVy10_rRJ0uvy6YcU"",""M:M"")=B20)*1, IMPORTRANGE(""17XjIPGwafStTRf_8bPPaoi2EFjHVy10_rRJ0uvy6YcU"",""X:X""), IMPORTRANGE(""17XjIPGwafStTRf_8bPPaoi2EFjHVy10_rRJ0uvy6YcU"",""AK:AK"")) - SUMPRODUCT((IMPORTR"&amp;"ANGE(""17XjIPGwafStTRf_8bPPaoi2EFjHVy10_rRJ0uvy6YcU"",""M:M"")=B20)*1, IMPORTRANGE(""17XjIPGwafStTRf_8bPPaoi2EFjHVy10_rRJ0uvy6YcU"",""X:X""), IMPORTRANGE(""17XjIPGwafStTRf_8bPPaoi2EFjHVy10_rRJ0uvy6YcU"",""AL:AL""))"),303766.0)</f>
        <v>303766</v>
      </c>
      <c r="D20" s="24">
        <f>IFERROR(__xludf.DUMMYFUNCTION("SUMPRODUCT((IMPORTRANGE(""17XjIPGwafStTRf_8bPPaoi2EFjHVy10_rRJ0uvy6YcU"",""M:M"")=B20)*1, IMPORTRANGE(""17XjIPGwafStTRf_8bPPaoi2EFjHVy10_rRJ0uvy6YcU"",""X:X""), IMPORTRANGE(""17XjIPGwafStTRf_8bPPaoi2EFjHVy10_rRJ0uvy6YcU"",""AA:AA"")) + SUMPRODUCT((IMPORTR"&amp;"ANGE(""17XjIPGwafStTRf_8bPPaoi2EFjHVy10_rRJ0uvy6YcU"",""M:M"")=B20)*1, IMPORTRANGE(""17XjIPGwafStTRf_8bPPaoi2EFjHVy10_rRJ0uvy6YcU"",""X:X""), IMPORTRANGE(""17XjIPGwafStTRf_8bPPaoi2EFjHVy10_rRJ0uvy6YcU"",""AE:AE"")) + SUMPRODUCT((IMPORTRANGE(""17XjIPGwafSt"&amp;"TRf_8bPPaoi2EFjHVy10_rRJ0uvy6YcU"",""M:M"")=B20)*1, IMPORTRANGE(""17XjIPGwafStTRf_8bPPaoi2EFjHVy10_rRJ0uvy6YcU"",""X:X""), IMPORTRANGE(""17XjIPGwafStTRf_8bPPaoi2EFjHVy10_rRJ0uvy6YcU"",""AF:AF""))"),130224.96164630525)</f>
        <v>130224.9616</v>
      </c>
      <c r="E20" s="24">
        <f>IFERROR(__xludf.DUMMYFUNCTION("SUMPRODUCT((IMPORTRANGE(""17XjIPGwafStTRf_8bPPaoi2EFjHVy10_rRJ0uvy6YcU"",""M:M"")=B20)*1, IMPORTRANGE(""17XjIPGwafStTRf_8bPPaoi2EFjHVy10_rRJ0uvy6YcU"",""X:X""), IMPORTRANGE(""17XjIPGwafStTRf_8bPPaoi2EFjHVy10_rRJ0uvy6YcU"",""AO:AO""))"),103600.03835369476)</f>
        <v>103600.0384</v>
      </c>
      <c r="F20" s="25">
        <f>IFERROR(__xludf.DUMMYFUNCTION("SUMPRODUCT((IMPORTRANGE(""17XjIPGwafStTRf_8bPPaoi2EFjHVy10_rRJ0uvy6YcU"",""M:M"")=B20)*1, IMPORTRANGE(""17XjIPGwafStTRf_8bPPaoi2EFjHVy10_rRJ0uvy6YcU"",""X:X""))"),92.0)</f>
        <v>92</v>
      </c>
      <c r="G20" s="26">
        <f>IFERROR(__xludf.DUMMYFUNCTION("COUNTIF(IMPORTRANGE(""17XjIPGwafStTRf_8bPPaoi2EFjHVy10_rRJ0uvy6YcU"",""M:M""), B20)"),17.0)</f>
        <v>17</v>
      </c>
      <c r="H20" s="27">
        <f t="shared" si="1"/>
        <v>5.411764706</v>
      </c>
      <c r="I20" s="28">
        <f t="shared" si="2"/>
        <v>0.3410521202</v>
      </c>
      <c r="J20" s="29">
        <f t="shared" si="3"/>
        <v>0.7955466989</v>
      </c>
      <c r="K20" s="32"/>
      <c r="L20" s="31" t="str">
        <f t="shared" si="4"/>
        <v/>
      </c>
      <c r="M20" s="31" t="str">
        <f t="shared" si="5"/>
        <v/>
      </c>
      <c r="N20" s="4"/>
    </row>
    <row r="21">
      <c r="A21" s="1"/>
      <c r="B21" s="23">
        <f t="shared" si="6"/>
        <v>44758</v>
      </c>
      <c r="C21" s="24">
        <f>IFERROR(__xludf.DUMMYFUNCTION("SUMPRODUCT((IMPORTRANGE(""17XjIPGwafStTRf_8bPPaoi2EFjHVy10_rRJ0uvy6YcU"",""M:M"")=B21)*1, IMPORTRANGE(""17XjIPGwafStTRf_8bPPaoi2EFjHVy10_rRJ0uvy6YcU"",""X:X""), IMPORTRANGE(""17XjIPGwafStTRf_8bPPaoi2EFjHVy10_rRJ0uvy6YcU"",""AK:AK"")) - SUMPRODUCT((IMPORTR"&amp;"ANGE(""17XjIPGwafStTRf_8bPPaoi2EFjHVy10_rRJ0uvy6YcU"",""M:M"")=B21)*1, IMPORTRANGE(""17XjIPGwafStTRf_8bPPaoi2EFjHVy10_rRJ0uvy6YcU"",""X:X""), IMPORTRANGE(""17XjIPGwafStTRf_8bPPaoi2EFjHVy10_rRJ0uvy6YcU"",""AL:AL""))"),233351.0)</f>
        <v>233351</v>
      </c>
      <c r="D21" s="24">
        <f>IFERROR(__xludf.DUMMYFUNCTION("SUMPRODUCT((IMPORTRANGE(""17XjIPGwafStTRf_8bPPaoi2EFjHVy10_rRJ0uvy6YcU"",""M:M"")=B21)*1, IMPORTRANGE(""17XjIPGwafStTRf_8bPPaoi2EFjHVy10_rRJ0uvy6YcU"",""X:X""), IMPORTRANGE(""17XjIPGwafStTRf_8bPPaoi2EFjHVy10_rRJ0uvy6YcU"",""AA:AA"")) + SUMPRODUCT((IMPORTR"&amp;"ANGE(""17XjIPGwafStTRf_8bPPaoi2EFjHVy10_rRJ0uvy6YcU"",""M:M"")=B21)*1, IMPORTRANGE(""17XjIPGwafStTRf_8bPPaoi2EFjHVy10_rRJ0uvy6YcU"",""X:X""), IMPORTRANGE(""17XjIPGwafStTRf_8bPPaoi2EFjHVy10_rRJ0uvy6YcU"",""AE:AE"")) + SUMPRODUCT((IMPORTRANGE(""17XjIPGwafSt"&amp;"TRf_8bPPaoi2EFjHVy10_rRJ0uvy6YcU"",""M:M"")=B21)*1, IMPORTRANGE(""17XjIPGwafStTRf_8bPPaoi2EFjHVy10_rRJ0uvy6YcU"",""X:X""), IMPORTRANGE(""17XjIPGwafStTRf_8bPPaoi2EFjHVy10_rRJ0uvy6YcU"",""AF:AF""))"),180217.74286745483)</f>
        <v>180217.7429</v>
      </c>
      <c r="E21" s="24">
        <f>IFERROR(__xludf.DUMMYFUNCTION("SUMPRODUCT((IMPORTRANGE(""17XjIPGwafStTRf_8bPPaoi2EFjHVy10_rRJ0uvy6YcU"",""M:M"")=B21)*1, IMPORTRANGE(""17XjIPGwafStTRf_8bPPaoi2EFjHVy10_rRJ0uvy6YcU"",""X:X""), IMPORTRANGE(""17XjIPGwafStTRf_8bPPaoi2EFjHVy10_rRJ0uvy6YcU"",""AO:AO""))"),19456.657132545195)</f>
        <v>19456.65713</v>
      </c>
      <c r="F21" s="25">
        <f>IFERROR(__xludf.DUMMYFUNCTION("SUMPRODUCT((IMPORTRANGE(""17XjIPGwafStTRf_8bPPaoi2EFjHVy10_rRJ0uvy6YcU"",""M:M"")=B21)*1, IMPORTRANGE(""17XjIPGwafStTRf_8bPPaoi2EFjHVy10_rRJ0uvy6YcU"",""X:X""))"),47.0)</f>
        <v>47</v>
      </c>
      <c r="G21" s="26">
        <f>IFERROR(__xludf.DUMMYFUNCTION("COUNTIF(IMPORTRANGE(""17XjIPGwafStTRf_8bPPaoi2EFjHVy10_rRJ0uvy6YcU"",""M:M""), B21)"),29.0)</f>
        <v>29</v>
      </c>
      <c r="H21" s="27">
        <f t="shared" si="1"/>
        <v>1.620689655</v>
      </c>
      <c r="I21" s="28">
        <f t="shared" si="2"/>
        <v>0.08337936042</v>
      </c>
      <c r="J21" s="29">
        <f t="shared" si="3"/>
        <v>0.1079619399</v>
      </c>
      <c r="K21" s="32"/>
      <c r="L21" s="31" t="str">
        <f t="shared" si="4"/>
        <v/>
      </c>
      <c r="M21" s="31" t="str">
        <f t="shared" si="5"/>
        <v/>
      </c>
      <c r="N21" s="4"/>
    </row>
    <row r="22">
      <c r="A22" s="1"/>
      <c r="B22" s="23">
        <f t="shared" si="6"/>
        <v>44759</v>
      </c>
      <c r="C22" s="24">
        <f>IFERROR(__xludf.DUMMYFUNCTION("SUMPRODUCT((IMPORTRANGE(""17XjIPGwafStTRf_8bPPaoi2EFjHVy10_rRJ0uvy6YcU"",""M:M"")=B22)*1, IMPORTRANGE(""17XjIPGwafStTRf_8bPPaoi2EFjHVy10_rRJ0uvy6YcU"",""X:X""), IMPORTRANGE(""17XjIPGwafStTRf_8bPPaoi2EFjHVy10_rRJ0uvy6YcU"",""AK:AK"")) - SUMPRODUCT((IMPORTR"&amp;"ANGE(""17XjIPGwafStTRf_8bPPaoi2EFjHVy10_rRJ0uvy6YcU"",""M:M"")=B22)*1, IMPORTRANGE(""17XjIPGwafStTRf_8bPPaoi2EFjHVy10_rRJ0uvy6YcU"",""X:X""), IMPORTRANGE(""17XjIPGwafStTRf_8bPPaoi2EFjHVy10_rRJ0uvy6YcU"",""AL:AL""))"),190959.0)</f>
        <v>190959</v>
      </c>
      <c r="D22" s="24">
        <f>IFERROR(__xludf.DUMMYFUNCTION("SUMPRODUCT((IMPORTRANGE(""17XjIPGwafStTRf_8bPPaoi2EFjHVy10_rRJ0uvy6YcU"",""M:M"")=B22)*1, IMPORTRANGE(""17XjIPGwafStTRf_8bPPaoi2EFjHVy10_rRJ0uvy6YcU"",""X:X""), IMPORTRANGE(""17XjIPGwafStTRf_8bPPaoi2EFjHVy10_rRJ0uvy6YcU"",""AA:AA"")) + SUMPRODUCT((IMPORTR"&amp;"ANGE(""17XjIPGwafStTRf_8bPPaoi2EFjHVy10_rRJ0uvy6YcU"",""M:M"")=B22)*1, IMPORTRANGE(""17XjIPGwafStTRf_8bPPaoi2EFjHVy10_rRJ0uvy6YcU"",""X:X""), IMPORTRANGE(""17XjIPGwafStTRf_8bPPaoi2EFjHVy10_rRJ0uvy6YcU"",""AE:AE"")) + SUMPRODUCT((IMPORTRANGE(""17XjIPGwafSt"&amp;"TRf_8bPPaoi2EFjHVy10_rRJ0uvy6YcU"",""M:M"")=B22)*1, IMPORTRANGE(""17XjIPGwafStTRf_8bPPaoi2EFjHVy10_rRJ0uvy6YcU"",""X:X""), IMPORTRANGE(""17XjIPGwafStTRf_8bPPaoi2EFjHVy10_rRJ0uvy6YcU"",""AF:AF""))"),106743.48037287564)</f>
        <v>106743.4804</v>
      </c>
      <c r="E22" s="24">
        <f>IFERROR(__xludf.DUMMYFUNCTION("SUMPRODUCT((IMPORTRANGE(""17XjIPGwafStTRf_8bPPaoi2EFjHVy10_rRJ0uvy6YcU"",""M:M"")=B22)*1, IMPORTRANGE(""17XjIPGwafStTRf_8bPPaoi2EFjHVy10_rRJ0uvy6YcU"",""X:X""), IMPORTRANGE(""17XjIPGwafStTRf_8bPPaoi2EFjHVy10_rRJ0uvy6YcU"",""AO:AO""))"),43037.819627124394)</f>
        <v>43037.81963</v>
      </c>
      <c r="F22" s="25">
        <f>IFERROR(__xludf.DUMMYFUNCTION("SUMPRODUCT((IMPORTRANGE(""17XjIPGwafStTRf_8bPPaoi2EFjHVy10_rRJ0uvy6YcU"",""M:M"")=B22)*1, IMPORTRANGE(""17XjIPGwafStTRf_8bPPaoi2EFjHVy10_rRJ0uvy6YcU"",""X:X""))"),44.0)</f>
        <v>44</v>
      </c>
      <c r="G22" s="26">
        <f>IFERROR(__xludf.DUMMYFUNCTION("COUNTIF(IMPORTRANGE(""17XjIPGwafStTRf_8bPPaoi2EFjHVy10_rRJ0uvy6YcU"",""M:M""), B22)"),17.0)</f>
        <v>17</v>
      </c>
      <c r="H22" s="27">
        <f t="shared" si="1"/>
        <v>2.588235294</v>
      </c>
      <c r="I22" s="28">
        <f t="shared" si="2"/>
        <v>0.225377278</v>
      </c>
      <c r="J22" s="29">
        <f t="shared" si="3"/>
        <v>0.403189211</v>
      </c>
      <c r="K22" s="32"/>
      <c r="L22" s="31" t="str">
        <f t="shared" si="4"/>
        <v/>
      </c>
      <c r="M22" s="31" t="str">
        <f t="shared" si="5"/>
        <v/>
      </c>
      <c r="N22" s="4"/>
    </row>
    <row r="23">
      <c r="A23" s="1"/>
      <c r="B23" s="23">
        <f t="shared" si="6"/>
        <v>44760</v>
      </c>
      <c r="C23" s="24">
        <f>IFERROR(__xludf.DUMMYFUNCTION("SUMPRODUCT((IMPORTRANGE(""17XjIPGwafStTRf_8bPPaoi2EFjHVy10_rRJ0uvy6YcU"",""M:M"")=B23)*1, IMPORTRANGE(""17XjIPGwafStTRf_8bPPaoi2EFjHVy10_rRJ0uvy6YcU"",""X:X""), IMPORTRANGE(""17XjIPGwafStTRf_8bPPaoi2EFjHVy10_rRJ0uvy6YcU"",""AK:AK"")) - SUMPRODUCT((IMPORTR"&amp;"ANGE(""17XjIPGwafStTRf_8bPPaoi2EFjHVy10_rRJ0uvy6YcU"",""M:M"")=B23)*1, IMPORTRANGE(""17XjIPGwafStTRf_8bPPaoi2EFjHVy10_rRJ0uvy6YcU"",""X:X""), IMPORTRANGE(""17XjIPGwafStTRf_8bPPaoi2EFjHVy10_rRJ0uvy6YcU"",""AL:AL""))"),315677.0)</f>
        <v>315677</v>
      </c>
      <c r="D23" s="24">
        <f>IFERROR(__xludf.DUMMYFUNCTION("SUMPRODUCT((IMPORTRANGE(""17XjIPGwafStTRf_8bPPaoi2EFjHVy10_rRJ0uvy6YcU"",""M:M"")=B23)*1, IMPORTRANGE(""17XjIPGwafStTRf_8bPPaoi2EFjHVy10_rRJ0uvy6YcU"",""X:X""), IMPORTRANGE(""17XjIPGwafStTRf_8bPPaoi2EFjHVy10_rRJ0uvy6YcU"",""AA:AA"")) + SUMPRODUCT((IMPORTR"&amp;"ANGE(""17XjIPGwafStTRf_8bPPaoi2EFjHVy10_rRJ0uvy6YcU"",""M:M"")=B23)*1, IMPORTRANGE(""17XjIPGwafStTRf_8bPPaoi2EFjHVy10_rRJ0uvy6YcU"",""X:X""), IMPORTRANGE(""17XjIPGwafStTRf_8bPPaoi2EFjHVy10_rRJ0uvy6YcU"",""AE:AE"")) + SUMPRODUCT((IMPORTRANGE(""17XjIPGwafSt"&amp;"TRf_8bPPaoi2EFjHVy10_rRJ0uvy6YcU"",""M:M"")=B23)*1, IMPORTRANGE(""17XjIPGwafStTRf_8bPPaoi2EFjHVy10_rRJ0uvy6YcU"",""X:X""), IMPORTRANGE(""17XjIPGwafStTRf_8bPPaoi2EFjHVy10_rRJ0uvy6YcU"",""AF:AF""))"),173565.76856228034)</f>
        <v>173565.7686</v>
      </c>
      <c r="E23" s="24">
        <f>IFERROR(__xludf.DUMMYFUNCTION("SUMPRODUCT((IMPORTRANGE(""17XjIPGwafStTRf_8bPPaoi2EFjHVy10_rRJ0uvy6YcU"",""M:M"")=B23)*1, IMPORTRANGE(""17XjIPGwafStTRf_8bPPaoi2EFjHVy10_rRJ0uvy6YcU"",""X:X""), IMPORTRANGE(""17XjIPGwafStTRf_8bPPaoi2EFjHVy10_rRJ0uvy6YcU"",""AO:AO""))"),82530.53143771968)</f>
        <v>82530.53144</v>
      </c>
      <c r="F23" s="25">
        <f>IFERROR(__xludf.DUMMYFUNCTION("SUMPRODUCT((IMPORTRANGE(""17XjIPGwafStTRf_8bPPaoi2EFjHVy10_rRJ0uvy6YcU"",""M:M"")=B23)*1, IMPORTRANGE(""17XjIPGwafStTRf_8bPPaoi2EFjHVy10_rRJ0uvy6YcU"",""X:X""))"),54.0)</f>
        <v>54</v>
      </c>
      <c r="G23" s="26">
        <f>IFERROR(__xludf.DUMMYFUNCTION("COUNTIF(IMPORTRANGE(""17XjIPGwafStTRf_8bPPaoi2EFjHVy10_rRJ0uvy6YcU"",""M:M""), B23)"),21.0)</f>
        <v>21</v>
      </c>
      <c r="H23" s="27">
        <f t="shared" si="1"/>
        <v>2.571428571</v>
      </c>
      <c r="I23" s="28">
        <f t="shared" si="2"/>
        <v>0.261439799</v>
      </c>
      <c r="J23" s="29">
        <f t="shared" si="3"/>
        <v>0.4755000489</v>
      </c>
      <c r="K23" s="32"/>
      <c r="L23" s="31" t="str">
        <f t="shared" si="4"/>
        <v/>
      </c>
      <c r="M23" s="31" t="str">
        <f t="shared" si="5"/>
        <v/>
      </c>
      <c r="N23" s="4"/>
    </row>
    <row r="24">
      <c r="A24" s="1"/>
      <c r="B24" s="23">
        <f t="shared" si="6"/>
        <v>44761</v>
      </c>
      <c r="C24" s="24">
        <f>IFERROR(__xludf.DUMMYFUNCTION("SUMPRODUCT((IMPORTRANGE(""17XjIPGwafStTRf_8bPPaoi2EFjHVy10_rRJ0uvy6YcU"",""M:M"")=B24)*1, IMPORTRANGE(""17XjIPGwafStTRf_8bPPaoi2EFjHVy10_rRJ0uvy6YcU"",""X:X""), IMPORTRANGE(""17XjIPGwafStTRf_8bPPaoi2EFjHVy10_rRJ0uvy6YcU"",""AK:AK"")) - SUMPRODUCT((IMPORTR"&amp;"ANGE(""17XjIPGwafStTRf_8bPPaoi2EFjHVy10_rRJ0uvy6YcU"",""M:M"")=B24)*1, IMPORTRANGE(""17XjIPGwafStTRf_8bPPaoi2EFjHVy10_rRJ0uvy6YcU"",""X:X""), IMPORTRANGE(""17XjIPGwafStTRf_8bPPaoi2EFjHVy10_rRJ0uvy6YcU"",""AL:AL""))"),342561.0)</f>
        <v>342561</v>
      </c>
      <c r="D24" s="24">
        <f>IFERROR(__xludf.DUMMYFUNCTION("SUMPRODUCT((IMPORTRANGE(""17XjIPGwafStTRf_8bPPaoi2EFjHVy10_rRJ0uvy6YcU"",""M:M"")=B24)*1, IMPORTRANGE(""17XjIPGwafStTRf_8bPPaoi2EFjHVy10_rRJ0uvy6YcU"",""X:X""), IMPORTRANGE(""17XjIPGwafStTRf_8bPPaoi2EFjHVy10_rRJ0uvy6YcU"",""AA:AA"")) + SUMPRODUCT((IMPORTR"&amp;"ANGE(""17XjIPGwafStTRf_8bPPaoi2EFjHVy10_rRJ0uvy6YcU"",""M:M"")=B24)*1, IMPORTRANGE(""17XjIPGwafStTRf_8bPPaoi2EFjHVy10_rRJ0uvy6YcU"",""X:X""), IMPORTRANGE(""17XjIPGwafStTRf_8bPPaoi2EFjHVy10_rRJ0uvy6YcU"",""AE:AE"")) + SUMPRODUCT((IMPORTRANGE(""17XjIPGwafSt"&amp;"TRf_8bPPaoi2EFjHVy10_rRJ0uvy6YcU"",""M:M"")=B24)*1, IMPORTRANGE(""17XjIPGwafStTRf_8bPPaoi2EFjHVy10_rRJ0uvy6YcU"",""X:X""), IMPORTRANGE(""17XjIPGwafStTRf_8bPPaoi2EFjHVy10_rRJ0uvy6YcU"",""AF:AF""))"),201661.4994259022)</f>
        <v>201661.4994</v>
      </c>
      <c r="E24" s="24">
        <f>IFERROR(__xludf.DUMMYFUNCTION("SUMPRODUCT((IMPORTRANGE(""17XjIPGwafStTRf_8bPPaoi2EFjHVy10_rRJ0uvy6YcU"",""M:M"")=B24)*1, IMPORTRANGE(""17XjIPGwafStTRf_8bPPaoi2EFjHVy10_rRJ0uvy6YcU"",""X:X""), IMPORTRANGE(""17XjIPGwafStTRf_8bPPaoi2EFjHVy10_rRJ0uvy6YcU"",""AO:AO""))"),105819.70057409775)</f>
        <v>105819.7006</v>
      </c>
      <c r="F24" s="25">
        <f>IFERROR(__xludf.DUMMYFUNCTION("SUMPRODUCT((IMPORTRANGE(""17XjIPGwafStTRf_8bPPaoi2EFjHVy10_rRJ0uvy6YcU"",""M:M"")=B24)*1, IMPORTRANGE(""17XjIPGwafStTRf_8bPPaoi2EFjHVy10_rRJ0uvy6YcU"",""X:X""))"),61.0)</f>
        <v>61</v>
      </c>
      <c r="G24" s="26">
        <f>IFERROR(__xludf.DUMMYFUNCTION("COUNTIF(IMPORTRANGE(""17XjIPGwafStTRf_8bPPaoi2EFjHVy10_rRJ0uvy6YcU"",""M:M""), B24)"),31.0)</f>
        <v>31</v>
      </c>
      <c r="H24" s="27">
        <f t="shared" si="1"/>
        <v>1.967741935</v>
      </c>
      <c r="I24" s="28">
        <f t="shared" si="2"/>
        <v>0.3089076123</v>
      </c>
      <c r="J24" s="29">
        <f t="shared" si="3"/>
        <v>0.5247392332</v>
      </c>
      <c r="K24" s="30"/>
      <c r="L24" s="31" t="str">
        <f t="shared" si="4"/>
        <v/>
      </c>
      <c r="M24" s="31" t="str">
        <f t="shared" si="5"/>
        <v/>
      </c>
      <c r="N24" s="4"/>
    </row>
    <row r="25">
      <c r="A25" s="1"/>
      <c r="B25" s="23">
        <f t="shared" si="6"/>
        <v>44762</v>
      </c>
      <c r="C25" s="24">
        <f>IFERROR(__xludf.DUMMYFUNCTION("SUMPRODUCT((IMPORTRANGE(""17XjIPGwafStTRf_8bPPaoi2EFjHVy10_rRJ0uvy6YcU"",""M:M"")=B25)*1, IMPORTRANGE(""17XjIPGwafStTRf_8bPPaoi2EFjHVy10_rRJ0uvy6YcU"",""X:X""), IMPORTRANGE(""17XjIPGwafStTRf_8bPPaoi2EFjHVy10_rRJ0uvy6YcU"",""AK:AK"")) - SUMPRODUCT((IMPORTR"&amp;"ANGE(""17XjIPGwafStTRf_8bPPaoi2EFjHVy10_rRJ0uvy6YcU"",""M:M"")=B25)*1, IMPORTRANGE(""17XjIPGwafStTRf_8bPPaoi2EFjHVy10_rRJ0uvy6YcU"",""X:X""), IMPORTRANGE(""17XjIPGwafStTRf_8bPPaoi2EFjHVy10_rRJ0uvy6YcU"",""AL:AL""))"),1438256.54)</f>
        <v>1438256.54</v>
      </c>
      <c r="D25" s="24">
        <f>IFERROR(__xludf.DUMMYFUNCTION("SUMPRODUCT((IMPORTRANGE(""17XjIPGwafStTRf_8bPPaoi2EFjHVy10_rRJ0uvy6YcU"",""M:M"")=B25)*1, IMPORTRANGE(""17XjIPGwafStTRf_8bPPaoi2EFjHVy10_rRJ0uvy6YcU"",""X:X""), IMPORTRANGE(""17XjIPGwafStTRf_8bPPaoi2EFjHVy10_rRJ0uvy6YcU"",""AA:AA"")) + SUMPRODUCT((IMPORTR"&amp;"ANGE(""17XjIPGwafStTRf_8bPPaoi2EFjHVy10_rRJ0uvy6YcU"",""M:M"")=B25)*1, IMPORTRANGE(""17XjIPGwafStTRf_8bPPaoi2EFjHVy10_rRJ0uvy6YcU"",""X:X""), IMPORTRANGE(""17XjIPGwafStTRf_8bPPaoi2EFjHVy10_rRJ0uvy6YcU"",""AE:AE"")) + SUMPRODUCT((IMPORTRANGE(""17XjIPGwafSt"&amp;"TRf_8bPPaoi2EFjHVy10_rRJ0uvy6YcU"",""M:M"")=B25)*1, IMPORTRANGE(""17XjIPGwafStTRf_8bPPaoi2EFjHVy10_rRJ0uvy6YcU"",""X:X""), IMPORTRANGE(""17XjIPGwafStTRf_8bPPaoi2EFjHVy10_rRJ0uvy6YcU"",""AF:AF""))"),615902.0301137404)</f>
        <v>615902.0301</v>
      </c>
      <c r="E25" s="24">
        <f>IFERROR(__xludf.DUMMYFUNCTION("SUMPRODUCT((IMPORTRANGE(""17XjIPGwafStTRf_8bPPaoi2EFjHVy10_rRJ0uvy6YcU"",""M:M"")=B25)*1, IMPORTRANGE(""17XjIPGwafStTRf_8bPPaoi2EFjHVy10_rRJ0uvy6YcU"",""X:X""), IMPORTRANGE(""17XjIPGwafStTRf_8bPPaoi2EFjHVy10_rRJ0uvy6YcU"",""AO:AO""))"),482819.34988625965)</f>
        <v>482819.3499</v>
      </c>
      <c r="F25" s="25">
        <f>IFERROR(__xludf.DUMMYFUNCTION("SUMPRODUCT((IMPORTRANGE(""17XjIPGwafStTRf_8bPPaoi2EFjHVy10_rRJ0uvy6YcU"",""M:M"")=B25)*1, IMPORTRANGE(""17XjIPGwafStTRf_8bPPaoi2EFjHVy10_rRJ0uvy6YcU"",""X:X""))"),403.0)</f>
        <v>403</v>
      </c>
      <c r="G25" s="26">
        <f>IFERROR(__xludf.DUMMYFUNCTION("COUNTIF(IMPORTRANGE(""17XjIPGwafStTRf_8bPPaoi2EFjHVy10_rRJ0uvy6YcU"",""M:M""), B25)"),55.0)</f>
        <v>55</v>
      </c>
      <c r="H25" s="27">
        <f t="shared" si="1"/>
        <v>7.327272727</v>
      </c>
      <c r="I25" s="28">
        <f t="shared" si="2"/>
        <v>0.3356976565</v>
      </c>
      <c r="J25" s="29">
        <f t="shared" si="3"/>
        <v>0.7839223225</v>
      </c>
      <c r="K25" s="32"/>
      <c r="L25" s="31" t="str">
        <f t="shared" si="4"/>
        <v/>
      </c>
      <c r="M25" s="31" t="str">
        <f t="shared" si="5"/>
        <v/>
      </c>
      <c r="N25" s="4"/>
    </row>
    <row r="26">
      <c r="A26" s="1"/>
      <c r="B26" s="23">
        <f t="shared" si="6"/>
        <v>44763</v>
      </c>
      <c r="C26" s="24">
        <f>IFERROR(__xludf.DUMMYFUNCTION("SUMPRODUCT((IMPORTRANGE(""17XjIPGwafStTRf_8bPPaoi2EFjHVy10_rRJ0uvy6YcU"",""M:M"")=B26)*1, IMPORTRANGE(""17XjIPGwafStTRf_8bPPaoi2EFjHVy10_rRJ0uvy6YcU"",""X:X""), IMPORTRANGE(""17XjIPGwafStTRf_8bPPaoi2EFjHVy10_rRJ0uvy6YcU"",""AK:AK"")) - SUMPRODUCT((IMPORTR"&amp;"ANGE(""17XjIPGwafStTRf_8bPPaoi2EFjHVy10_rRJ0uvy6YcU"",""M:M"")=B26)*1, IMPORTRANGE(""17XjIPGwafStTRf_8bPPaoi2EFjHVy10_rRJ0uvy6YcU"",""X:X""), IMPORTRANGE(""17XjIPGwafStTRf_8bPPaoi2EFjHVy10_rRJ0uvy6YcU"",""AL:AL""))"),6707077.0)</f>
        <v>6707077</v>
      </c>
      <c r="D26" s="24">
        <f>IFERROR(__xludf.DUMMYFUNCTION("SUMPRODUCT((IMPORTRANGE(""17XjIPGwafStTRf_8bPPaoi2EFjHVy10_rRJ0uvy6YcU"",""M:M"")=B26)*1, IMPORTRANGE(""17XjIPGwafStTRf_8bPPaoi2EFjHVy10_rRJ0uvy6YcU"",""X:X""), IMPORTRANGE(""17XjIPGwafStTRf_8bPPaoi2EFjHVy10_rRJ0uvy6YcU"",""AA:AA"")) + SUMPRODUCT((IMPORTR"&amp;"ANGE(""17XjIPGwafStTRf_8bPPaoi2EFjHVy10_rRJ0uvy6YcU"",""M:M"")=B26)*1, IMPORTRANGE(""17XjIPGwafStTRf_8bPPaoi2EFjHVy10_rRJ0uvy6YcU"",""X:X""), IMPORTRANGE(""17XjIPGwafStTRf_8bPPaoi2EFjHVy10_rRJ0uvy6YcU"",""AE:AE"")) + SUMPRODUCT((IMPORTRANGE(""17XjIPGwafSt"&amp;"TRf_8bPPaoi2EFjHVy10_rRJ0uvy6YcU"",""M:M"")=B26)*1, IMPORTRANGE(""17XjIPGwafStTRf_8bPPaoi2EFjHVy10_rRJ0uvy6YcU"",""X:X""), IMPORTRANGE(""17XjIPGwafStTRf_8bPPaoi2EFjHVy10_rRJ0uvy6YcU"",""AF:AF""))"),3788246.072026501)</f>
        <v>3788246.072</v>
      </c>
      <c r="E26" s="24">
        <f>IFERROR(__xludf.DUMMYFUNCTION("SUMPRODUCT((IMPORTRANGE(""17XjIPGwafStTRf_8bPPaoi2EFjHVy10_rRJ0uvy6YcU"",""M:M"")=B26)*1, IMPORTRANGE(""17XjIPGwafStTRf_8bPPaoi2EFjHVy10_rRJ0uvy6YcU"",""X:X""), IMPORTRANGE(""17XjIPGwafStTRf_8bPPaoi2EFjHVy10_rRJ0uvy6YcU"",""AO:AO""))"),1721506.288120854)</f>
        <v>1721506.288</v>
      </c>
      <c r="F26" s="25">
        <f>IFERROR(__xludf.DUMMYFUNCTION("SUMPRODUCT((IMPORTRANGE(""17XjIPGwafStTRf_8bPPaoi2EFjHVy10_rRJ0uvy6YcU"",""M:M"")=B26)*1, IMPORTRANGE(""17XjIPGwafStTRf_8bPPaoi2EFjHVy10_rRJ0uvy6YcU"",""X:X""))"),1130.0)</f>
        <v>1130</v>
      </c>
      <c r="G26" s="26">
        <f>IFERROR(__xludf.DUMMYFUNCTION("COUNTIF(IMPORTRANGE(""17XjIPGwafStTRf_8bPPaoi2EFjHVy10_rRJ0uvy6YcU"",""M:M""), B26)"),40.0)</f>
        <v>40</v>
      </c>
      <c r="H26" s="27">
        <f t="shared" si="1"/>
        <v>28.25</v>
      </c>
      <c r="I26" s="28">
        <f t="shared" si="2"/>
        <v>0.2566701244</v>
      </c>
      <c r="J26" s="29">
        <f t="shared" si="3"/>
        <v>0.4544335968</v>
      </c>
      <c r="K26" s="30"/>
      <c r="L26" s="31" t="str">
        <f t="shared" si="4"/>
        <v/>
      </c>
      <c r="M26" s="31" t="str">
        <f t="shared" si="5"/>
        <v/>
      </c>
      <c r="N26" s="4"/>
    </row>
    <row r="27">
      <c r="A27" s="1"/>
      <c r="B27" s="23">
        <f t="shared" si="6"/>
        <v>44764</v>
      </c>
      <c r="C27" s="24">
        <f>IFERROR(__xludf.DUMMYFUNCTION("SUMPRODUCT((IMPORTRANGE(""17XjIPGwafStTRf_8bPPaoi2EFjHVy10_rRJ0uvy6YcU"",""M:M"")=B27)*1, IMPORTRANGE(""17XjIPGwafStTRf_8bPPaoi2EFjHVy10_rRJ0uvy6YcU"",""X:X""), IMPORTRANGE(""17XjIPGwafStTRf_8bPPaoi2EFjHVy10_rRJ0uvy6YcU"",""AK:AK"")) - SUMPRODUCT((IMPORTR"&amp;"ANGE(""17XjIPGwafStTRf_8bPPaoi2EFjHVy10_rRJ0uvy6YcU"",""M:M"")=B27)*1, IMPORTRANGE(""17XjIPGwafStTRf_8bPPaoi2EFjHVy10_rRJ0uvy6YcU"",""X:X""), IMPORTRANGE(""17XjIPGwafStTRf_8bPPaoi2EFjHVy10_rRJ0uvy6YcU"",""AL:AL""))"),211150.98)</f>
        <v>211150.98</v>
      </c>
      <c r="D27" s="24">
        <f>IFERROR(__xludf.DUMMYFUNCTION("SUMPRODUCT((IMPORTRANGE(""17XjIPGwafStTRf_8bPPaoi2EFjHVy10_rRJ0uvy6YcU"",""M:M"")=B27)*1, IMPORTRANGE(""17XjIPGwafStTRf_8bPPaoi2EFjHVy10_rRJ0uvy6YcU"",""X:X""), IMPORTRANGE(""17XjIPGwafStTRf_8bPPaoi2EFjHVy10_rRJ0uvy6YcU"",""AA:AA"")) + SUMPRODUCT((IMPORTR"&amp;"ANGE(""17XjIPGwafStTRf_8bPPaoi2EFjHVy10_rRJ0uvy6YcU"",""M:M"")=B27)*1, IMPORTRANGE(""17XjIPGwafStTRf_8bPPaoi2EFjHVy10_rRJ0uvy6YcU"",""X:X""), IMPORTRANGE(""17XjIPGwafStTRf_8bPPaoi2EFjHVy10_rRJ0uvy6YcU"",""AE:AE"")) + SUMPRODUCT((IMPORTRANGE(""17XjIPGwafSt"&amp;"TRf_8bPPaoi2EFjHVy10_rRJ0uvy6YcU"",""M:M"")=B27)*1, IMPORTRANGE(""17XjIPGwafStTRf_8bPPaoi2EFjHVy10_rRJ0uvy6YcU"",""X:X""), IMPORTRANGE(""17XjIPGwafStTRf_8bPPaoi2EFjHVy10_rRJ0uvy6YcU"",""AF:AF""))"),120194.66896026171)</f>
        <v>120194.669</v>
      </c>
      <c r="E27" s="24">
        <f>IFERROR(__xludf.DUMMYFUNCTION("SUMPRODUCT((IMPORTRANGE(""17XjIPGwafStTRf_8bPPaoi2EFjHVy10_rRJ0uvy6YcU"",""M:M"")=B27)*1, IMPORTRANGE(""17XjIPGwafStTRf_8bPPaoi2EFjHVy10_rRJ0uvy6YcU"",""X:X""), IMPORTRANGE(""17XjIPGwafStTRf_8bPPaoi2EFjHVy10_rRJ0uvy6YcU"",""AO:AO""))"),61557.41103973826)</f>
        <v>61557.41104</v>
      </c>
      <c r="F27" s="25">
        <f>IFERROR(__xludf.DUMMYFUNCTION("SUMPRODUCT((IMPORTRANGE(""17XjIPGwafStTRf_8bPPaoi2EFjHVy10_rRJ0uvy6YcU"",""M:M"")=B27)*1, IMPORTRANGE(""17XjIPGwafStTRf_8bPPaoi2EFjHVy10_rRJ0uvy6YcU"",""X:X""))"),36.0)</f>
        <v>36</v>
      </c>
      <c r="G27" s="26">
        <f>IFERROR(__xludf.DUMMYFUNCTION("COUNTIF(IMPORTRANGE(""17XjIPGwafStTRf_8bPPaoi2EFjHVy10_rRJ0uvy6YcU"",""M:M""), B27)"),16.0)</f>
        <v>16</v>
      </c>
      <c r="H27" s="27">
        <f t="shared" si="1"/>
        <v>2.25</v>
      </c>
      <c r="I27" s="28">
        <f t="shared" si="2"/>
        <v>0.2915326798</v>
      </c>
      <c r="J27" s="29">
        <f t="shared" si="3"/>
        <v>0.5121475983</v>
      </c>
      <c r="K27" s="32"/>
      <c r="L27" s="31" t="str">
        <f t="shared" si="4"/>
        <v/>
      </c>
      <c r="M27" s="31" t="str">
        <f t="shared" si="5"/>
        <v/>
      </c>
      <c r="N27" s="4"/>
    </row>
    <row r="28">
      <c r="A28" s="1"/>
      <c r="B28" s="23">
        <f t="shared" si="6"/>
        <v>44765</v>
      </c>
      <c r="C28" s="24">
        <f>IFERROR(__xludf.DUMMYFUNCTION("SUMPRODUCT((IMPORTRANGE(""17XjIPGwafStTRf_8bPPaoi2EFjHVy10_rRJ0uvy6YcU"",""M:M"")=B28)*1, IMPORTRANGE(""17XjIPGwafStTRf_8bPPaoi2EFjHVy10_rRJ0uvy6YcU"",""X:X""), IMPORTRANGE(""17XjIPGwafStTRf_8bPPaoi2EFjHVy10_rRJ0uvy6YcU"",""AK:AK"")) - SUMPRODUCT((IMPORTR"&amp;"ANGE(""17XjIPGwafStTRf_8bPPaoi2EFjHVy10_rRJ0uvy6YcU"",""M:M"")=B28)*1, IMPORTRANGE(""17XjIPGwafStTRf_8bPPaoi2EFjHVy10_rRJ0uvy6YcU"",""X:X""), IMPORTRANGE(""17XjIPGwafStTRf_8bPPaoi2EFjHVy10_rRJ0uvy6YcU"",""AL:AL""))"),1144800.0)</f>
        <v>1144800</v>
      </c>
      <c r="D28" s="24">
        <f>IFERROR(__xludf.DUMMYFUNCTION("SUMPRODUCT((IMPORTRANGE(""17XjIPGwafStTRf_8bPPaoi2EFjHVy10_rRJ0uvy6YcU"",""M:M"")=B28)*1, IMPORTRANGE(""17XjIPGwafStTRf_8bPPaoi2EFjHVy10_rRJ0uvy6YcU"",""X:X""), IMPORTRANGE(""17XjIPGwafStTRf_8bPPaoi2EFjHVy10_rRJ0uvy6YcU"",""AA:AA"")) + SUMPRODUCT((IMPORTR"&amp;"ANGE(""17XjIPGwafStTRf_8bPPaoi2EFjHVy10_rRJ0uvy6YcU"",""M:M"")=B28)*1, IMPORTRANGE(""17XjIPGwafStTRf_8bPPaoi2EFjHVy10_rRJ0uvy6YcU"",""X:X""), IMPORTRANGE(""17XjIPGwafStTRf_8bPPaoi2EFjHVy10_rRJ0uvy6YcU"",""AE:AE"")) + SUMPRODUCT((IMPORTRANGE(""17XjIPGwafSt"&amp;"TRf_8bPPaoi2EFjHVy10_rRJ0uvy6YcU"",""M:M"")=B28)*1, IMPORTRANGE(""17XjIPGwafStTRf_8bPPaoi2EFjHVy10_rRJ0uvy6YcU"",""X:X""), IMPORTRANGE(""17XjIPGwafStTRf_8bPPaoi2EFjHVy10_rRJ0uvy6YcU"",""AF:AF""))"),801756.5576475069)</f>
        <v>801756.5576</v>
      </c>
      <c r="E28" s="24">
        <f>IFERROR(__xludf.DUMMYFUNCTION("SUMPRODUCT((IMPORTRANGE(""17XjIPGwafStTRf_8bPPaoi2EFjHVy10_rRJ0uvy6YcU"",""M:M"")=B28)*1, IMPORTRANGE(""17XjIPGwafStTRf_8bPPaoi2EFjHVy10_rRJ0uvy6YcU"",""X:X""), IMPORTRANGE(""17XjIPGwafStTRf_8bPPaoi2EFjHVy10_rRJ0uvy6YcU"",""AO:AO""))"),126263.44235249289)</f>
        <v>126263.4424</v>
      </c>
      <c r="F28" s="25">
        <f>IFERROR(__xludf.DUMMYFUNCTION("SUMPRODUCT((IMPORTRANGE(""17XjIPGwafStTRf_8bPPaoi2EFjHVy10_rRJ0uvy6YcU"",""M:M"")=B28)*1, IMPORTRANGE(""17XjIPGwafStTRf_8bPPaoi2EFjHVy10_rRJ0uvy6YcU"",""X:X""))"),300.0)</f>
        <v>300</v>
      </c>
      <c r="G28" s="26">
        <f>IFERROR(__xludf.DUMMYFUNCTION("COUNTIF(IMPORTRANGE(""17XjIPGwafStTRf_8bPPaoi2EFjHVy10_rRJ0uvy6YcU"",""M:M""), B28)"),3.0)</f>
        <v>3</v>
      </c>
      <c r="H28" s="27">
        <f t="shared" si="1"/>
        <v>100</v>
      </c>
      <c r="I28" s="28">
        <f t="shared" si="2"/>
        <v>0.1102930139</v>
      </c>
      <c r="J28" s="29">
        <f t="shared" si="3"/>
        <v>0.1574835168</v>
      </c>
      <c r="K28" s="32"/>
      <c r="L28" s="31" t="str">
        <f t="shared" si="4"/>
        <v/>
      </c>
      <c r="M28" s="31" t="str">
        <f t="shared" si="5"/>
        <v/>
      </c>
      <c r="N28" s="4"/>
    </row>
    <row r="29">
      <c r="A29" s="1"/>
      <c r="B29" s="23">
        <f t="shared" si="6"/>
        <v>44766</v>
      </c>
      <c r="C29" s="24">
        <f>IFERROR(__xludf.DUMMYFUNCTION("SUMPRODUCT((IMPORTRANGE(""17XjIPGwafStTRf_8bPPaoi2EFjHVy10_rRJ0uvy6YcU"",""M:M"")=B29)*1, IMPORTRANGE(""17XjIPGwafStTRf_8bPPaoi2EFjHVy10_rRJ0uvy6YcU"",""X:X""), IMPORTRANGE(""17XjIPGwafStTRf_8bPPaoi2EFjHVy10_rRJ0uvy6YcU"",""AK:AK"")) - SUMPRODUCT((IMPORTR"&amp;"ANGE(""17XjIPGwafStTRf_8bPPaoi2EFjHVy10_rRJ0uvy6YcU"",""M:M"")=B29)*1, IMPORTRANGE(""17XjIPGwafStTRf_8bPPaoi2EFjHVy10_rRJ0uvy6YcU"",""X:X""), IMPORTRANGE(""17XjIPGwafStTRf_8bPPaoi2EFjHVy10_rRJ0uvy6YcU"",""AL:AL""))"),805632.0)</f>
        <v>805632</v>
      </c>
      <c r="D29" s="24">
        <f>IFERROR(__xludf.DUMMYFUNCTION("SUMPRODUCT((IMPORTRANGE(""17XjIPGwafStTRf_8bPPaoi2EFjHVy10_rRJ0uvy6YcU"",""M:M"")=B29)*1, IMPORTRANGE(""17XjIPGwafStTRf_8bPPaoi2EFjHVy10_rRJ0uvy6YcU"",""X:X""), IMPORTRANGE(""17XjIPGwafStTRf_8bPPaoi2EFjHVy10_rRJ0uvy6YcU"",""AA:AA"")) + SUMPRODUCT((IMPORTR"&amp;"ANGE(""17XjIPGwafStTRf_8bPPaoi2EFjHVy10_rRJ0uvy6YcU"",""M:M"")=B29)*1, IMPORTRANGE(""17XjIPGwafStTRf_8bPPaoi2EFjHVy10_rRJ0uvy6YcU"",""X:X""), IMPORTRANGE(""17XjIPGwafStTRf_8bPPaoi2EFjHVy10_rRJ0uvy6YcU"",""AE:AE"")) + SUMPRODUCT((IMPORTRANGE(""17XjIPGwafSt"&amp;"TRf_8bPPaoi2EFjHVy10_rRJ0uvy6YcU"",""M:M"")=B29)*1, IMPORTRANGE(""17XjIPGwafStTRf_8bPPaoi2EFjHVy10_rRJ0uvy6YcU"",""X:X""), IMPORTRANGE(""17XjIPGwafStTRf_8bPPaoi2EFjHVy10_rRJ0uvy6YcU"",""AF:AF""))"),485908.61780078826)</f>
        <v>485908.6178</v>
      </c>
      <c r="E29" s="24">
        <f>IFERROR(__xludf.DUMMYFUNCTION("SUMPRODUCT((IMPORTRANGE(""17XjIPGwafStTRf_8bPPaoi2EFjHVy10_rRJ0uvy6YcU"",""M:M"")=B29)*1, IMPORTRANGE(""17XjIPGwafStTRf_8bPPaoi2EFjHVy10_rRJ0uvy6YcU"",""X:X""), IMPORTRANGE(""17XjIPGwafStTRf_8bPPaoi2EFjHVy10_rRJ0uvy6YcU"",""AO:AO""))"),215199.04219921175)</f>
        <v>215199.0422</v>
      </c>
      <c r="F29" s="25">
        <f>IFERROR(__xludf.DUMMYFUNCTION("SUMPRODUCT((IMPORTRANGE(""17XjIPGwafStTRf_8bPPaoi2EFjHVy10_rRJ0uvy6YcU"",""M:M"")=B29)*1, IMPORTRANGE(""17XjIPGwafStTRf_8bPPaoi2EFjHVy10_rRJ0uvy6YcU"",""X:X""))"),131.0)</f>
        <v>131</v>
      </c>
      <c r="G29" s="26">
        <f>IFERROR(__xludf.DUMMYFUNCTION("COUNTIF(IMPORTRANGE(""17XjIPGwafStTRf_8bPPaoi2EFjHVy10_rRJ0uvy6YcU"",""M:M""), B29)"),58.0)</f>
        <v>58</v>
      </c>
      <c r="H29" s="27">
        <f t="shared" si="1"/>
        <v>2.25862069</v>
      </c>
      <c r="I29" s="28">
        <f t="shared" si="2"/>
        <v>0.26711829</v>
      </c>
      <c r="J29" s="29">
        <f t="shared" si="3"/>
        <v>0.4428796574</v>
      </c>
      <c r="K29" s="32"/>
      <c r="L29" s="31" t="str">
        <f t="shared" si="4"/>
        <v/>
      </c>
      <c r="M29" s="31" t="str">
        <f t="shared" si="5"/>
        <v/>
      </c>
      <c r="N29" s="4"/>
    </row>
    <row r="30">
      <c r="A30" s="1"/>
      <c r="B30" s="23">
        <f t="shared" si="6"/>
        <v>44767</v>
      </c>
      <c r="C30" s="24">
        <f>IFERROR(__xludf.DUMMYFUNCTION("SUMPRODUCT((IMPORTRANGE(""17XjIPGwafStTRf_8bPPaoi2EFjHVy10_rRJ0uvy6YcU"",""M:M"")=B30)*1, IMPORTRANGE(""17XjIPGwafStTRf_8bPPaoi2EFjHVy10_rRJ0uvy6YcU"",""X:X""), IMPORTRANGE(""17XjIPGwafStTRf_8bPPaoi2EFjHVy10_rRJ0uvy6YcU"",""AK:AK"")) - SUMPRODUCT((IMPORTR"&amp;"ANGE(""17XjIPGwafStTRf_8bPPaoi2EFjHVy10_rRJ0uvy6YcU"",""M:M"")=B30)*1, IMPORTRANGE(""17XjIPGwafStTRf_8bPPaoi2EFjHVy10_rRJ0uvy6YcU"",""X:X""), IMPORTRANGE(""17XjIPGwafStTRf_8bPPaoi2EFjHVy10_rRJ0uvy6YcU"",""AL:AL""))"),291796.0)</f>
        <v>291796</v>
      </c>
      <c r="D30" s="24">
        <f>IFERROR(__xludf.DUMMYFUNCTION("SUMPRODUCT((IMPORTRANGE(""17XjIPGwafStTRf_8bPPaoi2EFjHVy10_rRJ0uvy6YcU"",""M:M"")=B30)*1, IMPORTRANGE(""17XjIPGwafStTRf_8bPPaoi2EFjHVy10_rRJ0uvy6YcU"",""X:X""), IMPORTRANGE(""17XjIPGwafStTRf_8bPPaoi2EFjHVy10_rRJ0uvy6YcU"",""AA:AA"")) + SUMPRODUCT((IMPORTR"&amp;"ANGE(""17XjIPGwafStTRf_8bPPaoi2EFjHVy10_rRJ0uvy6YcU"",""M:M"")=B30)*1, IMPORTRANGE(""17XjIPGwafStTRf_8bPPaoi2EFjHVy10_rRJ0uvy6YcU"",""X:X""), IMPORTRANGE(""17XjIPGwafStTRf_8bPPaoi2EFjHVy10_rRJ0uvy6YcU"",""AE:AE"")) + SUMPRODUCT((IMPORTRANGE(""17XjIPGwafSt"&amp;"TRf_8bPPaoi2EFjHVy10_rRJ0uvy6YcU"",""M:M"")=B30)*1, IMPORTRANGE(""17XjIPGwafStTRf_8bPPaoi2EFjHVy10_rRJ0uvy6YcU"",""X:X""), IMPORTRANGE(""17XjIPGwafStTRf_8bPPaoi2EFjHVy10_rRJ0uvy6YcU"",""AF:AF""))"),177843.20567160417)</f>
        <v>177843.2057</v>
      </c>
      <c r="E30" s="24">
        <f>IFERROR(__xludf.DUMMYFUNCTION("SUMPRODUCT((IMPORTRANGE(""17XjIPGwafStTRf_8bPPaoi2EFjHVy10_rRJ0uvy6YcU"",""M:M"")=B30)*1, IMPORTRANGE(""17XjIPGwafStTRf_8bPPaoi2EFjHVy10_rRJ0uvy6YcU"",""X:X""), IMPORTRANGE(""17XjIPGwafStTRf_8bPPaoi2EFjHVy10_rRJ0uvy6YcU"",""AO:AO""))"),116672.99432839578)</f>
        <v>116672.9943</v>
      </c>
      <c r="F30" s="25">
        <f>IFERROR(__xludf.DUMMYFUNCTION("SUMPRODUCT((IMPORTRANGE(""17XjIPGwafStTRf_8bPPaoi2EFjHVy10_rRJ0uvy6YcU"",""M:M"")=B30)*1, IMPORTRANGE(""17XjIPGwafStTRf_8bPPaoi2EFjHVy10_rRJ0uvy6YcU"",""X:X""))"),41.0)</f>
        <v>41</v>
      </c>
      <c r="G30" s="26">
        <f>IFERROR(__xludf.DUMMYFUNCTION("COUNTIF(IMPORTRANGE(""17XjIPGwafStTRf_8bPPaoi2EFjHVy10_rRJ0uvy6YcU"",""M:M""), B30)"),17.0)</f>
        <v>17</v>
      </c>
      <c r="H30" s="27">
        <f t="shared" si="1"/>
        <v>2.411764706</v>
      </c>
      <c r="I30" s="28">
        <f t="shared" si="2"/>
        <v>0.3998443924</v>
      </c>
      <c r="J30" s="29">
        <f t="shared" si="3"/>
        <v>0.6560441479</v>
      </c>
      <c r="K30" s="30"/>
      <c r="L30" s="31" t="str">
        <f t="shared" si="4"/>
        <v/>
      </c>
      <c r="M30" s="31" t="str">
        <f t="shared" si="5"/>
        <v/>
      </c>
      <c r="N30" s="4"/>
    </row>
    <row r="31">
      <c r="A31" s="1"/>
      <c r="B31" s="23">
        <f t="shared" si="6"/>
        <v>44768</v>
      </c>
      <c r="C31" s="24">
        <f>IFERROR(__xludf.DUMMYFUNCTION("SUMPRODUCT((IMPORTRANGE(""17XjIPGwafStTRf_8bPPaoi2EFjHVy10_rRJ0uvy6YcU"",""M:M"")=B31)*1, IMPORTRANGE(""17XjIPGwafStTRf_8bPPaoi2EFjHVy10_rRJ0uvy6YcU"",""X:X""), IMPORTRANGE(""17XjIPGwafStTRf_8bPPaoi2EFjHVy10_rRJ0uvy6YcU"",""AK:AK"")) - SUMPRODUCT((IMPORTR"&amp;"ANGE(""17XjIPGwafStTRf_8bPPaoi2EFjHVy10_rRJ0uvy6YcU"",""M:M"")=B31)*1, IMPORTRANGE(""17XjIPGwafStTRf_8bPPaoi2EFjHVy10_rRJ0uvy6YcU"",""X:X""), IMPORTRANGE(""17XjIPGwafStTRf_8bPPaoi2EFjHVy10_rRJ0uvy6YcU"",""AL:AL""))"),203806.18)</f>
        <v>203806.18</v>
      </c>
      <c r="D31" s="24">
        <f>IFERROR(__xludf.DUMMYFUNCTION("SUMPRODUCT((IMPORTRANGE(""17XjIPGwafStTRf_8bPPaoi2EFjHVy10_rRJ0uvy6YcU"",""M:M"")=B31)*1, IMPORTRANGE(""17XjIPGwafStTRf_8bPPaoi2EFjHVy10_rRJ0uvy6YcU"",""X:X""), IMPORTRANGE(""17XjIPGwafStTRf_8bPPaoi2EFjHVy10_rRJ0uvy6YcU"",""AA:AA"")) + SUMPRODUCT((IMPORTR"&amp;"ANGE(""17XjIPGwafStTRf_8bPPaoi2EFjHVy10_rRJ0uvy6YcU"",""M:M"")=B31)*1, IMPORTRANGE(""17XjIPGwafStTRf_8bPPaoi2EFjHVy10_rRJ0uvy6YcU"",""X:X""), IMPORTRANGE(""17XjIPGwafStTRf_8bPPaoi2EFjHVy10_rRJ0uvy6YcU"",""AE:AE"")) + SUMPRODUCT((IMPORTRANGE(""17XjIPGwafSt"&amp;"TRf_8bPPaoi2EFjHVy10_rRJ0uvy6YcU"",""M:M"")=B31)*1, IMPORTRANGE(""17XjIPGwafStTRf_8bPPaoi2EFjHVy10_rRJ0uvy6YcU"",""X:X""), IMPORTRANGE(""17XjIPGwafStTRf_8bPPaoi2EFjHVy10_rRJ0uvy6YcU"",""AF:AF""))"),109589.12691022444)</f>
        <v>109589.1269</v>
      </c>
      <c r="E31" s="24">
        <f>IFERROR(__xludf.DUMMYFUNCTION("SUMPRODUCT((IMPORTRANGE(""17XjIPGwafStTRf_8bPPaoi2EFjHVy10_rRJ0uvy6YcU"",""M:M"")=B31)*1, IMPORTRANGE(""17XjIPGwafStTRf_8bPPaoi2EFjHVy10_rRJ0uvy6YcU"",""X:X""), IMPORTRANGE(""17XjIPGwafStTRf_8bPPaoi2EFjHVy10_rRJ0uvy6YcU"",""AO:AO""))"),59880.87308977554)</f>
        <v>59880.87309</v>
      </c>
      <c r="F31" s="25">
        <f>IFERROR(__xludf.DUMMYFUNCTION("SUMPRODUCT((IMPORTRANGE(""17XjIPGwafStTRf_8bPPaoi2EFjHVy10_rRJ0uvy6YcU"",""M:M"")=B31)*1, IMPORTRANGE(""17XjIPGwafStTRf_8bPPaoi2EFjHVy10_rRJ0uvy6YcU"",""X:X""))"),37.0)</f>
        <v>37</v>
      </c>
      <c r="G31" s="26">
        <f>IFERROR(__xludf.DUMMYFUNCTION("COUNTIF(IMPORTRANGE(""17XjIPGwafStTRf_8bPPaoi2EFjHVy10_rRJ0uvy6YcU"",""M:M""), B31)"),22.0)</f>
        <v>22</v>
      </c>
      <c r="H31" s="27">
        <f t="shared" si="1"/>
        <v>1.681818182</v>
      </c>
      <c r="I31" s="28">
        <f t="shared" si="2"/>
        <v>0.2938128426</v>
      </c>
      <c r="J31" s="29">
        <f t="shared" si="3"/>
        <v>0.5464125391</v>
      </c>
      <c r="K31" s="30"/>
      <c r="L31" s="31" t="str">
        <f t="shared" si="4"/>
        <v/>
      </c>
      <c r="M31" s="31" t="str">
        <f t="shared" si="5"/>
        <v/>
      </c>
      <c r="N31" s="4"/>
    </row>
    <row r="32">
      <c r="A32" s="1"/>
      <c r="B32" s="23">
        <f t="shared" si="6"/>
        <v>44769</v>
      </c>
      <c r="C32" s="24">
        <f>IFERROR(__xludf.DUMMYFUNCTION("SUMPRODUCT((IMPORTRANGE(""17XjIPGwafStTRf_8bPPaoi2EFjHVy10_rRJ0uvy6YcU"",""M:M"")=B32)*1, IMPORTRANGE(""17XjIPGwafStTRf_8bPPaoi2EFjHVy10_rRJ0uvy6YcU"",""X:X""), IMPORTRANGE(""17XjIPGwafStTRf_8bPPaoi2EFjHVy10_rRJ0uvy6YcU"",""AK:AK"")) - SUMPRODUCT((IMPORTR"&amp;"ANGE(""17XjIPGwafStTRf_8bPPaoi2EFjHVy10_rRJ0uvy6YcU"",""M:M"")=B32)*1, IMPORTRANGE(""17XjIPGwafStTRf_8bPPaoi2EFjHVy10_rRJ0uvy6YcU"",""X:X""), IMPORTRANGE(""17XjIPGwafStTRf_8bPPaoi2EFjHVy10_rRJ0uvy6YcU"",""AL:AL""))"),335080.0)</f>
        <v>335080</v>
      </c>
      <c r="D32" s="24">
        <f>IFERROR(__xludf.DUMMYFUNCTION("SUMPRODUCT((IMPORTRANGE(""17XjIPGwafStTRf_8bPPaoi2EFjHVy10_rRJ0uvy6YcU"",""M:M"")=B32)*1, IMPORTRANGE(""17XjIPGwafStTRf_8bPPaoi2EFjHVy10_rRJ0uvy6YcU"",""X:X""), IMPORTRANGE(""17XjIPGwafStTRf_8bPPaoi2EFjHVy10_rRJ0uvy6YcU"",""AA:AA"")) + SUMPRODUCT((IMPORTR"&amp;"ANGE(""17XjIPGwafStTRf_8bPPaoi2EFjHVy10_rRJ0uvy6YcU"",""M:M"")=B32)*1, IMPORTRANGE(""17XjIPGwafStTRf_8bPPaoi2EFjHVy10_rRJ0uvy6YcU"",""X:X""), IMPORTRANGE(""17XjIPGwafStTRf_8bPPaoi2EFjHVy10_rRJ0uvy6YcU"",""AE:AE"")) + SUMPRODUCT((IMPORTRANGE(""17XjIPGwafSt"&amp;"TRf_8bPPaoi2EFjHVy10_rRJ0uvy6YcU"",""M:M"")=B32)*1, IMPORTRANGE(""17XjIPGwafStTRf_8bPPaoi2EFjHVy10_rRJ0uvy6YcU"",""X:X""), IMPORTRANGE(""17XjIPGwafStTRf_8bPPaoi2EFjHVy10_rRJ0uvy6YcU"",""AF:AF""))"),202908.37422848027)</f>
        <v>202908.3742</v>
      </c>
      <c r="E32" s="24">
        <f>IFERROR(__xludf.DUMMYFUNCTION("SUMPRODUCT((IMPORTRANGE(""17XjIPGwafStTRf_8bPPaoi2EFjHVy10_rRJ0uvy6YcU"",""M:M"")=B32)*1, IMPORTRANGE(""17XjIPGwafStTRf_8bPPaoi2EFjHVy10_rRJ0uvy6YcU"",""X:X""), IMPORTRANGE(""17XjIPGwafStTRf_8bPPaoi2EFjHVy10_rRJ0uvy6YcU"",""AO:AO""))"),86713.82577151971)</f>
        <v>86713.82577</v>
      </c>
      <c r="F32" s="25">
        <f>IFERROR(__xludf.DUMMYFUNCTION("SUMPRODUCT((IMPORTRANGE(""17XjIPGwafStTRf_8bPPaoi2EFjHVy10_rRJ0uvy6YcU"",""M:M"")=B32)*1, IMPORTRANGE(""17XjIPGwafStTRf_8bPPaoi2EFjHVy10_rRJ0uvy6YcU"",""X:X""))"),53.0)</f>
        <v>53</v>
      </c>
      <c r="G32" s="26">
        <f>IFERROR(__xludf.DUMMYFUNCTION("COUNTIF(IMPORTRANGE(""17XjIPGwafStTRf_8bPPaoi2EFjHVy10_rRJ0uvy6YcU"",""M:M""), B32)"),19.0)</f>
        <v>19</v>
      </c>
      <c r="H32" s="27">
        <f t="shared" si="1"/>
        <v>2.789473684</v>
      </c>
      <c r="I32" s="28">
        <f t="shared" si="2"/>
        <v>0.2587854416</v>
      </c>
      <c r="J32" s="29">
        <f t="shared" si="3"/>
        <v>0.4273545934</v>
      </c>
      <c r="K32" s="32"/>
      <c r="L32" s="31" t="str">
        <f t="shared" si="4"/>
        <v/>
      </c>
      <c r="M32" s="31" t="str">
        <f t="shared" si="5"/>
        <v/>
      </c>
      <c r="N32" s="4"/>
    </row>
    <row r="33">
      <c r="A33" s="1"/>
      <c r="B33" s="23">
        <f t="shared" si="6"/>
        <v>44770</v>
      </c>
      <c r="C33" s="24">
        <f>IFERROR(__xludf.DUMMYFUNCTION("SUMPRODUCT((IMPORTRANGE(""17XjIPGwafStTRf_8bPPaoi2EFjHVy10_rRJ0uvy6YcU"",""M:M"")=B33)*1, IMPORTRANGE(""17XjIPGwafStTRf_8bPPaoi2EFjHVy10_rRJ0uvy6YcU"",""X:X""), IMPORTRANGE(""17XjIPGwafStTRf_8bPPaoi2EFjHVy10_rRJ0uvy6YcU"",""AK:AK"")) - SUMPRODUCT((IMPORTR"&amp;"ANGE(""17XjIPGwafStTRf_8bPPaoi2EFjHVy10_rRJ0uvy6YcU"",""M:M"")=B33)*1, IMPORTRANGE(""17XjIPGwafStTRf_8bPPaoi2EFjHVy10_rRJ0uvy6YcU"",""X:X""), IMPORTRANGE(""17XjIPGwafStTRf_8bPPaoi2EFjHVy10_rRJ0uvy6YcU"",""AL:AL""))"),326387.0)</f>
        <v>326387</v>
      </c>
      <c r="D33" s="24">
        <f>IFERROR(__xludf.DUMMYFUNCTION("SUMPRODUCT((IMPORTRANGE(""17XjIPGwafStTRf_8bPPaoi2EFjHVy10_rRJ0uvy6YcU"",""M:M"")=B33)*1, IMPORTRANGE(""17XjIPGwafStTRf_8bPPaoi2EFjHVy10_rRJ0uvy6YcU"",""X:X""), IMPORTRANGE(""17XjIPGwafStTRf_8bPPaoi2EFjHVy10_rRJ0uvy6YcU"",""AA:AA"")) + SUMPRODUCT((IMPORTR"&amp;"ANGE(""17XjIPGwafStTRf_8bPPaoi2EFjHVy10_rRJ0uvy6YcU"",""M:M"")=B33)*1, IMPORTRANGE(""17XjIPGwafStTRf_8bPPaoi2EFjHVy10_rRJ0uvy6YcU"",""X:X""), IMPORTRANGE(""17XjIPGwafStTRf_8bPPaoi2EFjHVy10_rRJ0uvy6YcU"",""AE:AE"")) + SUMPRODUCT((IMPORTRANGE(""17XjIPGwafSt"&amp;"TRf_8bPPaoi2EFjHVy10_rRJ0uvy6YcU"",""M:M"")=B33)*1, IMPORTRANGE(""17XjIPGwafStTRf_8bPPaoi2EFjHVy10_rRJ0uvy6YcU"",""X:X""), IMPORTRANGE(""17XjIPGwafStTRf_8bPPaoi2EFjHVy10_rRJ0uvy6YcU"",""AF:AF""))"),175709.143347637)</f>
        <v>175709.1433</v>
      </c>
      <c r="E33" s="24">
        <f>IFERROR(__xludf.DUMMYFUNCTION("SUMPRODUCT((IMPORTRANGE(""17XjIPGwafStTRf_8bPPaoi2EFjHVy10_rRJ0uvy6YcU"",""M:M"")=B33)*1, IMPORTRANGE(""17XjIPGwafStTRf_8bPPaoi2EFjHVy10_rRJ0uvy6YcU"",""X:X""), IMPORTRANGE(""17XjIPGwafStTRf_8bPPaoi2EFjHVy10_rRJ0uvy6YcU"",""AO:AO""))"),87297.65665236299)</f>
        <v>87297.65665</v>
      </c>
      <c r="F33" s="25">
        <f>IFERROR(__xludf.DUMMYFUNCTION("SUMPRODUCT((IMPORTRANGE(""17XjIPGwafStTRf_8bPPaoi2EFjHVy10_rRJ0uvy6YcU"",""M:M"")=B33)*1, IMPORTRANGE(""17XjIPGwafStTRf_8bPPaoi2EFjHVy10_rRJ0uvy6YcU"",""X:X""))"),62.0)</f>
        <v>62</v>
      </c>
      <c r="G33" s="26">
        <f>IFERROR(__xludf.DUMMYFUNCTION("COUNTIF(IMPORTRANGE(""17XjIPGwafStTRf_8bPPaoi2EFjHVy10_rRJ0uvy6YcU"",""M:M""), B33)"),18.0)</f>
        <v>18</v>
      </c>
      <c r="H33" s="27">
        <f t="shared" si="1"/>
        <v>3.444444444</v>
      </c>
      <c r="I33" s="28">
        <f t="shared" si="2"/>
        <v>0.2674667087</v>
      </c>
      <c r="J33" s="29">
        <f t="shared" si="3"/>
        <v>0.4968304722</v>
      </c>
      <c r="K33" s="30"/>
      <c r="L33" s="31" t="str">
        <f t="shared" si="4"/>
        <v/>
      </c>
      <c r="M33" s="31" t="str">
        <f t="shared" si="5"/>
        <v/>
      </c>
      <c r="N33" s="4"/>
    </row>
    <row r="34">
      <c r="A34" s="1"/>
      <c r="B34" s="23">
        <f t="shared" ref="B34:B36" si="7">IFERROR(IF(MONTH(B33)=MONTH(B33+1),B33+1,"--"),"--")</f>
        <v>44771</v>
      </c>
      <c r="C34" s="24">
        <f>IFERROR(__xludf.DUMMYFUNCTION("SUMPRODUCT((IMPORTRANGE(""17XjIPGwafStTRf_8bPPaoi2EFjHVy10_rRJ0uvy6YcU"",""M:M"")=B34)*1, IMPORTRANGE(""17XjIPGwafStTRf_8bPPaoi2EFjHVy10_rRJ0uvy6YcU"",""X:X""), IMPORTRANGE(""17XjIPGwafStTRf_8bPPaoi2EFjHVy10_rRJ0uvy6YcU"",""AK:AK"")) - SUMPRODUCT((IMPORTR"&amp;"ANGE(""17XjIPGwafStTRf_8bPPaoi2EFjHVy10_rRJ0uvy6YcU"",""M:M"")=B34)*1, IMPORTRANGE(""17XjIPGwafStTRf_8bPPaoi2EFjHVy10_rRJ0uvy6YcU"",""X:X""), IMPORTRANGE(""17XjIPGwafStTRf_8bPPaoi2EFjHVy10_rRJ0uvy6YcU"",""AL:AL""))"),269684.6)</f>
        <v>269684.6</v>
      </c>
      <c r="D34" s="24">
        <f>IFERROR(__xludf.DUMMYFUNCTION("SUMPRODUCT((IMPORTRANGE(""17XjIPGwafStTRf_8bPPaoi2EFjHVy10_rRJ0uvy6YcU"",""M:M"")=B34)*1, IMPORTRANGE(""17XjIPGwafStTRf_8bPPaoi2EFjHVy10_rRJ0uvy6YcU"",""X:X""), IMPORTRANGE(""17XjIPGwafStTRf_8bPPaoi2EFjHVy10_rRJ0uvy6YcU"",""AA:AA"")) + SUMPRODUCT((IMPORTR"&amp;"ANGE(""17XjIPGwafStTRf_8bPPaoi2EFjHVy10_rRJ0uvy6YcU"",""M:M"")=B34)*1, IMPORTRANGE(""17XjIPGwafStTRf_8bPPaoi2EFjHVy10_rRJ0uvy6YcU"",""X:X""), IMPORTRANGE(""17XjIPGwafStTRf_8bPPaoi2EFjHVy10_rRJ0uvy6YcU"",""AE:AE"")) + SUMPRODUCT((IMPORTRANGE(""17XjIPGwafSt"&amp;"TRf_8bPPaoi2EFjHVy10_rRJ0uvy6YcU"",""M:M"")=B34)*1, IMPORTRANGE(""17XjIPGwafStTRf_8bPPaoi2EFjHVy10_rRJ0uvy6YcU"",""X:X""), IMPORTRANGE(""17XjIPGwafStTRf_8bPPaoi2EFjHVy10_rRJ0uvy6YcU"",""AF:AF""))"),164181.93601170948)</f>
        <v>164181.936</v>
      </c>
      <c r="E34" s="24">
        <f>IFERROR(__xludf.DUMMYFUNCTION("SUMPRODUCT((IMPORTRANGE(""17XjIPGwafStTRf_8bPPaoi2EFjHVy10_rRJ0uvy6YcU"",""M:M"")=B34)*1, IMPORTRANGE(""17XjIPGwafStTRf_8bPPaoi2EFjHVy10_rRJ0uvy6YcU"",""X:X""), IMPORTRANGE(""17XjIPGwafStTRf_8bPPaoi2EFjHVy10_rRJ0uvy6YcU"",""AO:AO""))"),60923.86398829054)</f>
        <v>60923.86399</v>
      </c>
      <c r="F34" s="25">
        <f>IFERROR(__xludf.DUMMYFUNCTION("SUMPRODUCT((IMPORTRANGE(""17XjIPGwafStTRf_8bPPaoi2EFjHVy10_rRJ0uvy6YcU"",""M:M"")=B34)*1, IMPORTRANGE(""17XjIPGwafStTRf_8bPPaoi2EFjHVy10_rRJ0uvy6YcU"",""X:X""))"),43.0)</f>
        <v>43</v>
      </c>
      <c r="G34" s="26">
        <f>IFERROR(__xludf.DUMMYFUNCTION("COUNTIF(IMPORTRANGE(""17XjIPGwafStTRf_8bPPaoi2EFjHVy10_rRJ0uvy6YcU"",""M:M""), B34)"),24.0)</f>
        <v>24</v>
      </c>
      <c r="H34" s="27">
        <f t="shared" si="1"/>
        <v>1.791666667</v>
      </c>
      <c r="I34" s="28">
        <f t="shared" si="2"/>
        <v>0.2259078345</v>
      </c>
      <c r="J34" s="29">
        <f t="shared" si="3"/>
        <v>0.3710753172</v>
      </c>
      <c r="K34" s="30"/>
      <c r="L34" s="31" t="str">
        <f t="shared" si="4"/>
        <v/>
      </c>
      <c r="M34" s="31" t="str">
        <f t="shared" si="5"/>
        <v/>
      </c>
      <c r="N34" s="4"/>
    </row>
    <row r="35">
      <c r="A35" s="1"/>
      <c r="B35" s="23">
        <f t="shared" si="7"/>
        <v>44772</v>
      </c>
      <c r="C35" s="24">
        <f>IFERROR(__xludf.DUMMYFUNCTION("SUMPRODUCT((IMPORTRANGE(""17XjIPGwafStTRf_8bPPaoi2EFjHVy10_rRJ0uvy6YcU"",""M:M"")=B35)*1, IMPORTRANGE(""17XjIPGwafStTRf_8bPPaoi2EFjHVy10_rRJ0uvy6YcU"",""X:X""), IMPORTRANGE(""17XjIPGwafStTRf_8bPPaoi2EFjHVy10_rRJ0uvy6YcU"",""AK:AK"")) - SUMPRODUCT((IMPORTR"&amp;"ANGE(""17XjIPGwafStTRf_8bPPaoi2EFjHVy10_rRJ0uvy6YcU"",""M:M"")=B35)*1, IMPORTRANGE(""17XjIPGwafStTRf_8bPPaoi2EFjHVy10_rRJ0uvy6YcU"",""X:X""), IMPORTRANGE(""17XjIPGwafStTRf_8bPPaoi2EFjHVy10_rRJ0uvy6YcU"",""AL:AL""))"),766031.0)</f>
        <v>766031</v>
      </c>
      <c r="D35" s="24">
        <f>IFERROR(__xludf.DUMMYFUNCTION("SUMPRODUCT((IMPORTRANGE(""17XjIPGwafStTRf_8bPPaoi2EFjHVy10_rRJ0uvy6YcU"",""M:M"")=B35)*1, IMPORTRANGE(""17XjIPGwafStTRf_8bPPaoi2EFjHVy10_rRJ0uvy6YcU"",""X:X""), IMPORTRANGE(""17XjIPGwafStTRf_8bPPaoi2EFjHVy10_rRJ0uvy6YcU"",""AA:AA"")) + SUMPRODUCT((IMPORTR"&amp;"ANGE(""17XjIPGwafStTRf_8bPPaoi2EFjHVy10_rRJ0uvy6YcU"",""M:M"")=B35)*1, IMPORTRANGE(""17XjIPGwafStTRf_8bPPaoi2EFjHVy10_rRJ0uvy6YcU"",""X:X""), IMPORTRANGE(""17XjIPGwafStTRf_8bPPaoi2EFjHVy10_rRJ0uvy6YcU"",""AE:AE"")) + SUMPRODUCT((IMPORTRANGE(""17XjIPGwafSt"&amp;"TRf_8bPPaoi2EFjHVy10_rRJ0uvy6YcU"",""M:M"")=B35)*1, IMPORTRANGE(""17XjIPGwafStTRf_8bPPaoi2EFjHVy10_rRJ0uvy6YcU"",""X:X""), IMPORTRANGE(""17XjIPGwafStTRf_8bPPaoi2EFjHVy10_rRJ0uvy6YcU"",""AF:AF""))"),344788.6914493992)</f>
        <v>344788.6914</v>
      </c>
      <c r="E35" s="24">
        <f>IFERROR(__xludf.DUMMYFUNCTION("SUMPRODUCT((IMPORTRANGE(""17XjIPGwafStTRf_8bPPaoi2EFjHVy10_rRJ0uvy6YcU"",""M:M"")=B35)*1, IMPORTRANGE(""17XjIPGwafStTRf_8bPPaoi2EFjHVy10_rRJ0uvy6YcU"",""X:X""), IMPORTRANGE(""17XjIPGwafStTRf_8bPPaoi2EFjHVy10_rRJ0uvy6YcU"",""AO:AO""))"),286355.7607086672)</f>
        <v>286355.7607</v>
      </c>
      <c r="F35" s="25">
        <f>IFERROR(__xludf.DUMMYFUNCTION("SUMPRODUCT((IMPORTRANGE(""17XjIPGwafStTRf_8bPPaoi2EFjHVy10_rRJ0uvy6YcU"",""M:M"")=B35)*1, IMPORTRANGE(""17XjIPGwafStTRf_8bPPaoi2EFjHVy10_rRJ0uvy6YcU"",""X:X""))"),251.0)</f>
        <v>251</v>
      </c>
      <c r="G35" s="26">
        <f>IFERROR(__xludf.DUMMYFUNCTION("COUNTIF(IMPORTRANGE(""17XjIPGwafStTRf_8bPPaoi2EFjHVy10_rRJ0uvy6YcU"",""M:M""), B35)"),38.0)</f>
        <v>38</v>
      </c>
      <c r="H35" s="27">
        <f t="shared" si="1"/>
        <v>6.605263158</v>
      </c>
      <c r="I35" s="28">
        <f t="shared" si="2"/>
        <v>0.3738174574</v>
      </c>
      <c r="J35" s="29">
        <f t="shared" si="3"/>
        <v>0.830525385</v>
      </c>
      <c r="K35" s="32"/>
      <c r="L35" s="31" t="str">
        <f t="shared" si="4"/>
        <v/>
      </c>
      <c r="M35" s="31" t="str">
        <f t="shared" si="5"/>
        <v/>
      </c>
      <c r="N35" s="4"/>
    </row>
    <row r="36">
      <c r="A36" s="1"/>
      <c r="B36" s="23">
        <f t="shared" si="7"/>
        <v>44773</v>
      </c>
      <c r="C36" s="24">
        <f>IFERROR(__xludf.DUMMYFUNCTION("SUMPRODUCT((IMPORTRANGE(""17XjIPGwafStTRf_8bPPaoi2EFjHVy10_rRJ0uvy6YcU"",""M:M"")=B36)*1, IMPORTRANGE(""17XjIPGwafStTRf_8bPPaoi2EFjHVy10_rRJ0uvy6YcU"",""X:X""), IMPORTRANGE(""17XjIPGwafStTRf_8bPPaoi2EFjHVy10_rRJ0uvy6YcU"",""AK:AK"")) - SUMPRODUCT((IMPORTR"&amp;"ANGE(""17XjIPGwafStTRf_8bPPaoi2EFjHVy10_rRJ0uvy6YcU"",""M:M"")=B36)*1, IMPORTRANGE(""17XjIPGwafStTRf_8bPPaoi2EFjHVy10_rRJ0uvy6YcU"",""X:X""), IMPORTRANGE(""17XjIPGwafStTRf_8bPPaoi2EFjHVy10_rRJ0uvy6YcU"",""AL:AL""))"),703139.0)</f>
        <v>703139</v>
      </c>
      <c r="D36" s="24">
        <f>IFERROR(__xludf.DUMMYFUNCTION("SUMPRODUCT((IMPORTRANGE(""17XjIPGwafStTRf_8bPPaoi2EFjHVy10_rRJ0uvy6YcU"",""M:M"")=B36)*1, IMPORTRANGE(""17XjIPGwafStTRf_8bPPaoi2EFjHVy10_rRJ0uvy6YcU"",""X:X""), IMPORTRANGE(""17XjIPGwafStTRf_8bPPaoi2EFjHVy10_rRJ0uvy6YcU"",""AA:AA"")) + SUMPRODUCT((IMPORTR"&amp;"ANGE(""17XjIPGwafStTRf_8bPPaoi2EFjHVy10_rRJ0uvy6YcU"",""M:M"")=B36)*1, IMPORTRANGE(""17XjIPGwafStTRf_8bPPaoi2EFjHVy10_rRJ0uvy6YcU"",""X:X""), IMPORTRANGE(""17XjIPGwafStTRf_8bPPaoi2EFjHVy10_rRJ0uvy6YcU"",""AE:AE"")) + SUMPRODUCT((IMPORTRANGE(""17XjIPGwafSt"&amp;"TRf_8bPPaoi2EFjHVy10_rRJ0uvy6YcU"",""M:M"")=B36)*1, IMPORTRANGE(""17XjIPGwafStTRf_8bPPaoi2EFjHVy10_rRJ0uvy6YcU"",""X:X""), IMPORTRANGE(""17XjIPGwafStTRf_8bPPaoi2EFjHVy10_rRJ0uvy6YcU"",""AF:AF""))"),278744.62861205084)</f>
        <v>278744.6286</v>
      </c>
      <c r="E36" s="24">
        <f>IFERROR(__xludf.DUMMYFUNCTION("SUMPRODUCT((IMPORTRANGE(""17XjIPGwafStTRf_8bPPaoi2EFjHVy10_rRJ0uvy6YcU"",""M:M"")=B36)*1, IMPORTRANGE(""17XjIPGwafStTRf_8bPPaoi2EFjHVy10_rRJ0uvy6YcU"",""X:X""), IMPORTRANGE(""17XjIPGwafStTRf_8bPPaoi2EFjHVy10_rRJ0uvy6YcU"",""AO:AO""))"),240216.46925255615)</f>
        <v>240216.4693</v>
      </c>
      <c r="F36" s="25">
        <f>IFERROR(__xludf.DUMMYFUNCTION("SUMPRODUCT((IMPORTRANGE(""17XjIPGwafStTRf_8bPPaoi2EFjHVy10_rRJ0uvy6YcU"",""M:M"")=B36)*1, IMPORTRANGE(""17XjIPGwafStTRf_8bPPaoi2EFjHVy10_rRJ0uvy6YcU"",""X:X""))"),245.0)</f>
        <v>245</v>
      </c>
      <c r="G36" s="26">
        <f>IFERROR(__xludf.DUMMYFUNCTION("COUNTIF(IMPORTRANGE(""17XjIPGwafStTRf_8bPPaoi2EFjHVy10_rRJ0uvy6YcU"",""M:M""), B36)"),16.0)</f>
        <v>16</v>
      </c>
      <c r="H36" s="27">
        <f t="shared" si="1"/>
        <v>15.3125</v>
      </c>
      <c r="I36" s="28">
        <f t="shared" si="2"/>
        <v>0.3416343984</v>
      </c>
      <c r="J36" s="29">
        <f t="shared" si="3"/>
        <v>0.8617797245</v>
      </c>
      <c r="K36" s="30"/>
      <c r="L36" s="31" t="str">
        <f>if(B36="","",IF(K36="","",E36/K36))</f>
        <v/>
      </c>
      <c r="M36" s="31" t="str">
        <f>if(B36="","",IF(K36="","",D36/K36))</f>
        <v/>
      </c>
      <c r="N36" s="4"/>
    </row>
    <row r="37">
      <c r="A37" s="4"/>
      <c r="B37" s="33" t="s">
        <v>16</v>
      </c>
      <c r="C37" s="34">
        <f t="shared" ref="C37:H37" si="8">SUM(C6:C36)</f>
        <v>24917111.94</v>
      </c>
      <c r="D37" s="34">
        <f t="shared" si="8"/>
        <v>13529098.51</v>
      </c>
      <c r="E37" s="34">
        <f t="shared" si="8"/>
        <v>6918514.652</v>
      </c>
      <c r="F37" s="34">
        <f t="shared" si="8"/>
        <v>5394</v>
      </c>
      <c r="G37" s="34">
        <f t="shared" si="8"/>
        <v>783</v>
      </c>
      <c r="H37" s="34">
        <f t="shared" si="8"/>
        <v>275.4396017</v>
      </c>
      <c r="I37" s="35">
        <f t="shared" si="2"/>
        <v>0.2776611779</v>
      </c>
      <c r="J37" s="35">
        <f t="shared" si="3"/>
        <v>0.5113803147</v>
      </c>
      <c r="K37" s="33">
        <f>SUM(K6:K36)</f>
        <v>0</v>
      </c>
      <c r="L37" s="34" t="str">
        <f>iferror(IF(K37="","",E37/K37),"")</f>
        <v/>
      </c>
      <c r="M37" s="34" t="str">
        <f>iferror(IF(K37="","",D37/K37),"")</f>
        <v/>
      </c>
      <c r="N37" s="4"/>
    </row>
    <row r="38">
      <c r="A38" s="4"/>
      <c r="B38" s="4"/>
      <c r="C38" s="4"/>
      <c r="D38" s="36" t="s">
        <v>17</v>
      </c>
      <c r="E38" s="4"/>
      <c r="F38" s="4"/>
      <c r="G38" s="4"/>
      <c r="H38" s="4"/>
      <c r="I38" s="4"/>
      <c r="J38" s="4"/>
      <c r="K38" s="4"/>
      <c r="L38" s="4"/>
      <c r="M38" s="4"/>
      <c r="N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.25"/>
    <col customWidth="1" min="2" max="2" width="7.38"/>
    <col customWidth="1" min="3" max="5" width="11.38"/>
    <col customWidth="1" min="6" max="8" width="5.75"/>
    <col customWidth="1" min="9" max="11" width="8.88"/>
    <col customWidth="1" min="12" max="13" width="11.38"/>
    <col customWidth="1" min="14" max="14" width="2.38"/>
  </cols>
  <sheetData>
    <row r="1" ht="7.5" customHeight="1">
      <c r="A1" s="1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</row>
    <row r="2">
      <c r="A2" s="1"/>
      <c r="B2" s="5">
        <v>44713.0</v>
      </c>
      <c r="C2" s="6"/>
      <c r="D2" s="3"/>
      <c r="E2" s="4"/>
      <c r="F2" s="4"/>
      <c r="G2" s="4"/>
      <c r="H2" s="4"/>
      <c r="I2" s="4"/>
      <c r="J2" s="4"/>
      <c r="K2" s="4"/>
      <c r="L2" s="7" t="s">
        <v>0</v>
      </c>
      <c r="M2" s="8">
        <v>1.5</v>
      </c>
      <c r="N2" s="4"/>
    </row>
    <row r="3">
      <c r="A3" s="4"/>
      <c r="B3" s="9" t="s">
        <v>1</v>
      </c>
      <c r="C3" s="10">
        <f>iferror((E3*M2)/I37,"")</f>
        <v>11270471.48</v>
      </c>
      <c r="D3" s="11" t="s">
        <v>2</v>
      </c>
      <c r="E3" s="12">
        <v>2000000.0</v>
      </c>
      <c r="F3" s="13"/>
      <c r="G3" s="4"/>
      <c r="H3" s="4"/>
      <c r="I3" s="4"/>
      <c r="J3" s="4"/>
      <c r="K3" s="4"/>
      <c r="L3" s="14"/>
      <c r="M3" s="15"/>
      <c r="N3" s="13"/>
    </row>
    <row r="4">
      <c r="A4" s="4"/>
      <c r="B4" s="9" t="s">
        <v>3</v>
      </c>
      <c r="C4" s="16">
        <f>iferror(C37/C3,"")</f>
        <v>1.269641536</v>
      </c>
      <c r="D4" s="9"/>
      <c r="E4" s="16"/>
      <c r="F4" s="4"/>
      <c r="G4" s="4"/>
      <c r="H4" s="4"/>
      <c r="I4" s="4"/>
      <c r="J4" s="4"/>
      <c r="K4" s="17"/>
      <c r="L4" s="4"/>
      <c r="M4" s="4"/>
      <c r="N4" s="4"/>
    </row>
    <row r="5" ht="28.5" customHeight="1">
      <c r="A5" s="18"/>
      <c r="B5" s="19" t="s">
        <v>4</v>
      </c>
      <c r="C5" s="20" t="s">
        <v>5</v>
      </c>
      <c r="D5" s="20" t="s">
        <v>6</v>
      </c>
      <c r="E5" s="20" t="s">
        <v>7</v>
      </c>
      <c r="F5" s="21" t="s">
        <v>8</v>
      </c>
      <c r="G5" s="22" t="s">
        <v>9</v>
      </c>
      <c r="H5" s="22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18"/>
    </row>
    <row r="6">
      <c r="A6" s="1"/>
      <c r="B6" s="23">
        <f>B2</f>
        <v>44713</v>
      </c>
      <c r="C6" s="24">
        <f>IFERROR(__xludf.DUMMYFUNCTION("SUMPRODUCT((IMPORTRANGE(""17XjIPGwafStTRf_8bPPaoi2EFjHVy10_rRJ0uvy6YcU"",""M:M"")=B6)*1, IMPORTRANGE(""17XjIPGwafStTRf_8bPPaoi2EFjHVy10_rRJ0uvy6YcU"",""X:X""), IMPORTRANGE(""17XjIPGwafStTRf_8bPPaoi2EFjHVy10_rRJ0uvy6YcU"",""AK:AK"")) - SUMPRODUCT((IMPORTRA"&amp;"NGE(""17XjIPGwafStTRf_8bPPaoi2EFjHVy10_rRJ0uvy6YcU"",""M:M"")=B6)*1, IMPORTRANGE(""17XjIPGwafStTRf_8bPPaoi2EFjHVy10_rRJ0uvy6YcU"",""X:X""), IMPORTRANGE(""17XjIPGwafStTRf_8bPPaoi2EFjHVy10_rRJ0uvy6YcU"",""AL:AL""))"),361032.0)</f>
        <v>361032</v>
      </c>
      <c r="D6" s="24">
        <f>IFERROR(__xludf.DUMMYFUNCTION("SUMPRODUCT((IMPORTRANGE(""17XjIPGwafStTRf_8bPPaoi2EFjHVy10_rRJ0uvy6YcU"",""M:M"")=B6)*1, IMPORTRANGE(""17XjIPGwafStTRf_8bPPaoi2EFjHVy10_rRJ0uvy6YcU"",""X:X""), IMPORTRANGE(""17XjIPGwafStTRf_8bPPaoi2EFjHVy10_rRJ0uvy6YcU"",""AA:AA"")) + SUMPRODUCT((IMPORTRA"&amp;"NGE(""17XjIPGwafStTRf_8bPPaoi2EFjHVy10_rRJ0uvy6YcU"",""M:M"")=B6)*1, IMPORTRANGE(""17XjIPGwafStTRf_8bPPaoi2EFjHVy10_rRJ0uvy6YcU"",""X:X""), IMPORTRANGE(""17XjIPGwafStTRf_8bPPaoi2EFjHVy10_rRJ0uvy6YcU"",""AE:AE"")) + SUMPRODUCT((IMPORTRANGE(""17XjIPGwafStTR"&amp;"f_8bPPaoi2EFjHVy10_rRJ0uvy6YcU"",""M:M"")=B6)*1, IMPORTRANGE(""17XjIPGwafStTRf_8bPPaoi2EFjHVy10_rRJ0uvy6YcU"",""X:X""), IMPORTRANGE(""17XjIPGwafStTRf_8bPPaoi2EFjHVy10_rRJ0uvy6YcU"",""AF:AF""))"),243201.13782221268)</f>
        <v>243201.1378</v>
      </c>
      <c r="E6" s="24">
        <f>IFERROR(__xludf.DUMMYFUNCTION("SUMPRODUCT((IMPORTRANGE(""17XjIPGwafStTRf_8bPPaoi2EFjHVy10_rRJ0uvy6YcU"",""M:M"")=B6)*1, IMPORTRANGE(""17XjIPGwafStTRf_8bPPaoi2EFjHVy10_rRJ0uvy6YcU"",""X:X""), IMPORTRANGE(""17XjIPGwafStTRf_8bPPaoi2EFjHVy10_rRJ0uvy6YcU"",""AO:AO""))"),83062.30663267111)</f>
        <v>83062.30663</v>
      </c>
      <c r="F6" s="25">
        <f>IFERROR(__xludf.DUMMYFUNCTION("SUMPRODUCT((IMPORTRANGE(""17XjIPGwafStTRf_8bPPaoi2EFjHVy10_rRJ0uvy6YcU"",""M:M"")=B6)*1, IMPORTRANGE(""17XjIPGwafStTRf_8bPPaoi2EFjHVy10_rRJ0uvy6YcU"",""X:X""))"),60.0)</f>
        <v>60</v>
      </c>
      <c r="G6" s="26">
        <f>IFERROR(__xludf.DUMMYFUNCTION("COUNTIF(IMPORTRANGE(""17XjIPGwafStTRf_8bPPaoi2EFjHVy10_rRJ0uvy6YcU"",""M:M""), B6)"),25.0)</f>
        <v>25</v>
      </c>
      <c r="H6" s="27">
        <f t="shared" ref="H6:H36" si="1">IF(F6=0,"",F6/G6)</f>
        <v>2.4</v>
      </c>
      <c r="I6" s="28">
        <f t="shared" ref="I6:I37" si="2">IF(C6=0,"",E6/C6)</f>
        <v>0.2300690981</v>
      </c>
      <c r="J6" s="29">
        <f t="shared" ref="J6:J37" si="3">IF(D6=0,"",E6/D6)</f>
        <v>0.3415374919</v>
      </c>
      <c r="K6" s="30"/>
      <c r="L6" s="31" t="str">
        <f t="shared" ref="L6:L35" si="4">IF(K6="","",E6/K6)</f>
        <v/>
      </c>
      <c r="M6" s="31" t="str">
        <f t="shared" ref="M6:M35" si="5">IF(K6="","",D6/K6)</f>
        <v/>
      </c>
      <c r="N6" s="4"/>
    </row>
    <row r="7">
      <c r="A7" s="1"/>
      <c r="B7" s="23">
        <f t="shared" ref="B7:B33" si="6">B6+1</f>
        <v>44714</v>
      </c>
      <c r="C7" s="24">
        <f>IFERROR(__xludf.DUMMYFUNCTION("SUMPRODUCT((IMPORTRANGE(""17XjIPGwafStTRf_8bPPaoi2EFjHVy10_rRJ0uvy6YcU"",""M:M"")=B7)*1, IMPORTRANGE(""17XjIPGwafStTRf_8bPPaoi2EFjHVy10_rRJ0uvy6YcU"",""X:X""), IMPORTRANGE(""17XjIPGwafStTRf_8bPPaoi2EFjHVy10_rRJ0uvy6YcU"",""AK:AK"")) - SUMPRODUCT((IMPORTRA"&amp;"NGE(""17XjIPGwafStTRf_8bPPaoi2EFjHVy10_rRJ0uvy6YcU"",""M:M"")=B7)*1, IMPORTRANGE(""17XjIPGwafStTRf_8bPPaoi2EFjHVy10_rRJ0uvy6YcU"",""X:X""), IMPORTRANGE(""17XjIPGwafStTRf_8bPPaoi2EFjHVy10_rRJ0uvy6YcU"",""AL:AL""))"),599805.0)</f>
        <v>599805</v>
      </c>
      <c r="D7" s="24">
        <f>IFERROR(__xludf.DUMMYFUNCTION("SUMPRODUCT((IMPORTRANGE(""17XjIPGwafStTRf_8bPPaoi2EFjHVy10_rRJ0uvy6YcU"",""M:M"")=B7)*1, IMPORTRANGE(""17XjIPGwafStTRf_8bPPaoi2EFjHVy10_rRJ0uvy6YcU"",""X:X""), IMPORTRANGE(""17XjIPGwafStTRf_8bPPaoi2EFjHVy10_rRJ0uvy6YcU"",""AA:AA"")) + SUMPRODUCT((IMPORTRA"&amp;"NGE(""17XjIPGwafStTRf_8bPPaoi2EFjHVy10_rRJ0uvy6YcU"",""M:M"")=B7)*1, IMPORTRANGE(""17XjIPGwafStTRf_8bPPaoi2EFjHVy10_rRJ0uvy6YcU"",""X:X""), IMPORTRANGE(""17XjIPGwafStTRf_8bPPaoi2EFjHVy10_rRJ0uvy6YcU"",""AE:AE"")) + SUMPRODUCT((IMPORTRANGE(""17XjIPGwafStTR"&amp;"f_8bPPaoi2EFjHVy10_rRJ0uvy6YcU"",""M:M"")=B7)*1, IMPORTRANGE(""17XjIPGwafStTRf_8bPPaoi2EFjHVy10_rRJ0uvy6YcU"",""X:X""), IMPORTRANGE(""17XjIPGwafStTRf_8bPPaoi2EFjHVy10_rRJ0uvy6YcU"",""AF:AF""))"),363958.4339245199)</f>
        <v>363958.4339</v>
      </c>
      <c r="E7" s="24">
        <f>IFERROR(__xludf.DUMMYFUNCTION("SUMPRODUCT((IMPORTRANGE(""17XjIPGwafStTRf_8bPPaoi2EFjHVy10_rRJ0uvy6YcU"",""M:M"")=B7)*1, IMPORTRANGE(""17XjIPGwafStTRf_8bPPaoi2EFjHVy10_rRJ0uvy6YcU"",""X:X""), IMPORTRANGE(""17XjIPGwafStTRf_8bPPaoi2EFjHVy10_rRJ0uvy6YcU"",""AO:AO""))"),110459.83316942738)</f>
        <v>110459.8332</v>
      </c>
      <c r="F7" s="25">
        <f>IFERROR(__xludf.DUMMYFUNCTION("SUMPRODUCT((IMPORTRANGE(""17XjIPGwafStTRf_8bPPaoi2EFjHVy10_rRJ0uvy6YcU"",""M:M"")=B7)*1, IMPORTRANGE(""17XjIPGwafStTRf_8bPPaoi2EFjHVy10_rRJ0uvy6YcU"",""X:X""))"),155.0)</f>
        <v>155</v>
      </c>
      <c r="G7" s="26">
        <f>IFERROR(__xludf.DUMMYFUNCTION("COUNTIF(IMPORTRANGE(""17XjIPGwafStTRf_8bPPaoi2EFjHVy10_rRJ0uvy6YcU"",""M:M""), B7)"),21.0)</f>
        <v>21</v>
      </c>
      <c r="H7" s="27">
        <f t="shared" si="1"/>
        <v>7.380952381</v>
      </c>
      <c r="I7" s="28">
        <f t="shared" si="2"/>
        <v>0.1841595738</v>
      </c>
      <c r="J7" s="29">
        <f t="shared" si="3"/>
        <v>0.3034957371</v>
      </c>
      <c r="K7" s="30"/>
      <c r="L7" s="31" t="str">
        <f t="shared" si="4"/>
        <v/>
      </c>
      <c r="M7" s="31" t="str">
        <f t="shared" si="5"/>
        <v/>
      </c>
      <c r="N7" s="4"/>
    </row>
    <row r="8">
      <c r="A8" s="1"/>
      <c r="B8" s="23">
        <f t="shared" si="6"/>
        <v>44715</v>
      </c>
      <c r="C8" s="24">
        <f>IFERROR(__xludf.DUMMYFUNCTION("SUMPRODUCT((IMPORTRANGE(""17XjIPGwafStTRf_8bPPaoi2EFjHVy10_rRJ0uvy6YcU"",""M:M"")=B8)*1, IMPORTRANGE(""17XjIPGwafStTRf_8bPPaoi2EFjHVy10_rRJ0uvy6YcU"",""X:X""), IMPORTRANGE(""17XjIPGwafStTRf_8bPPaoi2EFjHVy10_rRJ0uvy6YcU"",""AK:AK"")) - SUMPRODUCT((IMPORTRA"&amp;"NGE(""17XjIPGwafStTRf_8bPPaoi2EFjHVy10_rRJ0uvy6YcU"",""M:M"")=B8)*1, IMPORTRANGE(""17XjIPGwafStTRf_8bPPaoi2EFjHVy10_rRJ0uvy6YcU"",""X:X""), IMPORTRANGE(""17XjIPGwafStTRf_8bPPaoi2EFjHVy10_rRJ0uvy6YcU"",""AL:AL""))"),705262.0)</f>
        <v>705262</v>
      </c>
      <c r="D8" s="24">
        <f>IFERROR(__xludf.DUMMYFUNCTION("SUMPRODUCT((IMPORTRANGE(""17XjIPGwafStTRf_8bPPaoi2EFjHVy10_rRJ0uvy6YcU"",""M:M"")=B8)*1, IMPORTRANGE(""17XjIPGwafStTRf_8bPPaoi2EFjHVy10_rRJ0uvy6YcU"",""X:X""), IMPORTRANGE(""17XjIPGwafStTRf_8bPPaoi2EFjHVy10_rRJ0uvy6YcU"",""AA:AA"")) + SUMPRODUCT((IMPORTRA"&amp;"NGE(""17XjIPGwafStTRf_8bPPaoi2EFjHVy10_rRJ0uvy6YcU"",""M:M"")=B8)*1, IMPORTRANGE(""17XjIPGwafStTRf_8bPPaoi2EFjHVy10_rRJ0uvy6YcU"",""X:X""), IMPORTRANGE(""17XjIPGwafStTRf_8bPPaoi2EFjHVy10_rRJ0uvy6YcU"",""AE:AE"")) + SUMPRODUCT((IMPORTRANGE(""17XjIPGwafStTR"&amp;"f_8bPPaoi2EFjHVy10_rRJ0uvy6YcU"",""M:M"")=B8)*1, IMPORTRANGE(""17XjIPGwafStTRf_8bPPaoi2EFjHVy10_rRJ0uvy6YcU"",""X:X""), IMPORTRANGE(""17XjIPGwafStTRf_8bPPaoi2EFjHVy10_rRJ0uvy6YcU"",""AF:AF""))"),372873.9237571897)</f>
        <v>372873.9238</v>
      </c>
      <c r="E8" s="24">
        <f>IFERROR(__xludf.DUMMYFUNCTION("SUMPRODUCT((IMPORTRANGE(""17XjIPGwafStTRf_8bPPaoi2EFjHVy10_rRJ0uvy6YcU"",""M:M"")=B8)*1, IMPORTRANGE(""17XjIPGwafStTRf_8bPPaoi2EFjHVy10_rRJ0uvy6YcU"",""X:X""), IMPORTRANGE(""17XjIPGwafStTRf_8bPPaoi2EFjHVy10_rRJ0uvy6YcU"",""AO:AO""))"),241252.67624281024)</f>
        <v>241252.6762</v>
      </c>
      <c r="F8" s="25">
        <f>IFERROR(__xludf.DUMMYFUNCTION("SUMPRODUCT((IMPORTRANGE(""17XjIPGwafStTRf_8bPPaoi2EFjHVy10_rRJ0uvy6YcU"",""M:M"")=B8)*1, IMPORTRANGE(""17XjIPGwafStTRf_8bPPaoi2EFjHVy10_rRJ0uvy6YcU"",""X:X""))"),49.0)</f>
        <v>49</v>
      </c>
      <c r="G8" s="26">
        <f>IFERROR(__xludf.DUMMYFUNCTION("COUNTIF(IMPORTRANGE(""17XjIPGwafStTRf_8bPPaoi2EFjHVy10_rRJ0uvy6YcU"",""M:M""), B8)"),21.0)</f>
        <v>21</v>
      </c>
      <c r="H8" s="27">
        <f t="shared" si="1"/>
        <v>2.333333333</v>
      </c>
      <c r="I8" s="28">
        <f t="shared" si="2"/>
        <v>0.3420752518</v>
      </c>
      <c r="J8" s="29">
        <f t="shared" si="3"/>
        <v>0.6470087096</v>
      </c>
      <c r="K8" s="30"/>
      <c r="L8" s="31" t="str">
        <f t="shared" si="4"/>
        <v/>
      </c>
      <c r="M8" s="31" t="str">
        <f t="shared" si="5"/>
        <v/>
      </c>
      <c r="N8" s="4"/>
    </row>
    <row r="9">
      <c r="A9" s="1"/>
      <c r="B9" s="23">
        <f t="shared" si="6"/>
        <v>44716</v>
      </c>
      <c r="C9" s="24">
        <f>IFERROR(__xludf.DUMMYFUNCTION("SUMPRODUCT((IMPORTRANGE(""17XjIPGwafStTRf_8bPPaoi2EFjHVy10_rRJ0uvy6YcU"",""M:M"")=B9)*1, IMPORTRANGE(""17XjIPGwafStTRf_8bPPaoi2EFjHVy10_rRJ0uvy6YcU"",""X:X""), IMPORTRANGE(""17XjIPGwafStTRf_8bPPaoi2EFjHVy10_rRJ0uvy6YcU"",""AK:AK"")) - SUMPRODUCT((IMPORTRA"&amp;"NGE(""17XjIPGwafStTRf_8bPPaoi2EFjHVy10_rRJ0uvy6YcU"",""M:M"")=B9)*1, IMPORTRANGE(""17XjIPGwafStTRf_8bPPaoi2EFjHVy10_rRJ0uvy6YcU"",""X:X""), IMPORTRANGE(""17XjIPGwafStTRf_8bPPaoi2EFjHVy10_rRJ0uvy6YcU"",""AL:AL""))"),486544.0)</f>
        <v>486544</v>
      </c>
      <c r="D9" s="24">
        <f>IFERROR(__xludf.DUMMYFUNCTION("SUMPRODUCT((IMPORTRANGE(""17XjIPGwafStTRf_8bPPaoi2EFjHVy10_rRJ0uvy6YcU"",""M:M"")=B9)*1, IMPORTRANGE(""17XjIPGwafStTRf_8bPPaoi2EFjHVy10_rRJ0uvy6YcU"",""X:X""), IMPORTRANGE(""17XjIPGwafStTRf_8bPPaoi2EFjHVy10_rRJ0uvy6YcU"",""AA:AA"")) + SUMPRODUCT((IMPORTRA"&amp;"NGE(""17XjIPGwafStTRf_8bPPaoi2EFjHVy10_rRJ0uvy6YcU"",""M:M"")=B9)*1, IMPORTRANGE(""17XjIPGwafStTRf_8bPPaoi2EFjHVy10_rRJ0uvy6YcU"",""X:X""), IMPORTRANGE(""17XjIPGwafStTRf_8bPPaoi2EFjHVy10_rRJ0uvy6YcU"",""AE:AE"")) + SUMPRODUCT((IMPORTRANGE(""17XjIPGwafStTR"&amp;"f_8bPPaoi2EFjHVy10_rRJ0uvy6YcU"",""M:M"")=B9)*1, IMPORTRANGE(""17XjIPGwafStTRf_8bPPaoi2EFjHVy10_rRJ0uvy6YcU"",""X:X""), IMPORTRANGE(""17XjIPGwafStTRf_8bPPaoi2EFjHVy10_rRJ0uvy6YcU"",""AF:AF""))"),324342.4709919501)</f>
        <v>324342.471</v>
      </c>
      <c r="E9" s="24">
        <f>IFERROR(__xludf.DUMMYFUNCTION("SUMPRODUCT((IMPORTRANGE(""17XjIPGwafStTRf_8bPPaoi2EFjHVy10_rRJ0uvy6YcU"",""M:M"")=B9)*1, IMPORTRANGE(""17XjIPGwafStTRf_8bPPaoi2EFjHVy10_rRJ0uvy6YcU"",""X:X""), IMPORTRANGE(""17XjIPGwafStTRf_8bPPaoi2EFjHVy10_rRJ0uvy6YcU"",""AO:AO""))"),65808.92900804995)</f>
        <v>65808.92901</v>
      </c>
      <c r="F9" s="25">
        <f>IFERROR(__xludf.DUMMYFUNCTION("SUMPRODUCT((IMPORTRANGE(""17XjIPGwafStTRf_8bPPaoi2EFjHVy10_rRJ0uvy6YcU"",""M:M"")=B9)*1, IMPORTRANGE(""17XjIPGwafStTRf_8bPPaoi2EFjHVy10_rRJ0uvy6YcU"",""X:X""))"),130.0)</f>
        <v>130</v>
      </c>
      <c r="G9" s="26">
        <f>IFERROR(__xludf.DUMMYFUNCTION("COUNTIF(IMPORTRANGE(""17XjIPGwafStTRf_8bPPaoi2EFjHVy10_rRJ0uvy6YcU"",""M:M""), B9)"),51.0)</f>
        <v>51</v>
      </c>
      <c r="H9" s="27">
        <f t="shared" si="1"/>
        <v>2.549019608</v>
      </c>
      <c r="I9" s="28">
        <f t="shared" si="2"/>
        <v>0.1352579191</v>
      </c>
      <c r="J9" s="29">
        <f t="shared" si="3"/>
        <v>0.2028995118</v>
      </c>
      <c r="K9" s="32"/>
      <c r="L9" s="31" t="str">
        <f t="shared" si="4"/>
        <v/>
      </c>
      <c r="M9" s="31" t="str">
        <f t="shared" si="5"/>
        <v/>
      </c>
      <c r="N9" s="4"/>
    </row>
    <row r="10">
      <c r="A10" s="1"/>
      <c r="B10" s="23">
        <f t="shared" si="6"/>
        <v>44717</v>
      </c>
      <c r="C10" s="24">
        <f>IFERROR(__xludf.DUMMYFUNCTION("SUMPRODUCT((IMPORTRANGE(""17XjIPGwafStTRf_8bPPaoi2EFjHVy10_rRJ0uvy6YcU"",""M:M"")=B10)*1, IMPORTRANGE(""17XjIPGwafStTRf_8bPPaoi2EFjHVy10_rRJ0uvy6YcU"",""X:X""), IMPORTRANGE(""17XjIPGwafStTRf_8bPPaoi2EFjHVy10_rRJ0uvy6YcU"",""AK:AK"")) - SUMPRODUCT((IMPORTR"&amp;"ANGE(""17XjIPGwafStTRf_8bPPaoi2EFjHVy10_rRJ0uvy6YcU"",""M:M"")=B10)*1, IMPORTRANGE(""17XjIPGwafStTRf_8bPPaoi2EFjHVy10_rRJ0uvy6YcU"",""X:X""), IMPORTRANGE(""17XjIPGwafStTRf_8bPPaoi2EFjHVy10_rRJ0uvy6YcU"",""AL:AL""))"),1144914.0)</f>
        <v>1144914</v>
      </c>
      <c r="D10" s="24">
        <f>IFERROR(__xludf.DUMMYFUNCTION("SUMPRODUCT((IMPORTRANGE(""17XjIPGwafStTRf_8bPPaoi2EFjHVy10_rRJ0uvy6YcU"",""M:M"")=B10)*1, IMPORTRANGE(""17XjIPGwafStTRf_8bPPaoi2EFjHVy10_rRJ0uvy6YcU"",""X:X""), IMPORTRANGE(""17XjIPGwafStTRf_8bPPaoi2EFjHVy10_rRJ0uvy6YcU"",""AA:AA"")) + SUMPRODUCT((IMPORTR"&amp;"ANGE(""17XjIPGwafStTRf_8bPPaoi2EFjHVy10_rRJ0uvy6YcU"",""M:M"")=B10)*1, IMPORTRANGE(""17XjIPGwafStTRf_8bPPaoi2EFjHVy10_rRJ0uvy6YcU"",""X:X""), IMPORTRANGE(""17XjIPGwafStTRf_8bPPaoi2EFjHVy10_rRJ0uvy6YcU"",""AE:AE"")) + SUMPRODUCT((IMPORTRANGE(""17XjIPGwafSt"&amp;"TRf_8bPPaoi2EFjHVy10_rRJ0uvy6YcU"",""M:M"")=B10)*1, IMPORTRANGE(""17XjIPGwafStTRf_8bPPaoi2EFjHVy10_rRJ0uvy6YcU"",""X:X""), IMPORTRANGE(""17XjIPGwafStTRf_8bPPaoi2EFjHVy10_rRJ0uvy6YcU"",""AF:AF""))"),477918.0029718266)</f>
        <v>477918.003</v>
      </c>
      <c r="E10" s="24">
        <f>IFERROR(__xludf.DUMMYFUNCTION("SUMPRODUCT((IMPORTRANGE(""17XjIPGwafStTRf_8bPPaoi2EFjHVy10_rRJ0uvy6YcU"",""M:M"")=B10)*1, IMPORTRANGE(""17XjIPGwafStTRf_8bPPaoi2EFjHVy10_rRJ0uvy6YcU"",""X:X""), IMPORTRANGE(""17XjIPGwafStTRf_8bPPaoi2EFjHVy10_rRJ0uvy6YcU"",""AO:AO""))"),357093.89702817344)</f>
        <v>357093.897</v>
      </c>
      <c r="F10" s="25">
        <f>IFERROR(__xludf.DUMMYFUNCTION("SUMPRODUCT((IMPORTRANGE(""17XjIPGwafStTRf_8bPPaoi2EFjHVy10_rRJ0uvy6YcU"",""M:M"")=B10)*1, IMPORTRANGE(""17XjIPGwafStTRf_8bPPaoi2EFjHVy10_rRJ0uvy6YcU"",""X:X""))"),459.0)</f>
        <v>459</v>
      </c>
      <c r="G10" s="26">
        <f>IFERROR(__xludf.DUMMYFUNCTION("COUNTIF(IMPORTRANGE(""17XjIPGwafStTRf_8bPPaoi2EFjHVy10_rRJ0uvy6YcU"",""M:M""), B10)"),36.0)</f>
        <v>36</v>
      </c>
      <c r="H10" s="27">
        <f t="shared" si="1"/>
        <v>12.75</v>
      </c>
      <c r="I10" s="28">
        <f t="shared" si="2"/>
        <v>0.3118958254</v>
      </c>
      <c r="J10" s="29">
        <f t="shared" si="3"/>
        <v>0.7471865358</v>
      </c>
      <c r="K10" s="32"/>
      <c r="L10" s="31" t="str">
        <f t="shared" si="4"/>
        <v/>
      </c>
      <c r="M10" s="31" t="str">
        <f t="shared" si="5"/>
        <v/>
      </c>
      <c r="N10" s="4"/>
    </row>
    <row r="11">
      <c r="A11" s="1"/>
      <c r="B11" s="23">
        <f t="shared" si="6"/>
        <v>44718</v>
      </c>
      <c r="C11" s="24">
        <f>IFERROR(__xludf.DUMMYFUNCTION("SUMPRODUCT((IMPORTRANGE(""17XjIPGwafStTRf_8bPPaoi2EFjHVy10_rRJ0uvy6YcU"",""M:M"")=B11)*1, IMPORTRANGE(""17XjIPGwafStTRf_8bPPaoi2EFjHVy10_rRJ0uvy6YcU"",""X:X""), IMPORTRANGE(""17XjIPGwafStTRf_8bPPaoi2EFjHVy10_rRJ0uvy6YcU"",""AK:AK"")) - SUMPRODUCT((IMPORTR"&amp;"ANGE(""17XjIPGwafStTRf_8bPPaoi2EFjHVy10_rRJ0uvy6YcU"",""M:M"")=B11)*1, IMPORTRANGE(""17XjIPGwafStTRf_8bPPaoi2EFjHVy10_rRJ0uvy6YcU"",""X:X""), IMPORTRANGE(""17XjIPGwafStTRf_8bPPaoi2EFjHVy10_rRJ0uvy6YcU"",""AL:AL""))"),443925.0)</f>
        <v>443925</v>
      </c>
      <c r="D11" s="24">
        <f>IFERROR(__xludf.DUMMYFUNCTION("SUMPRODUCT((IMPORTRANGE(""17XjIPGwafStTRf_8bPPaoi2EFjHVy10_rRJ0uvy6YcU"",""M:M"")=B11)*1, IMPORTRANGE(""17XjIPGwafStTRf_8bPPaoi2EFjHVy10_rRJ0uvy6YcU"",""X:X""), IMPORTRANGE(""17XjIPGwafStTRf_8bPPaoi2EFjHVy10_rRJ0uvy6YcU"",""AA:AA"")) + SUMPRODUCT((IMPORTR"&amp;"ANGE(""17XjIPGwafStTRf_8bPPaoi2EFjHVy10_rRJ0uvy6YcU"",""M:M"")=B11)*1, IMPORTRANGE(""17XjIPGwafStTRf_8bPPaoi2EFjHVy10_rRJ0uvy6YcU"",""X:X""), IMPORTRANGE(""17XjIPGwafStTRf_8bPPaoi2EFjHVy10_rRJ0uvy6YcU"",""AE:AE"")) + SUMPRODUCT((IMPORTRANGE(""17XjIPGwafSt"&amp;"TRf_8bPPaoi2EFjHVy10_rRJ0uvy6YcU"",""M:M"")=B11)*1, IMPORTRANGE(""17XjIPGwafStTRf_8bPPaoi2EFjHVy10_rRJ0uvy6YcU"",""X:X""), IMPORTRANGE(""17XjIPGwafStTRf_8bPPaoi2EFjHVy10_rRJ0uvy6YcU"",""AF:AF""))"),278498.79046283424)</f>
        <v>278498.7905</v>
      </c>
      <c r="E11" s="24">
        <f>IFERROR(__xludf.DUMMYFUNCTION("SUMPRODUCT((IMPORTRANGE(""17XjIPGwafStTRf_8bPPaoi2EFjHVy10_rRJ0uvy6YcU"",""M:M"")=B11)*1, IMPORTRANGE(""17XjIPGwafStTRf_8bPPaoi2EFjHVy10_rRJ0uvy6YcU"",""X:X""), IMPORTRANGE(""17XjIPGwafStTRf_8bPPaoi2EFjHVy10_rRJ0uvy6YcU"",""AO:AO""))"),91810.60953716582)</f>
        <v>91810.60954</v>
      </c>
      <c r="F11" s="25">
        <f>IFERROR(__xludf.DUMMYFUNCTION("SUMPRODUCT((IMPORTRANGE(""17XjIPGwafStTRf_8bPPaoi2EFjHVy10_rRJ0uvy6YcU"",""M:M"")=B11)*1, IMPORTRANGE(""17XjIPGwafStTRf_8bPPaoi2EFjHVy10_rRJ0uvy6YcU"",""X:X""))"),81.0)</f>
        <v>81</v>
      </c>
      <c r="G11" s="26">
        <f>IFERROR(__xludf.DUMMYFUNCTION("COUNTIF(IMPORTRANGE(""17XjIPGwafStTRf_8bPPaoi2EFjHVy10_rRJ0uvy6YcU"",""M:M""), B11)"),14.0)</f>
        <v>14</v>
      </c>
      <c r="H11" s="27">
        <f t="shared" si="1"/>
        <v>5.785714286</v>
      </c>
      <c r="I11" s="28">
        <f t="shared" si="2"/>
        <v>0.2068155872</v>
      </c>
      <c r="J11" s="29">
        <f t="shared" si="3"/>
        <v>0.3296625073</v>
      </c>
      <c r="K11" s="30"/>
      <c r="L11" s="31" t="str">
        <f t="shared" si="4"/>
        <v/>
      </c>
      <c r="M11" s="31" t="str">
        <f t="shared" si="5"/>
        <v/>
      </c>
      <c r="N11" s="4"/>
    </row>
    <row r="12">
      <c r="A12" s="1"/>
      <c r="B12" s="23">
        <f t="shared" si="6"/>
        <v>44719</v>
      </c>
      <c r="C12" s="24">
        <f>IFERROR(__xludf.DUMMYFUNCTION("SUMPRODUCT((IMPORTRANGE(""17XjIPGwafStTRf_8bPPaoi2EFjHVy10_rRJ0uvy6YcU"",""M:M"")=B12)*1, IMPORTRANGE(""17XjIPGwafStTRf_8bPPaoi2EFjHVy10_rRJ0uvy6YcU"",""X:X""), IMPORTRANGE(""17XjIPGwafStTRf_8bPPaoi2EFjHVy10_rRJ0uvy6YcU"",""AK:AK"")) - SUMPRODUCT((IMPORTR"&amp;"ANGE(""17XjIPGwafStTRf_8bPPaoi2EFjHVy10_rRJ0uvy6YcU"",""M:M"")=B12)*1, IMPORTRANGE(""17XjIPGwafStTRf_8bPPaoi2EFjHVy10_rRJ0uvy6YcU"",""X:X""), IMPORTRANGE(""17XjIPGwafStTRf_8bPPaoi2EFjHVy10_rRJ0uvy6YcU"",""AL:AL""))"),722909.0)</f>
        <v>722909</v>
      </c>
      <c r="D12" s="24">
        <f>IFERROR(__xludf.DUMMYFUNCTION("SUMPRODUCT((IMPORTRANGE(""17XjIPGwafStTRf_8bPPaoi2EFjHVy10_rRJ0uvy6YcU"",""M:M"")=B12)*1, IMPORTRANGE(""17XjIPGwafStTRf_8bPPaoi2EFjHVy10_rRJ0uvy6YcU"",""X:X""), IMPORTRANGE(""17XjIPGwafStTRf_8bPPaoi2EFjHVy10_rRJ0uvy6YcU"",""AA:AA"")) + SUMPRODUCT((IMPORTR"&amp;"ANGE(""17XjIPGwafStTRf_8bPPaoi2EFjHVy10_rRJ0uvy6YcU"",""M:M"")=B12)*1, IMPORTRANGE(""17XjIPGwafStTRf_8bPPaoi2EFjHVy10_rRJ0uvy6YcU"",""X:X""), IMPORTRANGE(""17XjIPGwafStTRf_8bPPaoi2EFjHVy10_rRJ0uvy6YcU"",""AE:AE"")) + SUMPRODUCT((IMPORTRANGE(""17XjIPGwafSt"&amp;"TRf_8bPPaoi2EFjHVy10_rRJ0uvy6YcU"",""M:M"")=B12)*1, IMPORTRANGE(""17XjIPGwafStTRf_8bPPaoi2EFjHVy10_rRJ0uvy6YcU"",""X:X""), IMPORTRANGE(""17XjIPGwafStTRf_8bPPaoi2EFjHVy10_rRJ0uvy6YcU"",""AF:AF""))"),395762.6516096699)</f>
        <v>395762.6516</v>
      </c>
      <c r="E12" s="24">
        <f>IFERROR(__xludf.DUMMYFUNCTION("SUMPRODUCT((IMPORTRANGE(""17XjIPGwafStTRf_8bPPaoi2EFjHVy10_rRJ0uvy6YcU"",""M:M"")=B12)*1, IMPORTRANGE(""17XjIPGwafStTRf_8bPPaoi2EFjHVy10_rRJ0uvy6YcU"",""X:X""), IMPORTRANGE(""17XjIPGwafStTRf_8bPPaoi2EFjHVy10_rRJ0uvy6YcU"",""AO:AO""))"),203424.49444466387)</f>
        <v>203424.4944</v>
      </c>
      <c r="F12" s="25">
        <f>IFERROR(__xludf.DUMMYFUNCTION("SUMPRODUCT((IMPORTRANGE(""17XjIPGwafStTRf_8bPPaoi2EFjHVy10_rRJ0uvy6YcU"",""M:M"")=B12)*1, IMPORTRANGE(""17XjIPGwafStTRf_8bPPaoi2EFjHVy10_rRJ0uvy6YcU"",""X:X""))"),124.0)</f>
        <v>124</v>
      </c>
      <c r="G12" s="26">
        <f>IFERROR(__xludf.DUMMYFUNCTION("COUNTIF(IMPORTRANGE(""17XjIPGwafStTRf_8bPPaoi2EFjHVy10_rRJ0uvy6YcU"",""M:M""), B12)"),31.0)</f>
        <v>31</v>
      </c>
      <c r="H12" s="27">
        <f t="shared" si="1"/>
        <v>4</v>
      </c>
      <c r="I12" s="28">
        <f t="shared" si="2"/>
        <v>0.2813970976</v>
      </c>
      <c r="J12" s="29">
        <f t="shared" si="3"/>
        <v>0.5140062955</v>
      </c>
      <c r="K12" s="32"/>
      <c r="L12" s="31" t="str">
        <f t="shared" si="4"/>
        <v/>
      </c>
      <c r="M12" s="31" t="str">
        <f t="shared" si="5"/>
        <v/>
      </c>
      <c r="N12" s="4"/>
    </row>
    <row r="13">
      <c r="A13" s="1"/>
      <c r="B13" s="23">
        <f t="shared" si="6"/>
        <v>44720</v>
      </c>
      <c r="C13" s="24">
        <f>IFERROR(__xludf.DUMMYFUNCTION("SUMPRODUCT((IMPORTRANGE(""17XjIPGwafStTRf_8bPPaoi2EFjHVy10_rRJ0uvy6YcU"",""M:M"")=B13)*1, IMPORTRANGE(""17XjIPGwafStTRf_8bPPaoi2EFjHVy10_rRJ0uvy6YcU"",""X:X""), IMPORTRANGE(""17XjIPGwafStTRf_8bPPaoi2EFjHVy10_rRJ0uvy6YcU"",""AK:AK"")) - SUMPRODUCT((IMPORTR"&amp;"ANGE(""17XjIPGwafStTRf_8bPPaoi2EFjHVy10_rRJ0uvy6YcU"",""M:M"")=B13)*1, IMPORTRANGE(""17XjIPGwafStTRf_8bPPaoi2EFjHVy10_rRJ0uvy6YcU"",""X:X""), IMPORTRANGE(""17XjIPGwafStTRf_8bPPaoi2EFjHVy10_rRJ0uvy6YcU"",""AL:AL""))"),701433.0)</f>
        <v>701433</v>
      </c>
      <c r="D13" s="24">
        <f>IFERROR(__xludf.DUMMYFUNCTION("SUMPRODUCT((IMPORTRANGE(""17XjIPGwafStTRf_8bPPaoi2EFjHVy10_rRJ0uvy6YcU"",""M:M"")=B13)*1, IMPORTRANGE(""17XjIPGwafStTRf_8bPPaoi2EFjHVy10_rRJ0uvy6YcU"",""X:X""), IMPORTRANGE(""17XjIPGwafStTRf_8bPPaoi2EFjHVy10_rRJ0uvy6YcU"",""AA:AA"")) + SUMPRODUCT((IMPORTR"&amp;"ANGE(""17XjIPGwafStTRf_8bPPaoi2EFjHVy10_rRJ0uvy6YcU"",""M:M"")=B13)*1, IMPORTRANGE(""17XjIPGwafStTRf_8bPPaoi2EFjHVy10_rRJ0uvy6YcU"",""X:X""), IMPORTRANGE(""17XjIPGwafStTRf_8bPPaoi2EFjHVy10_rRJ0uvy6YcU"",""AE:AE"")) + SUMPRODUCT((IMPORTRANGE(""17XjIPGwafSt"&amp;"TRf_8bPPaoi2EFjHVy10_rRJ0uvy6YcU"",""M:M"")=B13)*1, IMPORTRANGE(""17XjIPGwafStTRf_8bPPaoi2EFjHVy10_rRJ0uvy6YcU"",""X:X""), IMPORTRANGE(""17XjIPGwafStTRf_8bPPaoi2EFjHVy10_rRJ0uvy6YcU"",""AF:AF""))"),401183.5007805641)</f>
        <v>401183.5008</v>
      </c>
      <c r="E13" s="24">
        <f>IFERROR(__xludf.DUMMYFUNCTION("SUMPRODUCT((IMPORTRANGE(""17XjIPGwafStTRf_8bPPaoi2EFjHVy10_rRJ0uvy6YcU"",""M:M"")=B13)*1, IMPORTRANGE(""17XjIPGwafStTRf_8bPPaoi2EFjHVy10_rRJ0uvy6YcU"",""X:X""), IMPORTRANGE(""17XjIPGwafStTRf_8bPPaoi2EFjHVy10_rRJ0uvy6YcU"",""AO:AO""))"),200461.89921943587)</f>
        <v>200461.8992</v>
      </c>
      <c r="F13" s="25">
        <f>IFERROR(__xludf.DUMMYFUNCTION("SUMPRODUCT((IMPORTRANGE(""17XjIPGwafStTRf_8bPPaoi2EFjHVy10_rRJ0uvy6YcU"",""M:M"")=B13)*1, IMPORTRANGE(""17XjIPGwafStTRf_8bPPaoi2EFjHVy10_rRJ0uvy6YcU"",""X:X""))"),121.0)</f>
        <v>121</v>
      </c>
      <c r="G13" s="26">
        <f>IFERROR(__xludf.DUMMYFUNCTION("COUNTIF(IMPORTRANGE(""17XjIPGwafStTRf_8bPPaoi2EFjHVy10_rRJ0uvy6YcU"",""M:M""), B13)"),18.0)</f>
        <v>18</v>
      </c>
      <c r="H13" s="27">
        <f t="shared" si="1"/>
        <v>6.722222222</v>
      </c>
      <c r="I13" s="28">
        <f t="shared" si="2"/>
        <v>0.2857890906</v>
      </c>
      <c r="J13" s="29">
        <f t="shared" si="3"/>
        <v>0.4996763297</v>
      </c>
      <c r="K13" s="32"/>
      <c r="L13" s="31" t="str">
        <f t="shared" si="4"/>
        <v/>
      </c>
      <c r="M13" s="31" t="str">
        <f t="shared" si="5"/>
        <v/>
      </c>
      <c r="N13" s="4"/>
    </row>
    <row r="14">
      <c r="A14" s="1"/>
      <c r="B14" s="23">
        <f t="shared" si="6"/>
        <v>44721</v>
      </c>
      <c r="C14" s="24">
        <f>IFERROR(__xludf.DUMMYFUNCTION("SUMPRODUCT((IMPORTRANGE(""17XjIPGwafStTRf_8bPPaoi2EFjHVy10_rRJ0uvy6YcU"",""M:M"")=B14)*1, IMPORTRANGE(""17XjIPGwafStTRf_8bPPaoi2EFjHVy10_rRJ0uvy6YcU"",""X:X""), IMPORTRANGE(""17XjIPGwafStTRf_8bPPaoi2EFjHVy10_rRJ0uvy6YcU"",""AK:AK"")) - SUMPRODUCT((IMPORTR"&amp;"ANGE(""17XjIPGwafStTRf_8bPPaoi2EFjHVy10_rRJ0uvy6YcU"",""M:M"")=B14)*1, IMPORTRANGE(""17XjIPGwafStTRf_8bPPaoi2EFjHVy10_rRJ0uvy6YcU"",""X:X""), IMPORTRANGE(""17XjIPGwafStTRf_8bPPaoi2EFjHVy10_rRJ0uvy6YcU"",""AL:AL""))"),169514.0)</f>
        <v>169514</v>
      </c>
      <c r="D14" s="24">
        <f>IFERROR(__xludf.DUMMYFUNCTION("SUMPRODUCT((IMPORTRANGE(""17XjIPGwafStTRf_8bPPaoi2EFjHVy10_rRJ0uvy6YcU"",""M:M"")=B14)*1, IMPORTRANGE(""17XjIPGwafStTRf_8bPPaoi2EFjHVy10_rRJ0uvy6YcU"",""X:X""), IMPORTRANGE(""17XjIPGwafStTRf_8bPPaoi2EFjHVy10_rRJ0uvy6YcU"",""AA:AA"")) + SUMPRODUCT((IMPORTR"&amp;"ANGE(""17XjIPGwafStTRf_8bPPaoi2EFjHVy10_rRJ0uvy6YcU"",""M:M"")=B14)*1, IMPORTRANGE(""17XjIPGwafStTRf_8bPPaoi2EFjHVy10_rRJ0uvy6YcU"",""X:X""), IMPORTRANGE(""17XjIPGwafStTRf_8bPPaoi2EFjHVy10_rRJ0uvy6YcU"",""AE:AE"")) + SUMPRODUCT((IMPORTRANGE(""17XjIPGwafSt"&amp;"TRf_8bPPaoi2EFjHVy10_rRJ0uvy6YcU"",""M:M"")=B14)*1, IMPORTRANGE(""17XjIPGwafStTRf_8bPPaoi2EFjHVy10_rRJ0uvy6YcU"",""X:X""), IMPORTRANGE(""17XjIPGwafStTRf_8bPPaoi2EFjHVy10_rRJ0uvy6YcU"",""AF:AF""))"),93330.34665210076)</f>
        <v>93330.34665</v>
      </c>
      <c r="E14" s="24">
        <f>IFERROR(__xludf.DUMMYFUNCTION("SUMPRODUCT((IMPORTRANGE(""17XjIPGwafStTRf_8bPPaoi2EFjHVy10_rRJ0uvy6YcU"",""M:M"")=B14)*1, IMPORTRANGE(""17XjIPGwafStTRf_8bPPaoi2EFjHVy10_rRJ0uvy6YcU"",""X:X""), IMPORTRANGE(""17XjIPGwafStTRf_8bPPaoi2EFjHVy10_rRJ0uvy6YcU"",""AO:AO""))"),45605.394440325384)</f>
        <v>45605.39444</v>
      </c>
      <c r="F14" s="25">
        <f>IFERROR(__xludf.DUMMYFUNCTION("SUMPRODUCT((IMPORTRANGE(""17XjIPGwafStTRf_8bPPaoi2EFjHVy10_rRJ0uvy6YcU"",""M:M"")=B14)*1, IMPORTRANGE(""17XjIPGwafStTRf_8bPPaoi2EFjHVy10_rRJ0uvy6YcU"",""X:X""))"),33.0)</f>
        <v>33</v>
      </c>
      <c r="G14" s="26">
        <f>IFERROR(__xludf.DUMMYFUNCTION("COUNTIF(IMPORTRANGE(""17XjIPGwafStTRf_8bPPaoi2EFjHVy10_rRJ0uvy6YcU"",""M:M""), B14)"),15.0)</f>
        <v>15</v>
      </c>
      <c r="H14" s="27">
        <f t="shared" si="1"/>
        <v>2.2</v>
      </c>
      <c r="I14" s="28">
        <f t="shared" si="2"/>
        <v>0.269036153</v>
      </c>
      <c r="J14" s="29">
        <f t="shared" si="3"/>
        <v>0.4886448629</v>
      </c>
      <c r="K14" s="32"/>
      <c r="L14" s="31" t="str">
        <f t="shared" si="4"/>
        <v/>
      </c>
      <c r="M14" s="31" t="str">
        <f t="shared" si="5"/>
        <v/>
      </c>
      <c r="N14" s="4"/>
    </row>
    <row r="15">
      <c r="A15" s="1"/>
      <c r="B15" s="23">
        <f t="shared" si="6"/>
        <v>44722</v>
      </c>
      <c r="C15" s="24">
        <f>IFERROR(__xludf.DUMMYFUNCTION("SUMPRODUCT((IMPORTRANGE(""17XjIPGwafStTRf_8bPPaoi2EFjHVy10_rRJ0uvy6YcU"",""M:M"")=B15)*1, IMPORTRANGE(""17XjIPGwafStTRf_8bPPaoi2EFjHVy10_rRJ0uvy6YcU"",""X:X""), IMPORTRANGE(""17XjIPGwafStTRf_8bPPaoi2EFjHVy10_rRJ0uvy6YcU"",""AK:AK"")) - SUMPRODUCT((IMPORTR"&amp;"ANGE(""17XjIPGwafStTRf_8bPPaoi2EFjHVy10_rRJ0uvy6YcU"",""M:M"")=B15)*1, IMPORTRANGE(""17XjIPGwafStTRf_8bPPaoi2EFjHVy10_rRJ0uvy6YcU"",""X:X""), IMPORTRANGE(""17XjIPGwafStTRf_8bPPaoi2EFjHVy10_rRJ0uvy6YcU"",""AL:AL""))"),191223.0)</f>
        <v>191223</v>
      </c>
      <c r="D15" s="24">
        <f>IFERROR(__xludf.DUMMYFUNCTION("SUMPRODUCT((IMPORTRANGE(""17XjIPGwafStTRf_8bPPaoi2EFjHVy10_rRJ0uvy6YcU"",""M:M"")=B15)*1, IMPORTRANGE(""17XjIPGwafStTRf_8bPPaoi2EFjHVy10_rRJ0uvy6YcU"",""X:X""), IMPORTRANGE(""17XjIPGwafStTRf_8bPPaoi2EFjHVy10_rRJ0uvy6YcU"",""AA:AA"")) + SUMPRODUCT((IMPORTR"&amp;"ANGE(""17XjIPGwafStTRf_8bPPaoi2EFjHVy10_rRJ0uvy6YcU"",""M:M"")=B15)*1, IMPORTRANGE(""17XjIPGwafStTRf_8bPPaoi2EFjHVy10_rRJ0uvy6YcU"",""X:X""), IMPORTRANGE(""17XjIPGwafStTRf_8bPPaoi2EFjHVy10_rRJ0uvy6YcU"",""AE:AE"")) + SUMPRODUCT((IMPORTRANGE(""17XjIPGwafSt"&amp;"TRf_8bPPaoi2EFjHVy10_rRJ0uvy6YcU"",""M:M"")=B15)*1, IMPORTRANGE(""17XjIPGwafStTRf_8bPPaoi2EFjHVy10_rRJ0uvy6YcU"",""X:X""), IMPORTRANGE(""17XjIPGwafStTRf_8bPPaoi2EFjHVy10_rRJ0uvy6YcU"",""AF:AF""))"),106867.42917658469)</f>
        <v>106867.4292</v>
      </c>
      <c r="E15" s="24">
        <f>IFERROR(__xludf.DUMMYFUNCTION("SUMPRODUCT((IMPORTRANGE(""17XjIPGwafStTRf_8bPPaoi2EFjHVy10_rRJ0uvy6YcU"",""M:M"")=B15)*1, IMPORTRANGE(""17XjIPGwafStTRf_8bPPaoi2EFjHVy10_rRJ0uvy6YcU"",""X:X""), IMPORTRANGE(""17XjIPGwafStTRf_8bPPaoi2EFjHVy10_rRJ0uvy6YcU"",""AO:AO""))"),50264.06220392772)</f>
        <v>50264.0622</v>
      </c>
      <c r="F15" s="25">
        <f>IFERROR(__xludf.DUMMYFUNCTION("SUMPRODUCT((IMPORTRANGE(""17XjIPGwafStTRf_8bPPaoi2EFjHVy10_rRJ0uvy6YcU"",""M:M"")=B15)*1, IMPORTRANGE(""17XjIPGwafStTRf_8bPPaoi2EFjHVy10_rRJ0uvy6YcU"",""X:X""))"),38.0)</f>
        <v>38</v>
      </c>
      <c r="G15" s="26">
        <f>IFERROR(__xludf.DUMMYFUNCTION("COUNTIF(IMPORTRANGE(""17XjIPGwafStTRf_8bPPaoi2EFjHVy10_rRJ0uvy6YcU"",""M:M""), B15)"),15.0)</f>
        <v>15</v>
      </c>
      <c r="H15" s="27">
        <f t="shared" si="1"/>
        <v>2.533333333</v>
      </c>
      <c r="I15" s="28">
        <f t="shared" si="2"/>
        <v>0.2628557349</v>
      </c>
      <c r="J15" s="29">
        <f t="shared" si="3"/>
        <v>0.4703403328</v>
      </c>
      <c r="K15" s="30"/>
      <c r="L15" s="31" t="str">
        <f t="shared" si="4"/>
        <v/>
      </c>
      <c r="M15" s="31" t="str">
        <f t="shared" si="5"/>
        <v/>
      </c>
      <c r="N15" s="4"/>
    </row>
    <row r="16">
      <c r="A16" s="1"/>
      <c r="B16" s="23">
        <f t="shared" si="6"/>
        <v>44723</v>
      </c>
      <c r="C16" s="24">
        <f>IFERROR(__xludf.DUMMYFUNCTION("SUMPRODUCT((IMPORTRANGE(""17XjIPGwafStTRf_8bPPaoi2EFjHVy10_rRJ0uvy6YcU"",""M:M"")=B16)*1, IMPORTRANGE(""17XjIPGwafStTRf_8bPPaoi2EFjHVy10_rRJ0uvy6YcU"",""X:X""), IMPORTRANGE(""17XjIPGwafStTRf_8bPPaoi2EFjHVy10_rRJ0uvy6YcU"",""AK:AK"")) - SUMPRODUCT((IMPORTR"&amp;"ANGE(""17XjIPGwafStTRf_8bPPaoi2EFjHVy10_rRJ0uvy6YcU"",""M:M"")=B16)*1, IMPORTRANGE(""17XjIPGwafStTRf_8bPPaoi2EFjHVy10_rRJ0uvy6YcU"",""X:X""), IMPORTRANGE(""17XjIPGwafStTRf_8bPPaoi2EFjHVy10_rRJ0uvy6YcU"",""AL:AL""))"),195098.0)</f>
        <v>195098</v>
      </c>
      <c r="D16" s="24">
        <f>IFERROR(__xludf.DUMMYFUNCTION("SUMPRODUCT((IMPORTRANGE(""17XjIPGwafStTRf_8bPPaoi2EFjHVy10_rRJ0uvy6YcU"",""M:M"")=B16)*1, IMPORTRANGE(""17XjIPGwafStTRf_8bPPaoi2EFjHVy10_rRJ0uvy6YcU"",""X:X""), IMPORTRANGE(""17XjIPGwafStTRf_8bPPaoi2EFjHVy10_rRJ0uvy6YcU"",""AA:AA"")) + SUMPRODUCT((IMPORTR"&amp;"ANGE(""17XjIPGwafStTRf_8bPPaoi2EFjHVy10_rRJ0uvy6YcU"",""M:M"")=B16)*1, IMPORTRANGE(""17XjIPGwafStTRf_8bPPaoi2EFjHVy10_rRJ0uvy6YcU"",""X:X""), IMPORTRANGE(""17XjIPGwafStTRf_8bPPaoi2EFjHVy10_rRJ0uvy6YcU"",""AE:AE"")) + SUMPRODUCT((IMPORTRANGE(""17XjIPGwafSt"&amp;"TRf_8bPPaoi2EFjHVy10_rRJ0uvy6YcU"",""M:M"")=B16)*1, IMPORTRANGE(""17XjIPGwafStTRf_8bPPaoi2EFjHVy10_rRJ0uvy6YcU"",""X:X""), IMPORTRANGE(""17XjIPGwafStTRf_8bPPaoi2EFjHVy10_rRJ0uvy6YcU"",""AF:AF""))"),99718.20441571854)</f>
        <v>99718.20442</v>
      </c>
      <c r="E16" s="24">
        <f>IFERROR(__xludf.DUMMYFUNCTION("SUMPRODUCT((IMPORTRANGE(""17XjIPGwafStTRf_8bPPaoi2EFjHVy10_rRJ0uvy6YcU"",""M:M"")=B16)*1, IMPORTRANGE(""17XjIPGwafStTRf_8bPPaoi2EFjHVy10_rRJ0uvy6YcU"",""X:X""), IMPORTRANGE(""17XjIPGwafStTRf_8bPPaoi2EFjHVy10_rRJ0uvy6YcU"",""AO:AO""))"),78571.09558428146)</f>
        <v>78571.09558</v>
      </c>
      <c r="F16" s="25">
        <f>IFERROR(__xludf.DUMMYFUNCTION("SUMPRODUCT((IMPORTRANGE(""17XjIPGwafStTRf_8bPPaoi2EFjHVy10_rRJ0uvy6YcU"",""M:M"")=B16)*1, IMPORTRANGE(""17XjIPGwafStTRf_8bPPaoi2EFjHVy10_rRJ0uvy6YcU"",""X:X""))"),39.0)</f>
        <v>39</v>
      </c>
      <c r="G16" s="26">
        <f>IFERROR(__xludf.DUMMYFUNCTION("COUNTIF(IMPORTRANGE(""17XjIPGwafStTRf_8bPPaoi2EFjHVy10_rRJ0uvy6YcU"",""M:M""), B16)"),13.0)</f>
        <v>13</v>
      </c>
      <c r="H16" s="27">
        <f t="shared" si="1"/>
        <v>3</v>
      </c>
      <c r="I16" s="28">
        <f t="shared" si="2"/>
        <v>0.4027262995</v>
      </c>
      <c r="J16" s="29">
        <f t="shared" si="3"/>
        <v>0.7879313115</v>
      </c>
      <c r="K16" s="32"/>
      <c r="L16" s="31" t="str">
        <f t="shared" si="4"/>
        <v/>
      </c>
      <c r="M16" s="31" t="str">
        <f t="shared" si="5"/>
        <v/>
      </c>
      <c r="N16" s="4"/>
    </row>
    <row r="17">
      <c r="A17" s="1"/>
      <c r="B17" s="23">
        <f t="shared" si="6"/>
        <v>44724</v>
      </c>
      <c r="C17" s="24">
        <f>IFERROR(__xludf.DUMMYFUNCTION("SUMPRODUCT((IMPORTRANGE(""17XjIPGwafStTRf_8bPPaoi2EFjHVy10_rRJ0uvy6YcU"",""M:M"")=B17)*1, IMPORTRANGE(""17XjIPGwafStTRf_8bPPaoi2EFjHVy10_rRJ0uvy6YcU"",""X:X""), IMPORTRANGE(""17XjIPGwafStTRf_8bPPaoi2EFjHVy10_rRJ0uvy6YcU"",""AK:AK"")) - SUMPRODUCT((IMPORTR"&amp;"ANGE(""17XjIPGwafStTRf_8bPPaoi2EFjHVy10_rRJ0uvy6YcU"",""M:M"")=B17)*1, IMPORTRANGE(""17XjIPGwafStTRf_8bPPaoi2EFjHVy10_rRJ0uvy6YcU"",""X:X""), IMPORTRANGE(""17XjIPGwafStTRf_8bPPaoi2EFjHVy10_rRJ0uvy6YcU"",""AL:AL""))"),449376.0)</f>
        <v>449376</v>
      </c>
      <c r="D17" s="24">
        <f>IFERROR(__xludf.DUMMYFUNCTION("SUMPRODUCT((IMPORTRANGE(""17XjIPGwafStTRf_8bPPaoi2EFjHVy10_rRJ0uvy6YcU"",""M:M"")=B17)*1, IMPORTRANGE(""17XjIPGwafStTRf_8bPPaoi2EFjHVy10_rRJ0uvy6YcU"",""X:X""), IMPORTRANGE(""17XjIPGwafStTRf_8bPPaoi2EFjHVy10_rRJ0uvy6YcU"",""AA:AA"")) + SUMPRODUCT((IMPORTR"&amp;"ANGE(""17XjIPGwafStTRf_8bPPaoi2EFjHVy10_rRJ0uvy6YcU"",""M:M"")=B17)*1, IMPORTRANGE(""17XjIPGwafStTRf_8bPPaoi2EFjHVy10_rRJ0uvy6YcU"",""X:X""), IMPORTRANGE(""17XjIPGwafStTRf_8bPPaoi2EFjHVy10_rRJ0uvy6YcU"",""AE:AE"")) + SUMPRODUCT((IMPORTRANGE(""17XjIPGwafSt"&amp;"TRf_8bPPaoi2EFjHVy10_rRJ0uvy6YcU"",""M:M"")=B17)*1, IMPORTRANGE(""17XjIPGwafStTRf_8bPPaoi2EFjHVy10_rRJ0uvy6YcU"",""X:X""), IMPORTRANGE(""17XjIPGwafStTRf_8bPPaoi2EFjHVy10_rRJ0uvy6YcU"",""AF:AF""))"),260250.66461219802)</f>
        <v>260250.6646</v>
      </c>
      <c r="E17" s="24">
        <f>IFERROR(__xludf.DUMMYFUNCTION("SUMPRODUCT((IMPORTRANGE(""17XjIPGwafStTRf_8bPPaoi2EFjHVy10_rRJ0uvy6YcU"",""M:M"")=B17)*1, IMPORTRANGE(""17XjIPGwafStTRf_8bPPaoi2EFjHVy10_rRJ0uvy6YcU"",""X:X""), IMPORTRANGE(""17XjIPGwafStTRf_8bPPaoi2EFjHVy10_rRJ0uvy6YcU"",""AO:AO""))"),100939.33538780194)</f>
        <v>100939.3354</v>
      </c>
      <c r="F17" s="25">
        <f>IFERROR(__xludf.DUMMYFUNCTION("SUMPRODUCT((IMPORTRANGE(""17XjIPGwafStTRf_8bPPaoi2EFjHVy10_rRJ0uvy6YcU"",""M:M"")=B17)*1, IMPORTRANGE(""17XjIPGwafStTRf_8bPPaoi2EFjHVy10_rRJ0uvy6YcU"",""X:X""))"),94.0)</f>
        <v>94</v>
      </c>
      <c r="G17" s="26">
        <f>IFERROR(__xludf.DUMMYFUNCTION("COUNTIF(IMPORTRANGE(""17XjIPGwafStTRf_8bPPaoi2EFjHVy10_rRJ0uvy6YcU"",""M:M""), B17)"),46.0)</f>
        <v>46</v>
      </c>
      <c r="H17" s="27">
        <f t="shared" si="1"/>
        <v>2.043478261</v>
      </c>
      <c r="I17" s="28">
        <f t="shared" si="2"/>
        <v>0.2246211088</v>
      </c>
      <c r="J17" s="29">
        <f t="shared" si="3"/>
        <v>0.3878542848</v>
      </c>
      <c r="K17" s="32"/>
      <c r="L17" s="31" t="str">
        <f t="shared" si="4"/>
        <v/>
      </c>
      <c r="M17" s="31" t="str">
        <f t="shared" si="5"/>
        <v/>
      </c>
      <c r="N17" s="4"/>
    </row>
    <row r="18">
      <c r="A18" s="1"/>
      <c r="B18" s="23">
        <f t="shared" si="6"/>
        <v>44725</v>
      </c>
      <c r="C18" s="24">
        <f>IFERROR(__xludf.DUMMYFUNCTION("SUMPRODUCT((IMPORTRANGE(""17XjIPGwafStTRf_8bPPaoi2EFjHVy10_rRJ0uvy6YcU"",""M:M"")=B18)*1, IMPORTRANGE(""17XjIPGwafStTRf_8bPPaoi2EFjHVy10_rRJ0uvy6YcU"",""X:X""), IMPORTRANGE(""17XjIPGwafStTRf_8bPPaoi2EFjHVy10_rRJ0uvy6YcU"",""AK:AK"")) - SUMPRODUCT((IMPORTR"&amp;"ANGE(""17XjIPGwafStTRf_8bPPaoi2EFjHVy10_rRJ0uvy6YcU"",""M:M"")=B18)*1, IMPORTRANGE(""17XjIPGwafStTRf_8bPPaoi2EFjHVy10_rRJ0uvy6YcU"",""X:X""), IMPORTRANGE(""17XjIPGwafStTRf_8bPPaoi2EFjHVy10_rRJ0uvy6YcU"",""AL:AL""))"),158447.0)</f>
        <v>158447</v>
      </c>
      <c r="D18" s="24">
        <f>IFERROR(__xludf.DUMMYFUNCTION("SUMPRODUCT((IMPORTRANGE(""17XjIPGwafStTRf_8bPPaoi2EFjHVy10_rRJ0uvy6YcU"",""M:M"")=B18)*1, IMPORTRANGE(""17XjIPGwafStTRf_8bPPaoi2EFjHVy10_rRJ0uvy6YcU"",""X:X""), IMPORTRANGE(""17XjIPGwafStTRf_8bPPaoi2EFjHVy10_rRJ0uvy6YcU"",""AA:AA"")) + SUMPRODUCT((IMPORTR"&amp;"ANGE(""17XjIPGwafStTRf_8bPPaoi2EFjHVy10_rRJ0uvy6YcU"",""M:M"")=B18)*1, IMPORTRANGE(""17XjIPGwafStTRf_8bPPaoi2EFjHVy10_rRJ0uvy6YcU"",""X:X""), IMPORTRANGE(""17XjIPGwafStTRf_8bPPaoi2EFjHVy10_rRJ0uvy6YcU"",""AE:AE"")) + SUMPRODUCT((IMPORTRANGE(""17XjIPGwafSt"&amp;"TRf_8bPPaoi2EFjHVy10_rRJ0uvy6YcU"",""M:M"")=B18)*1, IMPORTRANGE(""17XjIPGwafStTRf_8bPPaoi2EFjHVy10_rRJ0uvy6YcU"",""X:X""), IMPORTRANGE(""17XjIPGwafStTRf_8bPPaoi2EFjHVy10_rRJ0uvy6YcU"",""AF:AF""))"),123753.07463363634)</f>
        <v>123753.0746</v>
      </c>
      <c r="E18" s="24">
        <f>IFERROR(__xludf.DUMMYFUNCTION("SUMPRODUCT((IMPORTRANGE(""17XjIPGwafStTRf_8bPPaoi2EFjHVy10_rRJ0uvy6YcU"",""M:M"")=B18)*1, IMPORTRANGE(""17XjIPGwafStTRf_8bPPaoi2EFjHVy10_rRJ0uvy6YcU"",""X:X""), IMPORTRANGE(""17XjIPGwafStTRf_8bPPaoi2EFjHVy10_rRJ0uvy6YcU"",""AO:AO""))"),69600.95234433579)</f>
        <v>69600.95234</v>
      </c>
      <c r="F18" s="25">
        <f>IFERROR(__xludf.DUMMYFUNCTION("SUMPRODUCT((IMPORTRANGE(""17XjIPGwafStTRf_8bPPaoi2EFjHVy10_rRJ0uvy6YcU"",""M:M"")=B18)*1, IMPORTRANGE(""17XjIPGwafStTRf_8bPPaoi2EFjHVy10_rRJ0uvy6YcU"",""X:X""))"),45.0)</f>
        <v>45</v>
      </c>
      <c r="G18" s="26">
        <f>IFERROR(__xludf.DUMMYFUNCTION("COUNTIF(IMPORTRANGE(""17XjIPGwafStTRf_8bPPaoi2EFjHVy10_rRJ0uvy6YcU"",""M:M""), B18)"),21.0)</f>
        <v>21</v>
      </c>
      <c r="H18" s="27">
        <f t="shared" si="1"/>
        <v>2.142857143</v>
      </c>
      <c r="I18" s="28">
        <f t="shared" si="2"/>
        <v>0.4392696128</v>
      </c>
      <c r="J18" s="29">
        <f t="shared" si="3"/>
        <v>0.5624179646</v>
      </c>
      <c r="K18" s="32"/>
      <c r="L18" s="31" t="str">
        <f t="shared" si="4"/>
        <v/>
      </c>
      <c r="M18" s="31" t="str">
        <f t="shared" si="5"/>
        <v/>
      </c>
      <c r="N18" s="4"/>
    </row>
    <row r="19">
      <c r="A19" s="1"/>
      <c r="B19" s="23">
        <f t="shared" si="6"/>
        <v>44726</v>
      </c>
      <c r="C19" s="24">
        <f>IFERROR(__xludf.DUMMYFUNCTION("SUMPRODUCT((IMPORTRANGE(""17XjIPGwafStTRf_8bPPaoi2EFjHVy10_rRJ0uvy6YcU"",""M:M"")=B19)*1, IMPORTRANGE(""17XjIPGwafStTRf_8bPPaoi2EFjHVy10_rRJ0uvy6YcU"",""X:X""), IMPORTRANGE(""17XjIPGwafStTRf_8bPPaoi2EFjHVy10_rRJ0uvy6YcU"",""AK:AK"")) - SUMPRODUCT((IMPORTR"&amp;"ANGE(""17XjIPGwafStTRf_8bPPaoi2EFjHVy10_rRJ0uvy6YcU"",""M:M"")=B19)*1, IMPORTRANGE(""17XjIPGwafStTRf_8bPPaoi2EFjHVy10_rRJ0uvy6YcU"",""X:X""), IMPORTRANGE(""17XjIPGwafStTRf_8bPPaoi2EFjHVy10_rRJ0uvy6YcU"",""AL:AL""))"),364986.0)</f>
        <v>364986</v>
      </c>
      <c r="D19" s="24">
        <f>IFERROR(__xludf.DUMMYFUNCTION("SUMPRODUCT((IMPORTRANGE(""17XjIPGwafStTRf_8bPPaoi2EFjHVy10_rRJ0uvy6YcU"",""M:M"")=B19)*1, IMPORTRANGE(""17XjIPGwafStTRf_8bPPaoi2EFjHVy10_rRJ0uvy6YcU"",""X:X""), IMPORTRANGE(""17XjIPGwafStTRf_8bPPaoi2EFjHVy10_rRJ0uvy6YcU"",""AA:AA"")) + SUMPRODUCT((IMPORTR"&amp;"ANGE(""17XjIPGwafStTRf_8bPPaoi2EFjHVy10_rRJ0uvy6YcU"",""M:M"")=B19)*1, IMPORTRANGE(""17XjIPGwafStTRf_8bPPaoi2EFjHVy10_rRJ0uvy6YcU"",""X:X""), IMPORTRANGE(""17XjIPGwafStTRf_8bPPaoi2EFjHVy10_rRJ0uvy6YcU"",""AE:AE"")) + SUMPRODUCT((IMPORTRANGE(""17XjIPGwafSt"&amp;"TRf_8bPPaoi2EFjHVy10_rRJ0uvy6YcU"",""M:M"")=B19)*1, IMPORTRANGE(""17XjIPGwafStTRf_8bPPaoi2EFjHVy10_rRJ0uvy6YcU"",""X:X""), IMPORTRANGE(""17XjIPGwafStTRf_8bPPaoi2EFjHVy10_rRJ0uvy6YcU"",""AF:AF""))"),219331.8250206773)</f>
        <v>219331.825</v>
      </c>
      <c r="E19" s="24">
        <f>IFERROR(__xludf.DUMMYFUNCTION("SUMPRODUCT((IMPORTRANGE(""17XjIPGwafStTRf_8bPPaoi2EFjHVy10_rRJ0uvy6YcU"",""M:M"")=B19)*1, IMPORTRANGE(""17XjIPGwafStTRf_8bPPaoi2EFjHVy10_rRJ0uvy6YcU"",""X:X""), IMPORTRANGE(""17XjIPGwafStTRf_8bPPaoi2EFjHVy10_rRJ0uvy6YcU"",""AO:AO""))"),92716.47497932274)</f>
        <v>92716.47498</v>
      </c>
      <c r="F19" s="25">
        <f>IFERROR(__xludf.DUMMYFUNCTION("SUMPRODUCT((IMPORTRANGE(""17XjIPGwafStTRf_8bPPaoi2EFjHVy10_rRJ0uvy6YcU"",""M:M"")=B19)*1, IMPORTRANGE(""17XjIPGwafStTRf_8bPPaoi2EFjHVy10_rRJ0uvy6YcU"",""X:X""))"),55.0)</f>
        <v>55</v>
      </c>
      <c r="G19" s="26">
        <f>IFERROR(__xludf.DUMMYFUNCTION("COUNTIF(IMPORTRANGE(""17XjIPGwafStTRf_8bPPaoi2EFjHVy10_rRJ0uvy6YcU"",""M:M""), B19)"),25.0)</f>
        <v>25</v>
      </c>
      <c r="H19" s="27">
        <f t="shared" si="1"/>
        <v>2.2</v>
      </c>
      <c r="I19" s="28">
        <f t="shared" si="2"/>
        <v>0.2540274832</v>
      </c>
      <c r="J19" s="29">
        <f t="shared" si="3"/>
        <v>0.4227223978</v>
      </c>
      <c r="K19" s="32"/>
      <c r="L19" s="31" t="str">
        <f t="shared" si="4"/>
        <v/>
      </c>
      <c r="M19" s="31" t="str">
        <f t="shared" si="5"/>
        <v/>
      </c>
      <c r="N19" s="4"/>
    </row>
    <row r="20">
      <c r="A20" s="1"/>
      <c r="B20" s="23">
        <f t="shared" si="6"/>
        <v>44727</v>
      </c>
      <c r="C20" s="24">
        <f>IFERROR(__xludf.DUMMYFUNCTION("SUMPRODUCT((IMPORTRANGE(""17XjIPGwafStTRf_8bPPaoi2EFjHVy10_rRJ0uvy6YcU"",""M:M"")=B20)*1, IMPORTRANGE(""17XjIPGwafStTRf_8bPPaoi2EFjHVy10_rRJ0uvy6YcU"",""X:X""), IMPORTRANGE(""17XjIPGwafStTRf_8bPPaoi2EFjHVy10_rRJ0uvy6YcU"",""AK:AK"")) - SUMPRODUCT((IMPORTR"&amp;"ANGE(""17XjIPGwafStTRf_8bPPaoi2EFjHVy10_rRJ0uvy6YcU"",""M:M"")=B20)*1, IMPORTRANGE(""17XjIPGwafStTRf_8bPPaoi2EFjHVy10_rRJ0uvy6YcU"",""X:X""), IMPORTRANGE(""17XjIPGwafStTRf_8bPPaoi2EFjHVy10_rRJ0uvy6YcU"",""AL:AL""))"),1756441.0)</f>
        <v>1756441</v>
      </c>
      <c r="D20" s="24">
        <f>IFERROR(__xludf.DUMMYFUNCTION("SUMPRODUCT((IMPORTRANGE(""17XjIPGwafStTRf_8bPPaoi2EFjHVy10_rRJ0uvy6YcU"",""M:M"")=B20)*1, IMPORTRANGE(""17XjIPGwafStTRf_8bPPaoi2EFjHVy10_rRJ0uvy6YcU"",""X:X""), IMPORTRANGE(""17XjIPGwafStTRf_8bPPaoi2EFjHVy10_rRJ0uvy6YcU"",""AA:AA"")) + SUMPRODUCT((IMPORTR"&amp;"ANGE(""17XjIPGwafStTRf_8bPPaoi2EFjHVy10_rRJ0uvy6YcU"",""M:M"")=B20)*1, IMPORTRANGE(""17XjIPGwafStTRf_8bPPaoi2EFjHVy10_rRJ0uvy6YcU"",""X:X""), IMPORTRANGE(""17XjIPGwafStTRf_8bPPaoi2EFjHVy10_rRJ0uvy6YcU"",""AE:AE"")) + SUMPRODUCT((IMPORTRANGE(""17XjIPGwafSt"&amp;"TRf_8bPPaoi2EFjHVy10_rRJ0uvy6YcU"",""M:M"")=B20)*1, IMPORTRANGE(""17XjIPGwafStTRf_8bPPaoi2EFjHVy10_rRJ0uvy6YcU"",""X:X""), IMPORTRANGE(""17XjIPGwafStTRf_8bPPaoi2EFjHVy10_rRJ0uvy6YcU"",""AF:AF""))"),1030495.146705587)</f>
        <v>1030495.147</v>
      </c>
      <c r="E20" s="24">
        <f>IFERROR(__xludf.DUMMYFUNCTION("SUMPRODUCT((IMPORTRANGE(""17XjIPGwafStTRf_8bPPaoi2EFjHVy10_rRJ0uvy6YcU"",""M:M"")=B20)*1, IMPORTRANGE(""17XjIPGwafStTRf_8bPPaoi2EFjHVy10_rRJ0uvy6YcU"",""X:X""), IMPORTRANGE(""17XjIPGwafStTRf_8bPPaoi2EFjHVy10_rRJ0uvy6YcU"",""AO:AO""))"),419081.2078666845)</f>
        <v>419081.2079</v>
      </c>
      <c r="F20" s="25">
        <f>IFERROR(__xludf.DUMMYFUNCTION("SUMPRODUCT((IMPORTRANGE(""17XjIPGwafStTRf_8bPPaoi2EFjHVy10_rRJ0uvy6YcU"",""M:M"")=B20)*1, IMPORTRANGE(""17XjIPGwafStTRf_8bPPaoi2EFjHVy10_rRJ0uvy6YcU"",""X:X""))"),267.0)</f>
        <v>267</v>
      </c>
      <c r="G20" s="26">
        <f>IFERROR(__xludf.DUMMYFUNCTION("COUNTIF(IMPORTRANGE(""17XjIPGwafStTRf_8bPPaoi2EFjHVy10_rRJ0uvy6YcU"",""M:M""), B20)"),27.0)</f>
        <v>27</v>
      </c>
      <c r="H20" s="27">
        <f t="shared" si="1"/>
        <v>9.888888889</v>
      </c>
      <c r="I20" s="28">
        <f t="shared" si="2"/>
        <v>0.2385968033</v>
      </c>
      <c r="J20" s="29">
        <f t="shared" si="3"/>
        <v>0.4066794581</v>
      </c>
      <c r="K20" s="32"/>
      <c r="L20" s="31" t="str">
        <f t="shared" si="4"/>
        <v/>
      </c>
      <c r="M20" s="31" t="str">
        <f t="shared" si="5"/>
        <v/>
      </c>
      <c r="N20" s="4"/>
    </row>
    <row r="21">
      <c r="A21" s="1"/>
      <c r="B21" s="23">
        <f t="shared" si="6"/>
        <v>44728</v>
      </c>
      <c r="C21" s="24">
        <f>IFERROR(__xludf.DUMMYFUNCTION("SUMPRODUCT((IMPORTRANGE(""17XjIPGwafStTRf_8bPPaoi2EFjHVy10_rRJ0uvy6YcU"",""M:M"")=B21)*1, IMPORTRANGE(""17XjIPGwafStTRf_8bPPaoi2EFjHVy10_rRJ0uvy6YcU"",""X:X""), IMPORTRANGE(""17XjIPGwafStTRf_8bPPaoi2EFjHVy10_rRJ0uvy6YcU"",""AK:AK"")) - SUMPRODUCT((IMPORTR"&amp;"ANGE(""17XjIPGwafStTRf_8bPPaoi2EFjHVy10_rRJ0uvy6YcU"",""M:M"")=B21)*1, IMPORTRANGE(""17XjIPGwafStTRf_8bPPaoi2EFjHVy10_rRJ0uvy6YcU"",""X:X""), IMPORTRANGE(""17XjIPGwafStTRf_8bPPaoi2EFjHVy10_rRJ0uvy6YcU"",""AL:AL""))"),206785.0)</f>
        <v>206785</v>
      </c>
      <c r="D21" s="24">
        <f>IFERROR(__xludf.DUMMYFUNCTION("SUMPRODUCT((IMPORTRANGE(""17XjIPGwafStTRf_8bPPaoi2EFjHVy10_rRJ0uvy6YcU"",""M:M"")=B21)*1, IMPORTRANGE(""17XjIPGwafStTRf_8bPPaoi2EFjHVy10_rRJ0uvy6YcU"",""X:X""), IMPORTRANGE(""17XjIPGwafStTRf_8bPPaoi2EFjHVy10_rRJ0uvy6YcU"",""AA:AA"")) + SUMPRODUCT((IMPORTR"&amp;"ANGE(""17XjIPGwafStTRf_8bPPaoi2EFjHVy10_rRJ0uvy6YcU"",""M:M"")=B21)*1, IMPORTRANGE(""17XjIPGwafStTRf_8bPPaoi2EFjHVy10_rRJ0uvy6YcU"",""X:X""), IMPORTRANGE(""17XjIPGwafStTRf_8bPPaoi2EFjHVy10_rRJ0uvy6YcU"",""AE:AE"")) + SUMPRODUCT((IMPORTRANGE(""17XjIPGwafSt"&amp;"TRf_8bPPaoi2EFjHVy10_rRJ0uvy6YcU"",""M:M"")=B21)*1, IMPORTRANGE(""17XjIPGwafStTRf_8bPPaoi2EFjHVy10_rRJ0uvy6YcU"",""X:X""), IMPORTRANGE(""17XjIPGwafStTRf_8bPPaoi2EFjHVy10_rRJ0uvy6YcU"",""AF:AF""))"),112597.39181905518)</f>
        <v>112597.3918</v>
      </c>
      <c r="E21" s="24">
        <f>IFERROR(__xludf.DUMMYFUNCTION("SUMPRODUCT((IMPORTRANGE(""17XjIPGwafStTRf_8bPPaoi2EFjHVy10_rRJ0uvy6YcU"",""M:M"")=B21)*1, IMPORTRANGE(""17XjIPGwafStTRf_8bPPaoi2EFjHVy10_rRJ0uvy6YcU"",""X:X""), IMPORTRANGE(""17XjIPGwafStTRf_8bPPaoi2EFjHVy10_rRJ0uvy6YcU"",""AO:AO""))"),57813.07692242596)</f>
        <v>57813.07692</v>
      </c>
      <c r="F21" s="25">
        <f>IFERROR(__xludf.DUMMYFUNCTION("SUMPRODUCT((IMPORTRANGE(""17XjIPGwafStTRf_8bPPaoi2EFjHVy10_rRJ0uvy6YcU"",""M:M"")=B21)*1, IMPORTRANGE(""17XjIPGwafStTRf_8bPPaoi2EFjHVy10_rRJ0uvy6YcU"",""X:X""))"),36.0)</f>
        <v>36</v>
      </c>
      <c r="G21" s="26">
        <f>IFERROR(__xludf.DUMMYFUNCTION("COUNTIF(IMPORTRANGE(""17XjIPGwafStTRf_8bPPaoi2EFjHVy10_rRJ0uvy6YcU"",""M:M""), B21)"),18.0)</f>
        <v>18</v>
      </c>
      <c r="H21" s="27">
        <f t="shared" si="1"/>
        <v>2</v>
      </c>
      <c r="I21" s="28">
        <f t="shared" si="2"/>
        <v>0.2795806123</v>
      </c>
      <c r="J21" s="29">
        <f t="shared" si="3"/>
        <v>0.5134495212</v>
      </c>
      <c r="K21" s="32"/>
      <c r="L21" s="31" t="str">
        <f t="shared" si="4"/>
        <v/>
      </c>
      <c r="M21" s="31" t="str">
        <f t="shared" si="5"/>
        <v/>
      </c>
      <c r="N21" s="4"/>
    </row>
    <row r="22">
      <c r="A22" s="1"/>
      <c r="B22" s="23">
        <f t="shared" si="6"/>
        <v>44729</v>
      </c>
      <c r="C22" s="24">
        <f>IFERROR(__xludf.DUMMYFUNCTION("SUMPRODUCT((IMPORTRANGE(""17XjIPGwafStTRf_8bPPaoi2EFjHVy10_rRJ0uvy6YcU"",""M:M"")=B22)*1, IMPORTRANGE(""17XjIPGwafStTRf_8bPPaoi2EFjHVy10_rRJ0uvy6YcU"",""X:X""), IMPORTRANGE(""17XjIPGwafStTRf_8bPPaoi2EFjHVy10_rRJ0uvy6YcU"",""AK:AK"")) - SUMPRODUCT((IMPORTR"&amp;"ANGE(""17XjIPGwafStTRf_8bPPaoi2EFjHVy10_rRJ0uvy6YcU"",""M:M"")=B22)*1, IMPORTRANGE(""17XjIPGwafStTRf_8bPPaoi2EFjHVy10_rRJ0uvy6YcU"",""X:X""), IMPORTRANGE(""17XjIPGwafStTRf_8bPPaoi2EFjHVy10_rRJ0uvy6YcU"",""AL:AL""))"),162191.0)</f>
        <v>162191</v>
      </c>
      <c r="D22" s="24">
        <f>IFERROR(__xludf.DUMMYFUNCTION("SUMPRODUCT((IMPORTRANGE(""17XjIPGwafStTRf_8bPPaoi2EFjHVy10_rRJ0uvy6YcU"",""M:M"")=B22)*1, IMPORTRANGE(""17XjIPGwafStTRf_8bPPaoi2EFjHVy10_rRJ0uvy6YcU"",""X:X""), IMPORTRANGE(""17XjIPGwafStTRf_8bPPaoi2EFjHVy10_rRJ0uvy6YcU"",""AA:AA"")) + SUMPRODUCT((IMPORTR"&amp;"ANGE(""17XjIPGwafStTRf_8bPPaoi2EFjHVy10_rRJ0uvy6YcU"",""M:M"")=B22)*1, IMPORTRANGE(""17XjIPGwafStTRf_8bPPaoi2EFjHVy10_rRJ0uvy6YcU"",""X:X""), IMPORTRANGE(""17XjIPGwafStTRf_8bPPaoi2EFjHVy10_rRJ0uvy6YcU"",""AE:AE"")) + SUMPRODUCT((IMPORTRANGE(""17XjIPGwafSt"&amp;"TRf_8bPPaoi2EFjHVy10_rRJ0uvy6YcU"",""M:M"")=B22)*1, IMPORTRANGE(""17XjIPGwafStTRf_8bPPaoi2EFjHVy10_rRJ0uvy6YcU"",""X:X""), IMPORTRANGE(""17XjIPGwafStTRf_8bPPaoi2EFjHVy10_rRJ0uvy6YcU"",""AF:AF""))"),101761.82741060988)</f>
        <v>101761.8274</v>
      </c>
      <c r="E22" s="24">
        <f>IFERROR(__xludf.DUMMYFUNCTION("SUMPRODUCT((IMPORTRANGE(""17XjIPGwafStTRf_8bPPaoi2EFjHVy10_rRJ0uvy6YcU"",""M:M"")=B22)*1, IMPORTRANGE(""17XjIPGwafStTRf_8bPPaoi2EFjHVy10_rRJ0uvy6YcU"",""X:X""), IMPORTRANGE(""17XjIPGwafStTRf_8bPPaoi2EFjHVy10_rRJ0uvy6YcU"",""AO:AO""))"),31855.39258939011)</f>
        <v>31855.39259</v>
      </c>
      <c r="F22" s="25">
        <f>IFERROR(__xludf.DUMMYFUNCTION("SUMPRODUCT((IMPORTRANGE(""17XjIPGwafStTRf_8bPPaoi2EFjHVy10_rRJ0uvy6YcU"",""M:M"")=B22)*1, IMPORTRANGE(""17XjIPGwafStTRf_8bPPaoi2EFjHVy10_rRJ0uvy6YcU"",""X:X""))"),48.0)</f>
        <v>48</v>
      </c>
      <c r="G22" s="26">
        <f>IFERROR(__xludf.DUMMYFUNCTION("COUNTIF(IMPORTRANGE(""17XjIPGwafStTRf_8bPPaoi2EFjHVy10_rRJ0uvy6YcU"",""M:M""), B22)"),22.0)</f>
        <v>22</v>
      </c>
      <c r="H22" s="27">
        <f t="shared" si="1"/>
        <v>2.181818182</v>
      </c>
      <c r="I22" s="28">
        <f t="shared" si="2"/>
        <v>0.19640666</v>
      </c>
      <c r="J22" s="29">
        <f t="shared" si="3"/>
        <v>0.3130387239</v>
      </c>
      <c r="K22" s="32"/>
      <c r="L22" s="31" t="str">
        <f t="shared" si="4"/>
        <v/>
      </c>
      <c r="M22" s="31" t="str">
        <f t="shared" si="5"/>
        <v/>
      </c>
      <c r="N22" s="4"/>
    </row>
    <row r="23">
      <c r="A23" s="1"/>
      <c r="B23" s="23">
        <f t="shared" si="6"/>
        <v>44730</v>
      </c>
      <c r="C23" s="24">
        <f>IFERROR(__xludf.DUMMYFUNCTION("SUMPRODUCT((IMPORTRANGE(""17XjIPGwafStTRf_8bPPaoi2EFjHVy10_rRJ0uvy6YcU"",""M:M"")=B23)*1, IMPORTRANGE(""17XjIPGwafStTRf_8bPPaoi2EFjHVy10_rRJ0uvy6YcU"",""X:X""), IMPORTRANGE(""17XjIPGwafStTRf_8bPPaoi2EFjHVy10_rRJ0uvy6YcU"",""AK:AK"")) - SUMPRODUCT((IMPORTR"&amp;"ANGE(""17XjIPGwafStTRf_8bPPaoi2EFjHVy10_rRJ0uvy6YcU"",""M:M"")=B23)*1, IMPORTRANGE(""17XjIPGwafStTRf_8bPPaoi2EFjHVy10_rRJ0uvy6YcU"",""X:X""), IMPORTRANGE(""17XjIPGwafStTRf_8bPPaoi2EFjHVy10_rRJ0uvy6YcU"",""AL:AL""))"),152855.0)</f>
        <v>152855</v>
      </c>
      <c r="D23" s="24">
        <f>IFERROR(__xludf.DUMMYFUNCTION("SUMPRODUCT((IMPORTRANGE(""17XjIPGwafStTRf_8bPPaoi2EFjHVy10_rRJ0uvy6YcU"",""M:M"")=B23)*1, IMPORTRANGE(""17XjIPGwafStTRf_8bPPaoi2EFjHVy10_rRJ0uvy6YcU"",""X:X""), IMPORTRANGE(""17XjIPGwafStTRf_8bPPaoi2EFjHVy10_rRJ0uvy6YcU"",""AA:AA"")) + SUMPRODUCT((IMPORTR"&amp;"ANGE(""17XjIPGwafStTRf_8bPPaoi2EFjHVy10_rRJ0uvy6YcU"",""M:M"")=B23)*1, IMPORTRANGE(""17XjIPGwafStTRf_8bPPaoi2EFjHVy10_rRJ0uvy6YcU"",""X:X""), IMPORTRANGE(""17XjIPGwafStTRf_8bPPaoi2EFjHVy10_rRJ0uvy6YcU"",""AE:AE"")) + SUMPRODUCT((IMPORTRANGE(""17XjIPGwafSt"&amp;"TRf_8bPPaoi2EFjHVy10_rRJ0uvy6YcU"",""M:M"")=B23)*1, IMPORTRANGE(""17XjIPGwafStTRf_8bPPaoi2EFjHVy10_rRJ0uvy6YcU"",""X:X""), IMPORTRANGE(""17XjIPGwafStTRf_8bPPaoi2EFjHVy10_rRJ0uvy6YcU"",""AF:AF""))"),80652.79544934645)</f>
        <v>80652.79545</v>
      </c>
      <c r="E23" s="24">
        <f>IFERROR(__xludf.DUMMYFUNCTION("SUMPRODUCT((IMPORTRANGE(""17XjIPGwafStTRf_8bPPaoi2EFjHVy10_rRJ0uvy6YcU"",""M:M"")=B23)*1, IMPORTRANGE(""17XjIPGwafStTRf_8bPPaoi2EFjHVy10_rRJ0uvy6YcU"",""X:X""), IMPORTRANGE(""17XjIPGwafStTRf_8bPPaoi2EFjHVy10_rRJ0uvy6YcU"",""AO:AO""))"),45036.504550653546)</f>
        <v>45036.50455</v>
      </c>
      <c r="F23" s="25">
        <f>IFERROR(__xludf.DUMMYFUNCTION("SUMPRODUCT((IMPORTRANGE(""17XjIPGwafStTRf_8bPPaoi2EFjHVy10_rRJ0uvy6YcU"",""M:M"")=B23)*1, IMPORTRANGE(""17XjIPGwafStTRf_8bPPaoi2EFjHVy10_rRJ0uvy6YcU"",""X:X""))"),25.0)</f>
        <v>25</v>
      </c>
      <c r="G23" s="26">
        <f>IFERROR(__xludf.DUMMYFUNCTION("COUNTIF(IMPORTRANGE(""17XjIPGwafStTRf_8bPPaoi2EFjHVy10_rRJ0uvy6YcU"",""M:M""), B23)"),18.0)</f>
        <v>18</v>
      </c>
      <c r="H23" s="27">
        <f t="shared" si="1"/>
        <v>1.388888889</v>
      </c>
      <c r="I23" s="28">
        <f t="shared" si="2"/>
        <v>0.2946354686</v>
      </c>
      <c r="J23" s="29">
        <f t="shared" si="3"/>
        <v>0.5583997963</v>
      </c>
      <c r="K23" s="32"/>
      <c r="L23" s="31" t="str">
        <f t="shared" si="4"/>
        <v/>
      </c>
      <c r="M23" s="31" t="str">
        <f t="shared" si="5"/>
        <v/>
      </c>
      <c r="N23" s="4"/>
    </row>
    <row r="24">
      <c r="A24" s="1"/>
      <c r="B24" s="23">
        <f t="shared" si="6"/>
        <v>44731</v>
      </c>
      <c r="C24" s="24">
        <f>IFERROR(__xludf.DUMMYFUNCTION("SUMPRODUCT((IMPORTRANGE(""17XjIPGwafStTRf_8bPPaoi2EFjHVy10_rRJ0uvy6YcU"",""M:M"")=B24)*1, IMPORTRANGE(""17XjIPGwafStTRf_8bPPaoi2EFjHVy10_rRJ0uvy6YcU"",""X:X""), IMPORTRANGE(""17XjIPGwafStTRf_8bPPaoi2EFjHVy10_rRJ0uvy6YcU"",""AK:AK"")) - SUMPRODUCT((IMPORTR"&amp;"ANGE(""17XjIPGwafStTRf_8bPPaoi2EFjHVy10_rRJ0uvy6YcU"",""M:M"")=B24)*1, IMPORTRANGE(""17XjIPGwafStTRf_8bPPaoi2EFjHVy10_rRJ0uvy6YcU"",""X:X""), IMPORTRANGE(""17XjIPGwafStTRf_8bPPaoi2EFjHVy10_rRJ0uvy6YcU"",""AL:AL""))"),399375.88)</f>
        <v>399375.88</v>
      </c>
      <c r="D24" s="24">
        <f>IFERROR(__xludf.DUMMYFUNCTION("SUMPRODUCT((IMPORTRANGE(""17XjIPGwafStTRf_8bPPaoi2EFjHVy10_rRJ0uvy6YcU"",""M:M"")=B24)*1, IMPORTRANGE(""17XjIPGwafStTRf_8bPPaoi2EFjHVy10_rRJ0uvy6YcU"",""X:X""), IMPORTRANGE(""17XjIPGwafStTRf_8bPPaoi2EFjHVy10_rRJ0uvy6YcU"",""AA:AA"")) + SUMPRODUCT((IMPORTR"&amp;"ANGE(""17XjIPGwafStTRf_8bPPaoi2EFjHVy10_rRJ0uvy6YcU"",""M:M"")=B24)*1, IMPORTRANGE(""17XjIPGwafStTRf_8bPPaoi2EFjHVy10_rRJ0uvy6YcU"",""X:X""), IMPORTRANGE(""17XjIPGwafStTRf_8bPPaoi2EFjHVy10_rRJ0uvy6YcU"",""AE:AE"")) + SUMPRODUCT((IMPORTRANGE(""17XjIPGwafSt"&amp;"TRf_8bPPaoi2EFjHVy10_rRJ0uvy6YcU"",""M:M"")=B24)*1, IMPORTRANGE(""17XjIPGwafStTRf_8bPPaoi2EFjHVy10_rRJ0uvy6YcU"",""X:X""), IMPORTRANGE(""17XjIPGwafStTRf_8bPPaoi2EFjHVy10_rRJ0uvy6YcU"",""AF:AF""))"),254406.05142855807)</f>
        <v>254406.0514</v>
      </c>
      <c r="E24" s="24">
        <f>IFERROR(__xludf.DUMMYFUNCTION("SUMPRODUCT((IMPORTRANGE(""17XjIPGwafStTRf_8bPPaoi2EFjHVy10_rRJ0uvy6YcU"",""M:M"")=B24)*1, IMPORTRANGE(""17XjIPGwafStTRf_8bPPaoi2EFjHVy10_rRJ0uvy6YcU"",""X:X""), IMPORTRANGE(""17XjIPGwafStTRf_8bPPaoi2EFjHVy10_rRJ0uvy6YcU"",""AO:AO""))"),90105.04857144193)</f>
        <v>90105.04857</v>
      </c>
      <c r="F24" s="25">
        <f>IFERROR(__xludf.DUMMYFUNCTION("SUMPRODUCT((IMPORTRANGE(""17XjIPGwafStTRf_8bPPaoi2EFjHVy10_rRJ0uvy6YcU"",""M:M"")=B24)*1, IMPORTRANGE(""17XjIPGwafStTRf_8bPPaoi2EFjHVy10_rRJ0uvy6YcU"",""X:X""))"),49.0)</f>
        <v>49</v>
      </c>
      <c r="G24" s="26">
        <f>IFERROR(__xludf.DUMMYFUNCTION("COUNTIF(IMPORTRANGE(""17XjIPGwafStTRf_8bPPaoi2EFjHVy10_rRJ0uvy6YcU"",""M:M""), B24)"),28.0)</f>
        <v>28</v>
      </c>
      <c r="H24" s="27">
        <f t="shared" si="1"/>
        <v>1.75</v>
      </c>
      <c r="I24" s="28">
        <f t="shared" si="2"/>
        <v>0.225614648</v>
      </c>
      <c r="J24" s="29">
        <f t="shared" si="3"/>
        <v>0.3541780868</v>
      </c>
      <c r="K24" s="30"/>
      <c r="L24" s="31" t="str">
        <f t="shared" si="4"/>
        <v/>
      </c>
      <c r="M24" s="31" t="str">
        <f t="shared" si="5"/>
        <v/>
      </c>
      <c r="N24" s="4"/>
    </row>
    <row r="25">
      <c r="A25" s="1"/>
      <c r="B25" s="23">
        <f t="shared" si="6"/>
        <v>44732</v>
      </c>
      <c r="C25" s="24">
        <f>IFERROR(__xludf.DUMMYFUNCTION("SUMPRODUCT((IMPORTRANGE(""17XjIPGwafStTRf_8bPPaoi2EFjHVy10_rRJ0uvy6YcU"",""M:M"")=B25)*1, IMPORTRANGE(""17XjIPGwafStTRf_8bPPaoi2EFjHVy10_rRJ0uvy6YcU"",""X:X""), IMPORTRANGE(""17XjIPGwafStTRf_8bPPaoi2EFjHVy10_rRJ0uvy6YcU"",""AK:AK"")) - SUMPRODUCT((IMPORTR"&amp;"ANGE(""17XjIPGwafStTRf_8bPPaoi2EFjHVy10_rRJ0uvy6YcU"",""M:M"")=B25)*1, IMPORTRANGE(""17XjIPGwafStTRf_8bPPaoi2EFjHVy10_rRJ0uvy6YcU"",""X:X""), IMPORTRANGE(""17XjIPGwafStTRf_8bPPaoi2EFjHVy10_rRJ0uvy6YcU"",""AL:AL""))"),686236.0)</f>
        <v>686236</v>
      </c>
      <c r="D25" s="24">
        <f>IFERROR(__xludf.DUMMYFUNCTION("SUMPRODUCT((IMPORTRANGE(""17XjIPGwafStTRf_8bPPaoi2EFjHVy10_rRJ0uvy6YcU"",""M:M"")=B25)*1, IMPORTRANGE(""17XjIPGwafStTRf_8bPPaoi2EFjHVy10_rRJ0uvy6YcU"",""X:X""), IMPORTRANGE(""17XjIPGwafStTRf_8bPPaoi2EFjHVy10_rRJ0uvy6YcU"",""AA:AA"")) + SUMPRODUCT((IMPORTR"&amp;"ANGE(""17XjIPGwafStTRf_8bPPaoi2EFjHVy10_rRJ0uvy6YcU"",""M:M"")=B25)*1, IMPORTRANGE(""17XjIPGwafStTRf_8bPPaoi2EFjHVy10_rRJ0uvy6YcU"",""X:X""), IMPORTRANGE(""17XjIPGwafStTRf_8bPPaoi2EFjHVy10_rRJ0uvy6YcU"",""AE:AE"")) + SUMPRODUCT((IMPORTRANGE(""17XjIPGwafSt"&amp;"TRf_8bPPaoi2EFjHVy10_rRJ0uvy6YcU"",""M:M"")=B25)*1, IMPORTRANGE(""17XjIPGwafStTRf_8bPPaoi2EFjHVy10_rRJ0uvy6YcU"",""X:X""), IMPORTRANGE(""17XjIPGwafStTRf_8bPPaoi2EFjHVy10_rRJ0uvy6YcU"",""AF:AF""))"),420070.85931474983)</f>
        <v>420070.8593</v>
      </c>
      <c r="E25" s="24">
        <f>IFERROR(__xludf.DUMMYFUNCTION("SUMPRODUCT((IMPORTRANGE(""17XjIPGwafStTRf_8bPPaoi2EFjHVy10_rRJ0uvy6YcU"",""M:M"")=B25)*1, IMPORTRANGE(""17XjIPGwafStTRf_8bPPaoi2EFjHVy10_rRJ0uvy6YcU"",""X:X""), IMPORTRANGE(""17XjIPGwafStTRf_8bPPaoi2EFjHVy10_rRJ0uvy6YcU"",""AO:AO""))"),166540.67481551884)</f>
        <v>166540.6748</v>
      </c>
      <c r="F25" s="25">
        <f>IFERROR(__xludf.DUMMYFUNCTION("SUMPRODUCT((IMPORTRANGE(""17XjIPGwafStTRf_8bPPaoi2EFjHVy10_rRJ0uvy6YcU"",""M:M"")=B25)*1, IMPORTRANGE(""17XjIPGwafStTRf_8bPPaoi2EFjHVy10_rRJ0uvy6YcU"",""X:X""))"),99.0)</f>
        <v>99</v>
      </c>
      <c r="G25" s="26">
        <f>IFERROR(__xludf.DUMMYFUNCTION("COUNTIF(IMPORTRANGE(""17XjIPGwafStTRf_8bPPaoi2EFjHVy10_rRJ0uvy6YcU"",""M:M""), B25)"),43.0)</f>
        <v>43</v>
      </c>
      <c r="H25" s="27">
        <f t="shared" si="1"/>
        <v>2.302325581</v>
      </c>
      <c r="I25" s="28">
        <f t="shared" si="2"/>
        <v>0.2426871729</v>
      </c>
      <c r="J25" s="29">
        <f t="shared" si="3"/>
        <v>0.3964585287</v>
      </c>
      <c r="K25" s="32"/>
      <c r="L25" s="31" t="str">
        <f t="shared" si="4"/>
        <v/>
      </c>
      <c r="M25" s="31" t="str">
        <f t="shared" si="5"/>
        <v/>
      </c>
      <c r="N25" s="4"/>
    </row>
    <row r="26">
      <c r="A26" s="1"/>
      <c r="B26" s="23">
        <f t="shared" si="6"/>
        <v>44733</v>
      </c>
      <c r="C26" s="24">
        <f>IFERROR(__xludf.DUMMYFUNCTION("SUMPRODUCT((IMPORTRANGE(""17XjIPGwafStTRf_8bPPaoi2EFjHVy10_rRJ0uvy6YcU"",""M:M"")=B26)*1, IMPORTRANGE(""17XjIPGwafStTRf_8bPPaoi2EFjHVy10_rRJ0uvy6YcU"",""X:X""), IMPORTRANGE(""17XjIPGwafStTRf_8bPPaoi2EFjHVy10_rRJ0uvy6YcU"",""AK:AK"")) - SUMPRODUCT((IMPORTR"&amp;"ANGE(""17XjIPGwafStTRf_8bPPaoi2EFjHVy10_rRJ0uvy6YcU"",""M:M"")=B26)*1, IMPORTRANGE(""17XjIPGwafStTRf_8bPPaoi2EFjHVy10_rRJ0uvy6YcU"",""X:X""), IMPORTRANGE(""17XjIPGwafStTRf_8bPPaoi2EFjHVy10_rRJ0uvy6YcU"",""AL:AL""))"),408102.0)</f>
        <v>408102</v>
      </c>
      <c r="D26" s="24">
        <f>IFERROR(__xludf.DUMMYFUNCTION("SUMPRODUCT((IMPORTRANGE(""17XjIPGwafStTRf_8bPPaoi2EFjHVy10_rRJ0uvy6YcU"",""M:M"")=B26)*1, IMPORTRANGE(""17XjIPGwafStTRf_8bPPaoi2EFjHVy10_rRJ0uvy6YcU"",""X:X""), IMPORTRANGE(""17XjIPGwafStTRf_8bPPaoi2EFjHVy10_rRJ0uvy6YcU"",""AA:AA"")) + SUMPRODUCT((IMPORTR"&amp;"ANGE(""17XjIPGwafStTRf_8bPPaoi2EFjHVy10_rRJ0uvy6YcU"",""M:M"")=B26)*1, IMPORTRANGE(""17XjIPGwafStTRf_8bPPaoi2EFjHVy10_rRJ0uvy6YcU"",""X:X""), IMPORTRANGE(""17XjIPGwafStTRf_8bPPaoi2EFjHVy10_rRJ0uvy6YcU"",""AE:AE"")) + SUMPRODUCT((IMPORTRANGE(""17XjIPGwafSt"&amp;"TRf_8bPPaoi2EFjHVy10_rRJ0uvy6YcU"",""M:M"")=B26)*1, IMPORTRANGE(""17XjIPGwafStTRf_8bPPaoi2EFjHVy10_rRJ0uvy6YcU"",""X:X""), IMPORTRANGE(""17XjIPGwafStTRf_8bPPaoi2EFjHVy10_rRJ0uvy6YcU"",""AF:AF""))"),239152.6703766578)</f>
        <v>239152.6704</v>
      </c>
      <c r="E26" s="24">
        <f>IFERROR(__xludf.DUMMYFUNCTION("SUMPRODUCT((IMPORTRANGE(""17XjIPGwafStTRf_8bPPaoi2EFjHVy10_rRJ0uvy6YcU"",""M:M"")=B26)*1, IMPORTRANGE(""17XjIPGwafStTRf_8bPPaoi2EFjHVy10_rRJ0uvy6YcU"",""X:X""), IMPORTRANGE(""17XjIPGwafStTRf_8bPPaoi2EFjHVy10_rRJ0uvy6YcU"",""AO:AO""))"),112364.72962334222)</f>
        <v>112364.7296</v>
      </c>
      <c r="F26" s="25">
        <f>IFERROR(__xludf.DUMMYFUNCTION("SUMPRODUCT((IMPORTRANGE(""17XjIPGwafStTRf_8bPPaoi2EFjHVy10_rRJ0uvy6YcU"",""M:M"")=B26)*1, IMPORTRANGE(""17XjIPGwafStTRf_8bPPaoi2EFjHVy10_rRJ0uvy6YcU"",""X:X""))"),61.0)</f>
        <v>61</v>
      </c>
      <c r="G26" s="26">
        <f>IFERROR(__xludf.DUMMYFUNCTION("COUNTIF(IMPORTRANGE(""17XjIPGwafStTRf_8bPPaoi2EFjHVy10_rRJ0uvy6YcU"",""M:M""), B26)"),28.0)</f>
        <v>28</v>
      </c>
      <c r="H26" s="27">
        <f t="shared" si="1"/>
        <v>2.178571429</v>
      </c>
      <c r="I26" s="28">
        <f t="shared" si="2"/>
        <v>0.2753349153</v>
      </c>
      <c r="J26" s="29">
        <f t="shared" si="3"/>
        <v>0.4698451807</v>
      </c>
      <c r="K26" s="30"/>
      <c r="L26" s="31" t="str">
        <f t="shared" si="4"/>
        <v/>
      </c>
      <c r="M26" s="31" t="str">
        <f t="shared" si="5"/>
        <v/>
      </c>
      <c r="N26" s="4"/>
    </row>
    <row r="27">
      <c r="A27" s="1"/>
      <c r="B27" s="23">
        <f t="shared" si="6"/>
        <v>44734</v>
      </c>
      <c r="C27" s="24">
        <f>IFERROR(__xludf.DUMMYFUNCTION("SUMPRODUCT((IMPORTRANGE(""17XjIPGwafStTRf_8bPPaoi2EFjHVy10_rRJ0uvy6YcU"",""M:M"")=B27)*1, IMPORTRANGE(""17XjIPGwafStTRf_8bPPaoi2EFjHVy10_rRJ0uvy6YcU"",""X:X""), IMPORTRANGE(""17XjIPGwafStTRf_8bPPaoi2EFjHVy10_rRJ0uvy6YcU"",""AK:AK"")) - SUMPRODUCT((IMPORTR"&amp;"ANGE(""17XjIPGwafStTRf_8bPPaoi2EFjHVy10_rRJ0uvy6YcU"",""M:M"")=B27)*1, IMPORTRANGE(""17XjIPGwafStTRf_8bPPaoi2EFjHVy10_rRJ0uvy6YcU"",""X:X""), IMPORTRANGE(""17XjIPGwafStTRf_8bPPaoi2EFjHVy10_rRJ0uvy6YcU"",""AL:AL""))"),176667.0)</f>
        <v>176667</v>
      </c>
      <c r="D27" s="24">
        <f>IFERROR(__xludf.DUMMYFUNCTION("SUMPRODUCT((IMPORTRANGE(""17XjIPGwafStTRf_8bPPaoi2EFjHVy10_rRJ0uvy6YcU"",""M:M"")=B27)*1, IMPORTRANGE(""17XjIPGwafStTRf_8bPPaoi2EFjHVy10_rRJ0uvy6YcU"",""X:X""), IMPORTRANGE(""17XjIPGwafStTRf_8bPPaoi2EFjHVy10_rRJ0uvy6YcU"",""AA:AA"")) + SUMPRODUCT((IMPORTR"&amp;"ANGE(""17XjIPGwafStTRf_8bPPaoi2EFjHVy10_rRJ0uvy6YcU"",""M:M"")=B27)*1, IMPORTRANGE(""17XjIPGwafStTRf_8bPPaoi2EFjHVy10_rRJ0uvy6YcU"",""X:X""), IMPORTRANGE(""17XjIPGwafStTRf_8bPPaoi2EFjHVy10_rRJ0uvy6YcU"",""AE:AE"")) + SUMPRODUCT((IMPORTRANGE(""17XjIPGwafSt"&amp;"TRf_8bPPaoi2EFjHVy10_rRJ0uvy6YcU"",""M:M"")=B27)*1, IMPORTRANGE(""17XjIPGwafStTRf_8bPPaoi2EFjHVy10_rRJ0uvy6YcU"",""X:X""), IMPORTRANGE(""17XjIPGwafStTRf_8bPPaoi2EFjHVy10_rRJ0uvy6YcU"",""AF:AF""))"),113233.3102476455)</f>
        <v>113233.3102</v>
      </c>
      <c r="E27" s="24">
        <f>IFERROR(__xludf.DUMMYFUNCTION("SUMPRODUCT((IMPORTRANGE(""17XjIPGwafStTRf_8bPPaoi2EFjHVy10_rRJ0uvy6YcU"",""M:M"")=B27)*1, IMPORTRANGE(""17XjIPGwafStTRf_8bPPaoi2EFjHVy10_rRJ0uvy6YcU"",""X:X""), IMPORTRANGE(""17XjIPGwafStTRf_8bPPaoi2EFjHVy10_rRJ0uvy6YcU"",""AO:AO""))"),38097.48975235451)</f>
        <v>38097.48975</v>
      </c>
      <c r="F27" s="25">
        <f>IFERROR(__xludf.DUMMYFUNCTION("SUMPRODUCT((IMPORTRANGE(""17XjIPGwafStTRf_8bPPaoi2EFjHVy10_rRJ0uvy6YcU"",""M:M"")=B27)*1, IMPORTRANGE(""17XjIPGwafStTRf_8bPPaoi2EFjHVy10_rRJ0uvy6YcU"",""X:X""))"),34.0)</f>
        <v>34</v>
      </c>
      <c r="G27" s="26">
        <f>IFERROR(__xludf.DUMMYFUNCTION("COUNTIF(IMPORTRANGE(""17XjIPGwafStTRf_8bPPaoi2EFjHVy10_rRJ0uvy6YcU"",""M:M""), B27)"),20.0)</f>
        <v>20</v>
      </c>
      <c r="H27" s="27">
        <f t="shared" si="1"/>
        <v>1.7</v>
      </c>
      <c r="I27" s="28">
        <f t="shared" si="2"/>
        <v>0.2156457615</v>
      </c>
      <c r="J27" s="29">
        <f t="shared" si="3"/>
        <v>0.3364512586</v>
      </c>
      <c r="K27" s="32"/>
      <c r="L27" s="31" t="str">
        <f t="shared" si="4"/>
        <v/>
      </c>
      <c r="M27" s="31" t="str">
        <f t="shared" si="5"/>
        <v/>
      </c>
      <c r="N27" s="4"/>
    </row>
    <row r="28">
      <c r="A28" s="1"/>
      <c r="B28" s="23">
        <f t="shared" si="6"/>
        <v>44735</v>
      </c>
      <c r="C28" s="24">
        <f>IFERROR(__xludf.DUMMYFUNCTION("SUMPRODUCT((IMPORTRANGE(""17XjIPGwafStTRf_8bPPaoi2EFjHVy10_rRJ0uvy6YcU"",""M:M"")=B28)*1, IMPORTRANGE(""17XjIPGwafStTRf_8bPPaoi2EFjHVy10_rRJ0uvy6YcU"",""X:X""), IMPORTRANGE(""17XjIPGwafStTRf_8bPPaoi2EFjHVy10_rRJ0uvy6YcU"",""AK:AK"")) - SUMPRODUCT((IMPORTR"&amp;"ANGE(""17XjIPGwafStTRf_8bPPaoi2EFjHVy10_rRJ0uvy6YcU"",""M:M"")=B28)*1, IMPORTRANGE(""17XjIPGwafStTRf_8bPPaoi2EFjHVy10_rRJ0uvy6YcU"",""X:X""), IMPORTRANGE(""17XjIPGwafStTRf_8bPPaoi2EFjHVy10_rRJ0uvy6YcU"",""AL:AL""))"),628220.0)</f>
        <v>628220</v>
      </c>
      <c r="D28" s="24">
        <f>IFERROR(__xludf.DUMMYFUNCTION("SUMPRODUCT((IMPORTRANGE(""17XjIPGwafStTRf_8bPPaoi2EFjHVy10_rRJ0uvy6YcU"",""M:M"")=B28)*1, IMPORTRANGE(""17XjIPGwafStTRf_8bPPaoi2EFjHVy10_rRJ0uvy6YcU"",""X:X""), IMPORTRANGE(""17XjIPGwafStTRf_8bPPaoi2EFjHVy10_rRJ0uvy6YcU"",""AA:AA"")) + SUMPRODUCT((IMPORTR"&amp;"ANGE(""17XjIPGwafStTRf_8bPPaoi2EFjHVy10_rRJ0uvy6YcU"",""M:M"")=B28)*1, IMPORTRANGE(""17XjIPGwafStTRf_8bPPaoi2EFjHVy10_rRJ0uvy6YcU"",""X:X""), IMPORTRANGE(""17XjIPGwafStTRf_8bPPaoi2EFjHVy10_rRJ0uvy6YcU"",""AE:AE"")) + SUMPRODUCT((IMPORTRANGE(""17XjIPGwafSt"&amp;"TRf_8bPPaoi2EFjHVy10_rRJ0uvy6YcU"",""M:M"")=B28)*1, IMPORTRANGE(""17XjIPGwafStTRf_8bPPaoi2EFjHVy10_rRJ0uvy6YcU"",""X:X""), IMPORTRANGE(""17XjIPGwafStTRf_8bPPaoi2EFjHVy10_rRJ0uvy6YcU"",""AF:AF""))"),371933.8094653355)</f>
        <v>371933.8095</v>
      </c>
      <c r="E28" s="24">
        <f>IFERROR(__xludf.DUMMYFUNCTION("SUMPRODUCT((IMPORTRANGE(""17XjIPGwafStTRf_8bPPaoi2EFjHVy10_rRJ0uvy6YcU"",""M:M"")=B28)*1, IMPORTRANGE(""17XjIPGwafStTRf_8bPPaoi2EFjHVy10_rRJ0uvy6YcU"",""X:X""), IMPORTRANGE(""17XjIPGwafStTRf_8bPPaoi2EFjHVy10_rRJ0uvy6YcU"",""AO:AO""))"),114942.69192493477)</f>
        <v>114942.6919</v>
      </c>
      <c r="F28" s="25">
        <f>IFERROR(__xludf.DUMMYFUNCTION("SUMPRODUCT((IMPORTRANGE(""17XjIPGwafStTRf_8bPPaoi2EFjHVy10_rRJ0uvy6YcU"",""M:M"")=B28)*1, IMPORTRANGE(""17XjIPGwafStTRf_8bPPaoi2EFjHVy10_rRJ0uvy6YcU"",""X:X""))"),160.0)</f>
        <v>160</v>
      </c>
      <c r="G28" s="26">
        <f>IFERROR(__xludf.DUMMYFUNCTION("COUNTIF(IMPORTRANGE(""17XjIPGwafStTRf_8bPPaoi2EFjHVy10_rRJ0uvy6YcU"",""M:M""), B28)"),28.0)</f>
        <v>28</v>
      </c>
      <c r="H28" s="27">
        <f t="shared" si="1"/>
        <v>5.714285714</v>
      </c>
      <c r="I28" s="28">
        <f t="shared" si="2"/>
        <v>0.182965668</v>
      </c>
      <c r="J28" s="29">
        <f t="shared" si="3"/>
        <v>0.3090407191</v>
      </c>
      <c r="K28" s="32"/>
      <c r="L28" s="31" t="str">
        <f t="shared" si="4"/>
        <v/>
      </c>
      <c r="M28" s="31" t="str">
        <f t="shared" si="5"/>
        <v/>
      </c>
      <c r="N28" s="4"/>
    </row>
    <row r="29">
      <c r="A29" s="1"/>
      <c r="B29" s="23">
        <f t="shared" si="6"/>
        <v>44736</v>
      </c>
      <c r="C29" s="24">
        <f>IFERROR(__xludf.DUMMYFUNCTION("SUMPRODUCT((IMPORTRANGE(""17XjIPGwafStTRf_8bPPaoi2EFjHVy10_rRJ0uvy6YcU"",""M:M"")=B29)*1, IMPORTRANGE(""17XjIPGwafStTRf_8bPPaoi2EFjHVy10_rRJ0uvy6YcU"",""X:X""), IMPORTRANGE(""17XjIPGwafStTRf_8bPPaoi2EFjHVy10_rRJ0uvy6YcU"",""AK:AK"")) - SUMPRODUCT((IMPORTR"&amp;"ANGE(""17XjIPGwafStTRf_8bPPaoi2EFjHVy10_rRJ0uvy6YcU"",""M:M"")=B29)*1, IMPORTRANGE(""17XjIPGwafStTRf_8bPPaoi2EFjHVy10_rRJ0uvy6YcU"",""X:X""), IMPORTRANGE(""17XjIPGwafStTRf_8bPPaoi2EFjHVy10_rRJ0uvy6YcU"",""AL:AL""))"),722612.0)</f>
        <v>722612</v>
      </c>
      <c r="D29" s="24">
        <f>IFERROR(__xludf.DUMMYFUNCTION("SUMPRODUCT((IMPORTRANGE(""17XjIPGwafStTRf_8bPPaoi2EFjHVy10_rRJ0uvy6YcU"",""M:M"")=B29)*1, IMPORTRANGE(""17XjIPGwafStTRf_8bPPaoi2EFjHVy10_rRJ0uvy6YcU"",""X:X""), IMPORTRANGE(""17XjIPGwafStTRf_8bPPaoi2EFjHVy10_rRJ0uvy6YcU"",""AA:AA"")) + SUMPRODUCT((IMPORTR"&amp;"ANGE(""17XjIPGwafStTRf_8bPPaoi2EFjHVy10_rRJ0uvy6YcU"",""M:M"")=B29)*1, IMPORTRANGE(""17XjIPGwafStTRf_8bPPaoi2EFjHVy10_rRJ0uvy6YcU"",""X:X""), IMPORTRANGE(""17XjIPGwafStTRf_8bPPaoi2EFjHVy10_rRJ0uvy6YcU"",""AE:AE"")) + SUMPRODUCT((IMPORTRANGE(""17XjIPGwafSt"&amp;"TRf_8bPPaoi2EFjHVy10_rRJ0uvy6YcU"",""M:M"")=B29)*1, IMPORTRANGE(""17XjIPGwafStTRf_8bPPaoi2EFjHVy10_rRJ0uvy6YcU"",""X:X""), IMPORTRANGE(""17XjIPGwafStTRf_8bPPaoi2EFjHVy10_rRJ0uvy6YcU"",""AF:AF""))"),314958.00889016635)</f>
        <v>314958.0089</v>
      </c>
      <c r="E29" s="24">
        <f>IFERROR(__xludf.DUMMYFUNCTION("SUMPRODUCT((IMPORTRANGE(""17XjIPGwafStTRf_8bPPaoi2EFjHVy10_rRJ0uvy6YcU"",""M:M"")=B29)*1, IMPORTRANGE(""17XjIPGwafStTRf_8bPPaoi2EFjHVy10_rRJ0uvy6YcU"",""X:X""), IMPORTRANGE(""17XjIPGwafStTRf_8bPPaoi2EFjHVy10_rRJ0uvy6YcU"",""AO:AO""))"),275088.39110983367)</f>
        <v>275088.3911</v>
      </c>
      <c r="F29" s="25">
        <f>IFERROR(__xludf.DUMMYFUNCTION("SUMPRODUCT((IMPORTRANGE(""17XjIPGwafStTRf_8bPPaoi2EFjHVy10_rRJ0uvy6YcU"",""M:M"")=B29)*1, IMPORTRANGE(""17XjIPGwafStTRf_8bPPaoi2EFjHVy10_rRJ0uvy6YcU"",""X:X""))"),145.0)</f>
        <v>145</v>
      </c>
      <c r="G29" s="26">
        <f>IFERROR(__xludf.DUMMYFUNCTION("COUNTIF(IMPORTRANGE(""17XjIPGwafStTRf_8bPPaoi2EFjHVy10_rRJ0uvy6YcU"",""M:M""), B29)"),33.0)</f>
        <v>33</v>
      </c>
      <c r="H29" s="27">
        <f t="shared" si="1"/>
        <v>4.393939394</v>
      </c>
      <c r="I29" s="28">
        <f t="shared" si="2"/>
        <v>0.3806861651</v>
      </c>
      <c r="J29" s="29">
        <f t="shared" si="3"/>
        <v>0.8734129101</v>
      </c>
      <c r="K29" s="32"/>
      <c r="L29" s="31" t="str">
        <f t="shared" si="4"/>
        <v/>
      </c>
      <c r="M29" s="31" t="str">
        <f t="shared" si="5"/>
        <v/>
      </c>
      <c r="N29" s="4"/>
    </row>
    <row r="30">
      <c r="A30" s="1"/>
      <c r="B30" s="23">
        <f t="shared" si="6"/>
        <v>44737</v>
      </c>
      <c r="C30" s="24">
        <f>IFERROR(__xludf.DUMMYFUNCTION("SUMPRODUCT((IMPORTRANGE(""17XjIPGwafStTRf_8bPPaoi2EFjHVy10_rRJ0uvy6YcU"",""M:M"")=B30)*1, IMPORTRANGE(""17XjIPGwafStTRf_8bPPaoi2EFjHVy10_rRJ0uvy6YcU"",""X:X""), IMPORTRANGE(""17XjIPGwafStTRf_8bPPaoi2EFjHVy10_rRJ0uvy6YcU"",""AK:AK"")) - SUMPRODUCT((IMPORTR"&amp;"ANGE(""17XjIPGwafStTRf_8bPPaoi2EFjHVy10_rRJ0uvy6YcU"",""M:M"")=B30)*1, IMPORTRANGE(""17XjIPGwafStTRf_8bPPaoi2EFjHVy10_rRJ0uvy6YcU"",""X:X""), IMPORTRANGE(""17XjIPGwafStTRf_8bPPaoi2EFjHVy10_rRJ0uvy6YcU"",""AL:AL""))"),0.0)</f>
        <v>0</v>
      </c>
      <c r="D30" s="24">
        <f>IFERROR(__xludf.DUMMYFUNCTION("SUMPRODUCT((IMPORTRANGE(""17XjIPGwafStTRf_8bPPaoi2EFjHVy10_rRJ0uvy6YcU"",""M:M"")=B30)*1, IMPORTRANGE(""17XjIPGwafStTRf_8bPPaoi2EFjHVy10_rRJ0uvy6YcU"",""X:X""), IMPORTRANGE(""17XjIPGwafStTRf_8bPPaoi2EFjHVy10_rRJ0uvy6YcU"",""AA:AA"")) + SUMPRODUCT((IMPORTR"&amp;"ANGE(""17XjIPGwafStTRf_8bPPaoi2EFjHVy10_rRJ0uvy6YcU"",""M:M"")=B30)*1, IMPORTRANGE(""17XjIPGwafStTRf_8bPPaoi2EFjHVy10_rRJ0uvy6YcU"",""X:X""), IMPORTRANGE(""17XjIPGwafStTRf_8bPPaoi2EFjHVy10_rRJ0uvy6YcU"",""AE:AE"")) + SUMPRODUCT((IMPORTRANGE(""17XjIPGwafSt"&amp;"TRf_8bPPaoi2EFjHVy10_rRJ0uvy6YcU"",""M:M"")=B30)*1, IMPORTRANGE(""17XjIPGwafStTRf_8bPPaoi2EFjHVy10_rRJ0uvy6YcU"",""X:X""), IMPORTRANGE(""17XjIPGwafStTRf_8bPPaoi2EFjHVy10_rRJ0uvy6YcU"",""AF:AF""))"),0.0)</f>
        <v>0</v>
      </c>
      <c r="E30" s="24">
        <f>IFERROR(__xludf.DUMMYFUNCTION("SUMPRODUCT((IMPORTRANGE(""17XjIPGwafStTRf_8bPPaoi2EFjHVy10_rRJ0uvy6YcU"",""M:M"")=B30)*1, IMPORTRANGE(""17XjIPGwafStTRf_8bPPaoi2EFjHVy10_rRJ0uvy6YcU"",""X:X""), IMPORTRANGE(""17XjIPGwafStTRf_8bPPaoi2EFjHVy10_rRJ0uvy6YcU"",""AO:AO""))"),0.0)</f>
        <v>0</v>
      </c>
      <c r="F30" s="25">
        <f>IFERROR(__xludf.DUMMYFUNCTION("SUMPRODUCT((IMPORTRANGE(""17XjIPGwafStTRf_8bPPaoi2EFjHVy10_rRJ0uvy6YcU"",""M:M"")=B30)*1, IMPORTRANGE(""17XjIPGwafStTRf_8bPPaoi2EFjHVy10_rRJ0uvy6YcU"",""X:X""))"),0.0)</f>
        <v>0</v>
      </c>
      <c r="G30" s="26">
        <f>IFERROR(__xludf.DUMMYFUNCTION("COUNTIF(IMPORTRANGE(""17XjIPGwafStTRf_8bPPaoi2EFjHVy10_rRJ0uvy6YcU"",""M:M""), B30)"),0.0)</f>
        <v>0</v>
      </c>
      <c r="H30" s="27" t="str">
        <f t="shared" si="1"/>
        <v/>
      </c>
      <c r="I30" s="28" t="str">
        <f t="shared" si="2"/>
        <v/>
      </c>
      <c r="J30" s="29" t="str">
        <f t="shared" si="3"/>
        <v/>
      </c>
      <c r="K30" s="30"/>
      <c r="L30" s="31" t="str">
        <f t="shared" si="4"/>
        <v/>
      </c>
      <c r="M30" s="31" t="str">
        <f t="shared" si="5"/>
        <v/>
      </c>
      <c r="N30" s="4"/>
    </row>
    <row r="31">
      <c r="A31" s="1"/>
      <c r="B31" s="23">
        <f t="shared" si="6"/>
        <v>44738</v>
      </c>
      <c r="C31" s="24">
        <f>IFERROR(__xludf.DUMMYFUNCTION("SUMPRODUCT((IMPORTRANGE(""17XjIPGwafStTRf_8bPPaoi2EFjHVy10_rRJ0uvy6YcU"",""M:M"")=B31)*1, IMPORTRANGE(""17XjIPGwafStTRf_8bPPaoi2EFjHVy10_rRJ0uvy6YcU"",""X:X""), IMPORTRANGE(""17XjIPGwafStTRf_8bPPaoi2EFjHVy10_rRJ0uvy6YcU"",""AK:AK"")) - SUMPRODUCT((IMPORTR"&amp;"ANGE(""17XjIPGwafStTRf_8bPPaoi2EFjHVy10_rRJ0uvy6YcU"",""M:M"")=B31)*1, IMPORTRANGE(""17XjIPGwafStTRf_8bPPaoi2EFjHVy10_rRJ0uvy6YcU"",""X:X""), IMPORTRANGE(""17XjIPGwafStTRf_8bPPaoi2EFjHVy10_rRJ0uvy6YcU"",""AL:AL""))"),565514.0)</f>
        <v>565514</v>
      </c>
      <c r="D31" s="24">
        <f>IFERROR(__xludf.DUMMYFUNCTION("SUMPRODUCT((IMPORTRANGE(""17XjIPGwafStTRf_8bPPaoi2EFjHVy10_rRJ0uvy6YcU"",""M:M"")=B31)*1, IMPORTRANGE(""17XjIPGwafStTRf_8bPPaoi2EFjHVy10_rRJ0uvy6YcU"",""X:X""), IMPORTRANGE(""17XjIPGwafStTRf_8bPPaoi2EFjHVy10_rRJ0uvy6YcU"",""AA:AA"")) + SUMPRODUCT((IMPORTR"&amp;"ANGE(""17XjIPGwafStTRf_8bPPaoi2EFjHVy10_rRJ0uvy6YcU"",""M:M"")=B31)*1, IMPORTRANGE(""17XjIPGwafStTRf_8bPPaoi2EFjHVy10_rRJ0uvy6YcU"",""X:X""), IMPORTRANGE(""17XjIPGwafStTRf_8bPPaoi2EFjHVy10_rRJ0uvy6YcU"",""AE:AE"")) + SUMPRODUCT((IMPORTRANGE(""17XjIPGwafSt"&amp;"TRf_8bPPaoi2EFjHVy10_rRJ0uvy6YcU"",""M:M"")=B31)*1, IMPORTRANGE(""17XjIPGwafStTRf_8bPPaoi2EFjHVy10_rRJ0uvy6YcU"",""X:X""), IMPORTRANGE(""17XjIPGwafStTRf_8bPPaoi2EFjHVy10_rRJ0uvy6YcU"",""AF:AF""))"),309009.5555628876)</f>
        <v>309009.5556</v>
      </c>
      <c r="E31" s="24">
        <f>IFERROR(__xludf.DUMMYFUNCTION("SUMPRODUCT((IMPORTRANGE(""17XjIPGwafStTRf_8bPPaoi2EFjHVy10_rRJ0uvy6YcU"",""M:M"")=B31)*1, IMPORTRANGE(""17XjIPGwafStTRf_8bPPaoi2EFjHVy10_rRJ0uvy6YcU"",""X:X""), IMPORTRANGE(""17XjIPGwafStTRf_8bPPaoi2EFjHVy10_rRJ0uvy6YcU"",""AO:AO""))"),156587.27450789712)</f>
        <v>156587.2745</v>
      </c>
      <c r="F31" s="25">
        <f>IFERROR(__xludf.DUMMYFUNCTION("SUMPRODUCT((IMPORTRANGE(""17XjIPGwafStTRf_8bPPaoi2EFjHVy10_rRJ0uvy6YcU"",""M:M"")=B31)*1, IMPORTRANGE(""17XjIPGwafStTRf_8bPPaoi2EFjHVy10_rRJ0uvy6YcU"",""X:X""))"),102.0)</f>
        <v>102</v>
      </c>
      <c r="G31" s="26">
        <f>IFERROR(__xludf.DUMMYFUNCTION("COUNTIF(IMPORTRANGE(""17XjIPGwafStTRf_8bPPaoi2EFjHVy10_rRJ0uvy6YcU"",""M:M""), B31)"),50.0)</f>
        <v>50</v>
      </c>
      <c r="H31" s="27">
        <f t="shared" si="1"/>
        <v>2.04</v>
      </c>
      <c r="I31" s="28">
        <f t="shared" si="2"/>
        <v>0.2768937188</v>
      </c>
      <c r="J31" s="29">
        <f t="shared" si="3"/>
        <v>0.5067392632</v>
      </c>
      <c r="K31" s="30"/>
      <c r="L31" s="31" t="str">
        <f t="shared" si="4"/>
        <v/>
      </c>
      <c r="M31" s="31" t="str">
        <f t="shared" si="5"/>
        <v/>
      </c>
      <c r="N31" s="4"/>
    </row>
    <row r="32">
      <c r="A32" s="1"/>
      <c r="B32" s="23">
        <f t="shared" si="6"/>
        <v>44739</v>
      </c>
      <c r="C32" s="24">
        <f>IFERROR(__xludf.DUMMYFUNCTION("SUMPRODUCT((IMPORTRANGE(""17XjIPGwafStTRf_8bPPaoi2EFjHVy10_rRJ0uvy6YcU"",""M:M"")=B32)*1, IMPORTRANGE(""17XjIPGwafStTRf_8bPPaoi2EFjHVy10_rRJ0uvy6YcU"",""X:X""), IMPORTRANGE(""17XjIPGwafStTRf_8bPPaoi2EFjHVy10_rRJ0uvy6YcU"",""AK:AK"")) - SUMPRODUCT((IMPORTR"&amp;"ANGE(""17XjIPGwafStTRf_8bPPaoi2EFjHVy10_rRJ0uvy6YcU"",""M:M"")=B32)*1, IMPORTRANGE(""17XjIPGwafStTRf_8bPPaoi2EFjHVy10_rRJ0uvy6YcU"",""X:X""), IMPORTRANGE(""17XjIPGwafStTRf_8bPPaoi2EFjHVy10_rRJ0uvy6YcU"",""AL:AL""))"),204699.0)</f>
        <v>204699</v>
      </c>
      <c r="D32" s="24">
        <f>IFERROR(__xludf.DUMMYFUNCTION("SUMPRODUCT((IMPORTRANGE(""17XjIPGwafStTRf_8bPPaoi2EFjHVy10_rRJ0uvy6YcU"",""M:M"")=B32)*1, IMPORTRANGE(""17XjIPGwafStTRf_8bPPaoi2EFjHVy10_rRJ0uvy6YcU"",""X:X""), IMPORTRANGE(""17XjIPGwafStTRf_8bPPaoi2EFjHVy10_rRJ0uvy6YcU"",""AA:AA"")) + SUMPRODUCT((IMPORTR"&amp;"ANGE(""17XjIPGwafStTRf_8bPPaoi2EFjHVy10_rRJ0uvy6YcU"",""M:M"")=B32)*1, IMPORTRANGE(""17XjIPGwafStTRf_8bPPaoi2EFjHVy10_rRJ0uvy6YcU"",""X:X""), IMPORTRANGE(""17XjIPGwafStTRf_8bPPaoi2EFjHVy10_rRJ0uvy6YcU"",""AE:AE"")) + SUMPRODUCT((IMPORTRANGE(""17XjIPGwafSt"&amp;"TRf_8bPPaoi2EFjHVy10_rRJ0uvy6YcU"",""M:M"")=B32)*1, IMPORTRANGE(""17XjIPGwafStTRf_8bPPaoi2EFjHVy10_rRJ0uvy6YcU"",""X:X""), IMPORTRANGE(""17XjIPGwafStTRf_8bPPaoi2EFjHVy10_rRJ0uvy6YcU"",""AF:AF""))"),99156.70066162337)</f>
        <v>99156.70066</v>
      </c>
      <c r="E32" s="24">
        <f>IFERROR(__xludf.DUMMYFUNCTION("SUMPRODUCT((IMPORTRANGE(""17XjIPGwafStTRf_8bPPaoi2EFjHVy10_rRJ0uvy6YcU"",""M:M"")=B32)*1, IMPORTRANGE(""17XjIPGwafStTRf_8bPPaoi2EFjHVy10_rRJ0uvy6YcU"",""X:X""), IMPORTRANGE(""17XjIPGwafStTRf_8bPPaoi2EFjHVy10_rRJ0uvy6YcU"",""AO:AO""))"),61435.799338376644)</f>
        <v>61435.79934</v>
      </c>
      <c r="F32" s="25">
        <f>IFERROR(__xludf.DUMMYFUNCTION("SUMPRODUCT((IMPORTRANGE(""17XjIPGwafStTRf_8bPPaoi2EFjHVy10_rRJ0uvy6YcU"",""M:M"")=B32)*1, IMPORTRANGE(""17XjIPGwafStTRf_8bPPaoi2EFjHVy10_rRJ0uvy6YcU"",""X:X""))"),54.0)</f>
        <v>54</v>
      </c>
      <c r="G32" s="26">
        <f>IFERROR(__xludf.DUMMYFUNCTION("COUNTIF(IMPORTRANGE(""17XjIPGwafStTRf_8bPPaoi2EFjHVy10_rRJ0uvy6YcU"",""M:M""), B32)"),22.0)</f>
        <v>22</v>
      </c>
      <c r="H32" s="27">
        <f t="shared" si="1"/>
        <v>2.454545455</v>
      </c>
      <c r="I32" s="28">
        <f t="shared" si="2"/>
        <v>0.3001275011</v>
      </c>
      <c r="J32" s="29">
        <f t="shared" si="3"/>
        <v>0.6195829322</v>
      </c>
      <c r="K32" s="32"/>
      <c r="L32" s="31" t="str">
        <f t="shared" si="4"/>
        <v/>
      </c>
      <c r="M32" s="31" t="str">
        <f t="shared" si="5"/>
        <v/>
      </c>
      <c r="N32" s="4"/>
    </row>
    <row r="33">
      <c r="A33" s="1"/>
      <c r="B33" s="23">
        <f t="shared" si="6"/>
        <v>44740</v>
      </c>
      <c r="C33" s="24">
        <f>IFERROR(__xludf.DUMMYFUNCTION("SUMPRODUCT((IMPORTRANGE(""17XjIPGwafStTRf_8bPPaoi2EFjHVy10_rRJ0uvy6YcU"",""M:M"")=B33)*1, IMPORTRANGE(""17XjIPGwafStTRf_8bPPaoi2EFjHVy10_rRJ0uvy6YcU"",""X:X""), IMPORTRANGE(""17XjIPGwafStTRf_8bPPaoi2EFjHVy10_rRJ0uvy6YcU"",""AK:AK"")) - SUMPRODUCT((IMPORTR"&amp;"ANGE(""17XjIPGwafStTRf_8bPPaoi2EFjHVy10_rRJ0uvy6YcU"",""M:M"")=B33)*1, IMPORTRANGE(""17XjIPGwafStTRf_8bPPaoi2EFjHVy10_rRJ0uvy6YcU"",""X:X""), IMPORTRANGE(""17XjIPGwafStTRf_8bPPaoi2EFjHVy10_rRJ0uvy6YcU"",""AL:AL""))"),255793.84)</f>
        <v>255793.84</v>
      </c>
      <c r="D33" s="24">
        <f>IFERROR(__xludf.DUMMYFUNCTION("SUMPRODUCT((IMPORTRANGE(""17XjIPGwafStTRf_8bPPaoi2EFjHVy10_rRJ0uvy6YcU"",""M:M"")=B33)*1, IMPORTRANGE(""17XjIPGwafStTRf_8bPPaoi2EFjHVy10_rRJ0uvy6YcU"",""X:X""), IMPORTRANGE(""17XjIPGwafStTRf_8bPPaoi2EFjHVy10_rRJ0uvy6YcU"",""AA:AA"")) + SUMPRODUCT((IMPORTR"&amp;"ANGE(""17XjIPGwafStTRf_8bPPaoi2EFjHVy10_rRJ0uvy6YcU"",""M:M"")=B33)*1, IMPORTRANGE(""17XjIPGwafStTRf_8bPPaoi2EFjHVy10_rRJ0uvy6YcU"",""X:X""), IMPORTRANGE(""17XjIPGwafStTRf_8bPPaoi2EFjHVy10_rRJ0uvy6YcU"",""AE:AE"")) + SUMPRODUCT((IMPORTRANGE(""17XjIPGwafSt"&amp;"TRf_8bPPaoi2EFjHVy10_rRJ0uvy6YcU"",""M:M"")=B33)*1, IMPORTRANGE(""17XjIPGwafStTRf_8bPPaoi2EFjHVy10_rRJ0uvy6YcU"",""X:X""), IMPORTRANGE(""17XjIPGwafStTRf_8bPPaoi2EFjHVy10_rRJ0uvy6YcU"",""AF:AF""))"),145809.58874142406)</f>
        <v>145809.5887</v>
      </c>
      <c r="E33" s="24">
        <f>IFERROR(__xludf.DUMMYFUNCTION("SUMPRODUCT((IMPORTRANGE(""17XjIPGwafStTRf_8bPPaoi2EFjHVy10_rRJ0uvy6YcU"",""M:M"")=B33)*1, IMPORTRANGE(""17XjIPGwafStTRf_8bPPaoi2EFjHVy10_rRJ0uvy6YcU"",""X:X""), IMPORTRANGE(""17XjIPGwafStTRf_8bPPaoi2EFjHVy10_rRJ0uvy6YcU"",""AO:AO""))"),59837.111258575926)</f>
        <v>59837.11126</v>
      </c>
      <c r="F33" s="25">
        <f>IFERROR(__xludf.DUMMYFUNCTION("SUMPRODUCT((IMPORTRANGE(""17XjIPGwafStTRf_8bPPaoi2EFjHVy10_rRJ0uvy6YcU"",""M:M"")=B33)*1, IMPORTRANGE(""17XjIPGwafStTRf_8bPPaoi2EFjHVy10_rRJ0uvy6YcU"",""X:X""))"),78.0)</f>
        <v>78</v>
      </c>
      <c r="G33" s="26">
        <f>IFERROR(__xludf.DUMMYFUNCTION("COUNTIF(IMPORTRANGE(""17XjIPGwafStTRf_8bPPaoi2EFjHVy10_rRJ0uvy6YcU"",""M:M""), B33)"),18.0)</f>
        <v>18</v>
      </c>
      <c r="H33" s="27">
        <f t="shared" si="1"/>
        <v>4.333333333</v>
      </c>
      <c r="I33" s="28">
        <f t="shared" si="2"/>
        <v>0.2339271003</v>
      </c>
      <c r="J33" s="29">
        <f t="shared" si="3"/>
        <v>0.4103784379</v>
      </c>
      <c r="K33" s="30"/>
      <c r="L33" s="31" t="str">
        <f t="shared" si="4"/>
        <v/>
      </c>
      <c r="M33" s="31" t="str">
        <f t="shared" si="5"/>
        <v/>
      </c>
      <c r="N33" s="4"/>
    </row>
    <row r="34">
      <c r="A34" s="1"/>
      <c r="B34" s="23">
        <f t="shared" ref="B34:B36" si="7">IFERROR(IF(MONTH(B33)=MONTH(B33+1),B33+1,"--"),"--")</f>
        <v>44741</v>
      </c>
      <c r="C34" s="24">
        <f>IFERROR(__xludf.DUMMYFUNCTION("SUMPRODUCT((IMPORTRANGE(""17XjIPGwafStTRf_8bPPaoi2EFjHVy10_rRJ0uvy6YcU"",""M:M"")=B34)*1, IMPORTRANGE(""17XjIPGwafStTRf_8bPPaoi2EFjHVy10_rRJ0uvy6YcU"",""X:X""), IMPORTRANGE(""17XjIPGwafStTRf_8bPPaoi2EFjHVy10_rRJ0uvy6YcU"",""AK:AK"")) - SUMPRODUCT((IMPORTR"&amp;"ANGE(""17XjIPGwafStTRf_8bPPaoi2EFjHVy10_rRJ0uvy6YcU"",""M:M"")=B34)*1, IMPORTRANGE(""17XjIPGwafStTRf_8bPPaoi2EFjHVy10_rRJ0uvy6YcU"",""X:X""), IMPORTRANGE(""17XjIPGwafStTRf_8bPPaoi2EFjHVy10_rRJ0uvy6YcU"",""AL:AL""))"),398702.0)</f>
        <v>398702</v>
      </c>
      <c r="D34" s="24">
        <f>IFERROR(__xludf.DUMMYFUNCTION("SUMPRODUCT((IMPORTRANGE(""17XjIPGwafStTRf_8bPPaoi2EFjHVy10_rRJ0uvy6YcU"",""M:M"")=B34)*1, IMPORTRANGE(""17XjIPGwafStTRf_8bPPaoi2EFjHVy10_rRJ0uvy6YcU"",""X:X""), IMPORTRANGE(""17XjIPGwafStTRf_8bPPaoi2EFjHVy10_rRJ0uvy6YcU"",""AA:AA"")) + SUMPRODUCT((IMPORTR"&amp;"ANGE(""17XjIPGwafStTRf_8bPPaoi2EFjHVy10_rRJ0uvy6YcU"",""M:M"")=B34)*1, IMPORTRANGE(""17XjIPGwafStTRf_8bPPaoi2EFjHVy10_rRJ0uvy6YcU"",""X:X""), IMPORTRANGE(""17XjIPGwafStTRf_8bPPaoi2EFjHVy10_rRJ0uvy6YcU"",""AE:AE"")) + SUMPRODUCT((IMPORTRANGE(""17XjIPGwafSt"&amp;"TRf_8bPPaoi2EFjHVy10_rRJ0uvy6YcU"",""M:M"")=B34)*1, IMPORTRANGE(""17XjIPGwafStTRf_8bPPaoi2EFjHVy10_rRJ0uvy6YcU"",""X:X""), IMPORTRANGE(""17XjIPGwafStTRf_8bPPaoi2EFjHVy10_rRJ0uvy6YcU"",""AF:AF""))"),238234.28299085895)</f>
        <v>238234.283</v>
      </c>
      <c r="E34" s="24">
        <f>IFERROR(__xludf.DUMMYFUNCTION("SUMPRODUCT((IMPORTRANGE(""17XjIPGwafStTRf_8bPPaoi2EFjHVy10_rRJ0uvy6YcU"",""M:M"")=B34)*1, IMPORTRANGE(""17XjIPGwafStTRf_8bPPaoi2EFjHVy10_rRJ0uvy6YcU"",""X:X""), IMPORTRANGE(""17XjIPGwafStTRf_8bPPaoi2EFjHVy10_rRJ0uvy6YcU"",""AO:AO""))"),98158.86175481093)</f>
        <v>98158.86175</v>
      </c>
      <c r="F34" s="25">
        <f>IFERROR(__xludf.DUMMYFUNCTION("SUMPRODUCT((IMPORTRANGE(""17XjIPGwafStTRf_8bPPaoi2EFjHVy10_rRJ0uvy6YcU"",""M:M"")=B34)*1, IMPORTRANGE(""17XjIPGwafStTRf_8bPPaoi2EFjHVy10_rRJ0uvy6YcU"",""X:X""))"),64.0)</f>
        <v>64</v>
      </c>
      <c r="G34" s="26">
        <f>IFERROR(__xludf.DUMMYFUNCTION("COUNTIF(IMPORTRANGE(""17XjIPGwafStTRf_8bPPaoi2EFjHVy10_rRJ0uvy6YcU"",""M:M""), B34)"),39.0)</f>
        <v>39</v>
      </c>
      <c r="H34" s="27">
        <f t="shared" si="1"/>
        <v>1.641025641</v>
      </c>
      <c r="I34" s="28">
        <f t="shared" si="2"/>
        <v>0.2461960606</v>
      </c>
      <c r="J34" s="29">
        <f t="shared" si="3"/>
        <v>0.4120266005</v>
      </c>
      <c r="K34" s="30"/>
      <c r="L34" s="31" t="str">
        <f t="shared" si="4"/>
        <v/>
      </c>
      <c r="M34" s="31" t="str">
        <f t="shared" si="5"/>
        <v/>
      </c>
      <c r="N34" s="4"/>
    </row>
    <row r="35">
      <c r="A35" s="1"/>
      <c r="B35" s="23">
        <f t="shared" si="7"/>
        <v>44742</v>
      </c>
      <c r="C35" s="24">
        <f>IFERROR(__xludf.DUMMYFUNCTION("SUMPRODUCT((IMPORTRANGE(""17XjIPGwafStTRf_8bPPaoi2EFjHVy10_rRJ0uvy6YcU"",""M:M"")=B35)*1, IMPORTRANGE(""17XjIPGwafStTRf_8bPPaoi2EFjHVy10_rRJ0uvy6YcU"",""X:X""), IMPORTRANGE(""17XjIPGwafStTRf_8bPPaoi2EFjHVy10_rRJ0uvy6YcU"",""AK:AK"")) - SUMPRODUCT((IMPORTR"&amp;"ANGE(""17XjIPGwafStTRf_8bPPaoi2EFjHVy10_rRJ0uvy6YcU"",""M:M"")=B35)*1, IMPORTRANGE(""17XjIPGwafStTRf_8bPPaoi2EFjHVy10_rRJ0uvy6YcU"",""X:X""), IMPORTRANGE(""17XjIPGwafStTRf_8bPPaoi2EFjHVy10_rRJ0uvy6YcU"",""AL:AL""))"),890797.0)</f>
        <v>890797</v>
      </c>
      <c r="D35" s="24">
        <f>IFERROR(__xludf.DUMMYFUNCTION("SUMPRODUCT((IMPORTRANGE(""17XjIPGwafStTRf_8bPPaoi2EFjHVy10_rRJ0uvy6YcU"",""M:M"")=B35)*1, IMPORTRANGE(""17XjIPGwafStTRf_8bPPaoi2EFjHVy10_rRJ0uvy6YcU"",""X:X""), IMPORTRANGE(""17XjIPGwafStTRf_8bPPaoi2EFjHVy10_rRJ0uvy6YcU"",""AA:AA"")) + SUMPRODUCT((IMPORTR"&amp;"ANGE(""17XjIPGwafStTRf_8bPPaoi2EFjHVy10_rRJ0uvy6YcU"",""M:M"")=B35)*1, IMPORTRANGE(""17XjIPGwafStTRf_8bPPaoi2EFjHVy10_rRJ0uvy6YcU"",""X:X""), IMPORTRANGE(""17XjIPGwafStTRf_8bPPaoi2EFjHVy10_rRJ0uvy6YcU"",""AE:AE"")) + SUMPRODUCT((IMPORTRANGE(""17XjIPGwafSt"&amp;"TRf_8bPPaoi2EFjHVy10_rRJ0uvy6YcU"",""M:M"")=B35)*1, IMPORTRANGE(""17XjIPGwafStTRf_8bPPaoi2EFjHVy10_rRJ0uvy6YcU"",""X:X""), IMPORTRANGE(""17XjIPGwafStTRf_8bPPaoi2EFjHVy10_rRJ0uvy6YcU"",""AF:AF""))"),376979.10604241583)</f>
        <v>376979.106</v>
      </c>
      <c r="E35" s="24">
        <f>IFERROR(__xludf.DUMMYFUNCTION("SUMPRODUCT((IMPORTRANGE(""17XjIPGwafStTRf_8bPPaoi2EFjHVy10_rRJ0uvy6YcU"",""M:M"")=B35)*1, IMPORTRANGE(""17XjIPGwafStTRf_8bPPaoi2EFjHVy10_rRJ0uvy6YcU"",""X:X""), IMPORTRANGE(""17XjIPGwafStTRf_8bPPaoi2EFjHVy10_rRJ0uvy6YcU"",""AO:AO""))"),290908.3939575842)</f>
        <v>290908.394</v>
      </c>
      <c r="F35" s="25">
        <f>IFERROR(__xludf.DUMMYFUNCTION("SUMPRODUCT((IMPORTRANGE(""17XjIPGwafStTRf_8bPPaoi2EFjHVy10_rRJ0uvy6YcU"",""M:M"")=B35)*1, IMPORTRANGE(""17XjIPGwafStTRf_8bPPaoi2EFjHVy10_rRJ0uvy6YcU"",""X:X""))"),322.0)</f>
        <v>322</v>
      </c>
      <c r="G35" s="26">
        <f>IFERROR(__xludf.DUMMYFUNCTION("COUNTIF(IMPORTRANGE(""17XjIPGwafStTRf_8bPPaoi2EFjHVy10_rRJ0uvy6YcU"",""M:M""), B35)"),36.0)</f>
        <v>36</v>
      </c>
      <c r="H35" s="27">
        <f t="shared" si="1"/>
        <v>8.944444444</v>
      </c>
      <c r="I35" s="28">
        <f t="shared" si="2"/>
        <v>0.3265709179</v>
      </c>
      <c r="J35" s="29">
        <f t="shared" si="3"/>
        <v>0.7716830702</v>
      </c>
      <c r="K35" s="32"/>
      <c r="L35" s="31" t="str">
        <f t="shared" si="4"/>
        <v/>
      </c>
      <c r="M35" s="31" t="str">
        <f t="shared" si="5"/>
        <v/>
      </c>
      <c r="N35" s="4"/>
    </row>
    <row r="36">
      <c r="A36" s="1"/>
      <c r="B36" s="23" t="str">
        <f t="shared" si="7"/>
        <v>--</v>
      </c>
      <c r="C36" s="24">
        <f>IFERROR(__xludf.DUMMYFUNCTION("SUMPRODUCT((IMPORTRANGE(""17XjIPGwafStTRf_8bPPaoi2EFjHVy10_rRJ0uvy6YcU"",""M:M"")=B36)*1, IMPORTRANGE(""17XjIPGwafStTRf_8bPPaoi2EFjHVy10_rRJ0uvy6YcU"",""X:X""), IMPORTRANGE(""17XjIPGwafStTRf_8bPPaoi2EFjHVy10_rRJ0uvy6YcU"",""AK:AK"")) - SUMPRODUCT((IMPORTR"&amp;"ANGE(""17XjIPGwafStTRf_8bPPaoi2EFjHVy10_rRJ0uvy6YcU"",""M:M"")=B36)*1, IMPORTRANGE(""17XjIPGwafStTRf_8bPPaoi2EFjHVy10_rRJ0uvy6YcU"",""X:X""), IMPORTRANGE(""17XjIPGwafStTRf_8bPPaoi2EFjHVy10_rRJ0uvy6YcU"",""AL:AL""))"),0.0)</f>
        <v>0</v>
      </c>
      <c r="D36" s="24">
        <f>IFERROR(__xludf.DUMMYFUNCTION("SUMPRODUCT((IMPORTRANGE(""17XjIPGwafStTRf_8bPPaoi2EFjHVy10_rRJ0uvy6YcU"",""M:M"")=B36)*1, IMPORTRANGE(""17XjIPGwafStTRf_8bPPaoi2EFjHVy10_rRJ0uvy6YcU"",""X:X""), IMPORTRANGE(""17XjIPGwafStTRf_8bPPaoi2EFjHVy10_rRJ0uvy6YcU"",""AA:AA"")) + SUMPRODUCT((IMPORTR"&amp;"ANGE(""17XjIPGwafStTRf_8bPPaoi2EFjHVy10_rRJ0uvy6YcU"",""M:M"")=B36)*1, IMPORTRANGE(""17XjIPGwafStTRf_8bPPaoi2EFjHVy10_rRJ0uvy6YcU"",""X:X""), IMPORTRANGE(""17XjIPGwafStTRf_8bPPaoi2EFjHVy10_rRJ0uvy6YcU"",""AE:AE"")) + SUMPRODUCT((IMPORTRANGE(""17XjIPGwafSt"&amp;"TRf_8bPPaoi2EFjHVy10_rRJ0uvy6YcU"",""M:M"")=B36)*1, IMPORTRANGE(""17XjIPGwafStTRf_8bPPaoi2EFjHVy10_rRJ0uvy6YcU"",""X:X""), IMPORTRANGE(""17XjIPGwafStTRf_8bPPaoi2EFjHVy10_rRJ0uvy6YcU"",""AF:AF""))"),0.0)</f>
        <v>0</v>
      </c>
      <c r="E36" s="24">
        <f>IFERROR(__xludf.DUMMYFUNCTION("SUMPRODUCT((IMPORTRANGE(""17XjIPGwafStTRf_8bPPaoi2EFjHVy10_rRJ0uvy6YcU"",""M:M"")=B36)*1, IMPORTRANGE(""17XjIPGwafStTRf_8bPPaoi2EFjHVy10_rRJ0uvy6YcU"",""X:X""), IMPORTRANGE(""17XjIPGwafStTRf_8bPPaoi2EFjHVy10_rRJ0uvy6YcU"",""AO:AO""))"),0.0)</f>
        <v>0</v>
      </c>
      <c r="F36" s="25">
        <f>IFERROR(__xludf.DUMMYFUNCTION("SUMPRODUCT((IMPORTRANGE(""17XjIPGwafStTRf_8bPPaoi2EFjHVy10_rRJ0uvy6YcU"",""M:M"")=B36)*1, IMPORTRANGE(""17XjIPGwafStTRf_8bPPaoi2EFjHVy10_rRJ0uvy6YcU"",""X:X""))"),0.0)</f>
        <v>0</v>
      </c>
      <c r="G36" s="26">
        <f>IFERROR(__xludf.DUMMYFUNCTION("COUNTIF(IMPORTRANGE(""17XjIPGwafStTRf_8bPPaoi2EFjHVy10_rRJ0uvy6YcU"",""M:M""), B36)"),0.0)</f>
        <v>0</v>
      </c>
      <c r="H36" s="27" t="str">
        <f t="shared" si="1"/>
        <v/>
      </c>
      <c r="I36" s="28" t="str">
        <f t="shared" si="2"/>
        <v/>
      </c>
      <c r="J36" s="29" t="str">
        <f t="shared" si="3"/>
        <v/>
      </c>
      <c r="K36" s="30"/>
      <c r="L36" s="31" t="str">
        <f>if(B36="","",IF(K36="","",E36/K36))</f>
        <v/>
      </c>
      <c r="M36" s="31" t="str">
        <f>if(B36="","",IF(K36="","",D36/K36))</f>
        <v/>
      </c>
      <c r="N36" s="4"/>
    </row>
    <row r="37">
      <c r="A37" s="4"/>
      <c r="B37" s="33" t="s">
        <v>16</v>
      </c>
      <c r="C37" s="34">
        <f t="shared" ref="C37:H37" si="8">SUM(C6:C36)</f>
        <v>14309458.72</v>
      </c>
      <c r="D37" s="34">
        <f t="shared" si="8"/>
        <v>7969441.562</v>
      </c>
      <c r="E37" s="34">
        <f t="shared" si="8"/>
        <v>3808924.609</v>
      </c>
      <c r="F37" s="34">
        <f t="shared" si="8"/>
        <v>3027</v>
      </c>
      <c r="G37" s="34">
        <f t="shared" si="8"/>
        <v>782</v>
      </c>
      <c r="H37" s="34">
        <f t="shared" si="8"/>
        <v>110.9529775</v>
      </c>
      <c r="I37" s="35">
        <f t="shared" si="2"/>
        <v>0.2661822982</v>
      </c>
      <c r="J37" s="35">
        <f t="shared" si="3"/>
        <v>0.4779412182</v>
      </c>
      <c r="K37" s="33">
        <f>SUM(K6:K36)</f>
        <v>0</v>
      </c>
      <c r="L37" s="34" t="str">
        <f>iferror(IF(K37="","",E37/K37),"")</f>
        <v/>
      </c>
      <c r="M37" s="34" t="str">
        <f>iferror(IF(K37="","",D37/K37),"")</f>
        <v/>
      </c>
      <c r="N37" s="4"/>
    </row>
    <row r="38">
      <c r="A38" s="4"/>
      <c r="B38" s="4"/>
      <c r="C38" s="4"/>
      <c r="D38" s="36" t="s">
        <v>17</v>
      </c>
      <c r="E38" s="4"/>
      <c r="F38" s="4"/>
      <c r="G38" s="4"/>
      <c r="H38" s="4"/>
      <c r="I38" s="4"/>
      <c r="J38" s="4"/>
      <c r="K38" s="4"/>
      <c r="L38" s="4"/>
      <c r="M38" s="4"/>
      <c r="N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.25"/>
    <col customWidth="1" min="2" max="2" width="7.38"/>
    <col customWidth="1" min="3" max="5" width="11.38"/>
    <col customWidth="1" min="6" max="8" width="5.75"/>
    <col customWidth="1" min="9" max="11" width="8.88"/>
    <col customWidth="1" min="12" max="13" width="11.38"/>
    <col customWidth="1" min="14" max="14" width="2.38"/>
  </cols>
  <sheetData>
    <row r="1" ht="7.5" customHeight="1">
      <c r="A1" s="1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</row>
    <row r="2">
      <c r="A2" s="1"/>
      <c r="B2" s="5">
        <v>44682.0</v>
      </c>
      <c r="C2" s="6"/>
      <c r="D2" s="3"/>
      <c r="E2" s="4"/>
      <c r="F2" s="4"/>
      <c r="G2" s="4"/>
      <c r="H2" s="4"/>
      <c r="I2" s="4"/>
      <c r="J2" s="4"/>
      <c r="K2" s="4"/>
      <c r="L2" s="7" t="s">
        <v>0</v>
      </c>
      <c r="M2" s="8">
        <v>1.5</v>
      </c>
      <c r="N2" s="4"/>
    </row>
    <row r="3">
      <c r="A3" s="4"/>
      <c r="B3" s="9" t="s">
        <v>1</v>
      </c>
      <c r="C3" s="10">
        <f>iferror((E3*M2)/I37,"")</f>
        <v>13165622.45</v>
      </c>
      <c r="D3" s="11" t="s">
        <v>2</v>
      </c>
      <c r="E3" s="12">
        <v>2000000.0</v>
      </c>
      <c r="F3" s="13"/>
      <c r="G3" s="4"/>
      <c r="H3" s="4"/>
      <c r="I3" s="4"/>
      <c r="J3" s="4"/>
      <c r="K3" s="4"/>
      <c r="L3" s="14"/>
      <c r="M3" s="15"/>
      <c r="N3" s="13"/>
    </row>
    <row r="4">
      <c r="A4" s="4"/>
      <c r="B4" s="9" t="s">
        <v>3</v>
      </c>
      <c r="C4" s="16">
        <f>iferror(C37/C3,"")</f>
        <v>0.9442467037</v>
      </c>
      <c r="D4" s="9"/>
      <c r="E4" s="16"/>
      <c r="F4" s="4"/>
      <c r="G4" s="4"/>
      <c r="H4" s="4"/>
      <c r="I4" s="4"/>
      <c r="J4" s="4"/>
      <c r="K4" s="17"/>
      <c r="L4" s="4"/>
      <c r="M4" s="4"/>
      <c r="N4" s="4"/>
    </row>
    <row r="5" ht="28.5" customHeight="1">
      <c r="A5" s="18"/>
      <c r="B5" s="19" t="s">
        <v>4</v>
      </c>
      <c r="C5" s="20" t="s">
        <v>5</v>
      </c>
      <c r="D5" s="20" t="s">
        <v>6</v>
      </c>
      <c r="E5" s="20" t="s">
        <v>7</v>
      </c>
      <c r="F5" s="21" t="s">
        <v>8</v>
      </c>
      <c r="G5" s="22" t="s">
        <v>9</v>
      </c>
      <c r="H5" s="22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18"/>
    </row>
    <row r="6">
      <c r="A6" s="1"/>
      <c r="B6" s="23">
        <f>B2</f>
        <v>44682</v>
      </c>
      <c r="C6" s="24">
        <f>IFERROR(__xludf.DUMMYFUNCTION("SUMPRODUCT((IMPORTRANGE(""17XjIPGwafStTRf_8bPPaoi2EFjHVy10_rRJ0uvy6YcU"",""M:M"")=B6)*1, IMPORTRANGE(""17XjIPGwafStTRf_8bPPaoi2EFjHVy10_rRJ0uvy6YcU"",""X:X""), IMPORTRANGE(""17XjIPGwafStTRf_8bPPaoi2EFjHVy10_rRJ0uvy6YcU"",""AK:AK"")) - SUMPRODUCT((IMPORTRA"&amp;"NGE(""17XjIPGwafStTRf_8bPPaoi2EFjHVy10_rRJ0uvy6YcU"",""M:M"")=B6)*1, IMPORTRANGE(""17XjIPGwafStTRf_8bPPaoi2EFjHVy10_rRJ0uvy6YcU"",""X:X""), IMPORTRANGE(""17XjIPGwafStTRf_8bPPaoi2EFjHVy10_rRJ0uvy6YcU"",""AL:AL""))"),340068.0)</f>
        <v>340068</v>
      </c>
      <c r="D6" s="24">
        <f>IFERROR(__xludf.DUMMYFUNCTION("SUMPRODUCT((IMPORTRANGE(""17XjIPGwafStTRf_8bPPaoi2EFjHVy10_rRJ0uvy6YcU"",""M:M"")=B6)*1, IMPORTRANGE(""17XjIPGwafStTRf_8bPPaoi2EFjHVy10_rRJ0uvy6YcU"",""X:X""), IMPORTRANGE(""17XjIPGwafStTRf_8bPPaoi2EFjHVy10_rRJ0uvy6YcU"",""AA:AA"")) + SUMPRODUCT((IMPORTRA"&amp;"NGE(""17XjIPGwafStTRf_8bPPaoi2EFjHVy10_rRJ0uvy6YcU"",""M:M"")=B6)*1, IMPORTRANGE(""17XjIPGwafStTRf_8bPPaoi2EFjHVy10_rRJ0uvy6YcU"",""X:X""), IMPORTRANGE(""17XjIPGwafStTRf_8bPPaoi2EFjHVy10_rRJ0uvy6YcU"",""AE:AE"")) + SUMPRODUCT((IMPORTRANGE(""17XjIPGwafStTR"&amp;"f_8bPPaoi2EFjHVy10_rRJ0uvy6YcU"",""M:M"")=B6)*1, IMPORTRANGE(""17XjIPGwafStTRf_8bPPaoi2EFjHVy10_rRJ0uvy6YcU"",""X:X""), IMPORTRANGE(""17XjIPGwafStTRf_8bPPaoi2EFjHVy10_rRJ0uvy6YcU"",""AF:AF""))"),225470.10250310143)</f>
        <v>225470.1025</v>
      </c>
      <c r="E6" s="24">
        <f>IFERROR(__xludf.DUMMYFUNCTION("SUMPRODUCT((IMPORTRANGE(""17XjIPGwafStTRf_8bPPaoi2EFjHVy10_rRJ0uvy6YcU"",""M:M"")=B6)*1, IMPORTRANGE(""17XjIPGwafStTRf_8bPPaoi2EFjHVy10_rRJ0uvy6YcU"",""X:X""), IMPORTRANGE(""17XjIPGwafStTRf_8bPPaoi2EFjHVy10_rRJ0uvy6YcU"",""AO:AO""))"),70776.71927806911)</f>
        <v>70776.71928</v>
      </c>
      <c r="F6" s="25">
        <f>IFERROR(__xludf.DUMMYFUNCTION("SUMPRODUCT((IMPORTRANGE(""17XjIPGwafStTRf_8bPPaoi2EFjHVy10_rRJ0uvy6YcU"",""M:M"")=B6)*1, IMPORTRANGE(""17XjIPGwafStTRf_8bPPaoi2EFjHVy10_rRJ0uvy6YcU"",""X:X""))"),70.0)</f>
        <v>70</v>
      </c>
      <c r="G6" s="26">
        <f>IFERROR(__xludf.DUMMYFUNCTION("COUNTIF(IMPORTRANGE(""17XjIPGwafStTRf_8bPPaoi2EFjHVy10_rRJ0uvy6YcU"",""M:M""), B6)"),41.0)</f>
        <v>41</v>
      </c>
      <c r="H6" s="27">
        <f t="shared" ref="H6:H36" si="1">IF(F6=0,"",F6/G6)</f>
        <v>1.707317073</v>
      </c>
      <c r="I6" s="28">
        <f t="shared" ref="I6:I37" si="2">IF(C6=0,"",E6/C6)</f>
        <v>0.2081251964</v>
      </c>
      <c r="J6" s="29">
        <f t="shared" ref="J6:J37" si="3">IF(D6=0,"",E6/D6)</f>
        <v>0.3139073362</v>
      </c>
      <c r="K6" s="30"/>
      <c r="L6" s="31" t="str">
        <f t="shared" ref="L6:L35" si="4">IF(K6="","",E6/K6)</f>
        <v/>
      </c>
      <c r="M6" s="31" t="str">
        <f t="shared" ref="M6:M35" si="5">IF(K6="","",D6/K6)</f>
        <v/>
      </c>
      <c r="N6" s="4"/>
    </row>
    <row r="7">
      <c r="A7" s="1"/>
      <c r="B7" s="23">
        <f t="shared" ref="B7:B33" si="6">B6+1</f>
        <v>44683</v>
      </c>
      <c r="C7" s="24">
        <f>IFERROR(__xludf.DUMMYFUNCTION("SUMPRODUCT((IMPORTRANGE(""17XjIPGwafStTRf_8bPPaoi2EFjHVy10_rRJ0uvy6YcU"",""M:M"")=B7)*1, IMPORTRANGE(""17XjIPGwafStTRf_8bPPaoi2EFjHVy10_rRJ0uvy6YcU"",""X:X""), IMPORTRANGE(""17XjIPGwafStTRf_8bPPaoi2EFjHVy10_rRJ0uvy6YcU"",""AK:AK"")) - SUMPRODUCT((IMPORTRA"&amp;"NGE(""17XjIPGwafStTRf_8bPPaoi2EFjHVy10_rRJ0uvy6YcU"",""M:M"")=B7)*1, IMPORTRANGE(""17XjIPGwafStTRf_8bPPaoi2EFjHVy10_rRJ0uvy6YcU"",""X:X""), IMPORTRANGE(""17XjIPGwafStTRf_8bPPaoi2EFjHVy10_rRJ0uvy6YcU"",""AL:AL""))"),592408.0)</f>
        <v>592408</v>
      </c>
      <c r="D7" s="24">
        <f>IFERROR(__xludf.DUMMYFUNCTION("SUMPRODUCT((IMPORTRANGE(""17XjIPGwafStTRf_8bPPaoi2EFjHVy10_rRJ0uvy6YcU"",""M:M"")=B7)*1, IMPORTRANGE(""17XjIPGwafStTRf_8bPPaoi2EFjHVy10_rRJ0uvy6YcU"",""X:X""), IMPORTRANGE(""17XjIPGwafStTRf_8bPPaoi2EFjHVy10_rRJ0uvy6YcU"",""AA:AA"")) + SUMPRODUCT((IMPORTRA"&amp;"NGE(""17XjIPGwafStTRf_8bPPaoi2EFjHVy10_rRJ0uvy6YcU"",""M:M"")=B7)*1, IMPORTRANGE(""17XjIPGwafStTRf_8bPPaoi2EFjHVy10_rRJ0uvy6YcU"",""X:X""), IMPORTRANGE(""17XjIPGwafStTRf_8bPPaoi2EFjHVy10_rRJ0uvy6YcU"",""AE:AE"")) + SUMPRODUCT((IMPORTRANGE(""17XjIPGwafStTR"&amp;"f_8bPPaoi2EFjHVy10_rRJ0uvy6YcU"",""M:M"")=B7)*1, IMPORTRANGE(""17XjIPGwafStTRf_8bPPaoi2EFjHVy10_rRJ0uvy6YcU"",""X:X""), IMPORTRANGE(""17XjIPGwafStTRf_8bPPaoi2EFjHVy10_rRJ0uvy6YcU"",""AF:AF""))"),309899.2247411872)</f>
        <v>309899.2247</v>
      </c>
      <c r="E7" s="24">
        <f>IFERROR(__xludf.DUMMYFUNCTION("SUMPRODUCT((IMPORTRANGE(""17XjIPGwafStTRf_8bPPaoi2EFjHVy10_rRJ0uvy6YcU"",""M:M"")=B7)*1, IMPORTRANGE(""17XjIPGwafStTRf_8bPPaoi2EFjHVy10_rRJ0uvy6YcU"",""X:X""), IMPORTRANGE(""17XjIPGwafStTRf_8bPPaoi2EFjHVy10_rRJ0uvy6YcU"",""AO:AO""))"),161530.97525881283)</f>
        <v>161530.9753</v>
      </c>
      <c r="F7" s="25">
        <f>IFERROR(__xludf.DUMMYFUNCTION("SUMPRODUCT((IMPORTRANGE(""17XjIPGwafStTRf_8bPPaoi2EFjHVy10_rRJ0uvy6YcU"",""M:M"")=B7)*1, IMPORTRANGE(""17XjIPGwafStTRf_8bPPaoi2EFjHVy10_rRJ0uvy6YcU"",""X:X""))"),134.0)</f>
        <v>134</v>
      </c>
      <c r="G7" s="26">
        <f>IFERROR(__xludf.DUMMYFUNCTION("COUNTIF(IMPORTRANGE(""17XjIPGwafStTRf_8bPPaoi2EFjHVy10_rRJ0uvy6YcU"",""M:M""), B7)"),20.0)</f>
        <v>20</v>
      </c>
      <c r="H7" s="27">
        <f t="shared" si="1"/>
        <v>6.7</v>
      </c>
      <c r="I7" s="28">
        <f t="shared" si="2"/>
        <v>0.272668457</v>
      </c>
      <c r="J7" s="29">
        <f t="shared" si="3"/>
        <v>0.5212371067</v>
      </c>
      <c r="K7" s="30"/>
      <c r="L7" s="31" t="str">
        <f t="shared" si="4"/>
        <v/>
      </c>
      <c r="M7" s="31" t="str">
        <f t="shared" si="5"/>
        <v/>
      </c>
      <c r="N7" s="4"/>
    </row>
    <row r="8">
      <c r="A8" s="1"/>
      <c r="B8" s="23">
        <f t="shared" si="6"/>
        <v>44684</v>
      </c>
      <c r="C8" s="24">
        <f>IFERROR(__xludf.DUMMYFUNCTION("SUMPRODUCT((IMPORTRANGE(""17XjIPGwafStTRf_8bPPaoi2EFjHVy10_rRJ0uvy6YcU"",""M:M"")=B8)*1, IMPORTRANGE(""17XjIPGwafStTRf_8bPPaoi2EFjHVy10_rRJ0uvy6YcU"",""X:X""), IMPORTRANGE(""17XjIPGwafStTRf_8bPPaoi2EFjHVy10_rRJ0uvy6YcU"",""AK:AK"")) - SUMPRODUCT((IMPORTRA"&amp;"NGE(""17XjIPGwafStTRf_8bPPaoi2EFjHVy10_rRJ0uvy6YcU"",""M:M"")=B8)*1, IMPORTRANGE(""17XjIPGwafStTRf_8bPPaoi2EFjHVy10_rRJ0uvy6YcU"",""X:X""), IMPORTRANGE(""17XjIPGwafStTRf_8bPPaoi2EFjHVy10_rRJ0uvy6YcU"",""AL:AL""))"),421078.0)</f>
        <v>421078</v>
      </c>
      <c r="D8" s="24">
        <f>IFERROR(__xludf.DUMMYFUNCTION("SUMPRODUCT((IMPORTRANGE(""17XjIPGwafStTRf_8bPPaoi2EFjHVy10_rRJ0uvy6YcU"",""M:M"")=B8)*1, IMPORTRANGE(""17XjIPGwafStTRf_8bPPaoi2EFjHVy10_rRJ0uvy6YcU"",""X:X""), IMPORTRANGE(""17XjIPGwafStTRf_8bPPaoi2EFjHVy10_rRJ0uvy6YcU"",""AA:AA"")) + SUMPRODUCT((IMPORTRA"&amp;"NGE(""17XjIPGwafStTRf_8bPPaoi2EFjHVy10_rRJ0uvy6YcU"",""M:M"")=B8)*1, IMPORTRANGE(""17XjIPGwafStTRf_8bPPaoi2EFjHVy10_rRJ0uvy6YcU"",""X:X""), IMPORTRANGE(""17XjIPGwafStTRf_8bPPaoi2EFjHVy10_rRJ0uvy6YcU"",""AE:AE"")) + SUMPRODUCT((IMPORTRANGE(""17XjIPGwafStTR"&amp;"f_8bPPaoi2EFjHVy10_rRJ0uvy6YcU"",""M:M"")=B8)*1, IMPORTRANGE(""17XjIPGwafStTRf_8bPPaoi2EFjHVy10_rRJ0uvy6YcU"",""X:X""), IMPORTRANGE(""17XjIPGwafStTRf_8bPPaoi2EFjHVy10_rRJ0uvy6YcU"",""AF:AF""))"),255596.1714109696)</f>
        <v>255596.1714</v>
      </c>
      <c r="E8" s="24">
        <f>IFERROR(__xludf.DUMMYFUNCTION("SUMPRODUCT((IMPORTRANGE(""17XjIPGwafStTRf_8bPPaoi2EFjHVy10_rRJ0uvy6YcU"",""M:M"")=B8)*1, IMPORTRANGE(""17XjIPGwafStTRf_8bPPaoi2EFjHVy10_rRJ0uvy6YcU"",""X:X""), IMPORTRANGE(""17XjIPGwafStTRf_8bPPaoi2EFjHVy10_rRJ0uvy6YcU"",""AO:AO""))"),59919.322199254)</f>
        <v>59919.3222</v>
      </c>
      <c r="F8" s="25">
        <f>IFERROR(__xludf.DUMMYFUNCTION("SUMPRODUCT((IMPORTRANGE(""17XjIPGwafStTRf_8bPPaoi2EFjHVy10_rRJ0uvy6YcU"",""M:M"")=B8)*1, IMPORTRANGE(""17XjIPGwafStTRf_8bPPaoi2EFjHVy10_rRJ0uvy6YcU"",""X:X""))"),147.0)</f>
        <v>147</v>
      </c>
      <c r="G8" s="26">
        <f>IFERROR(__xludf.DUMMYFUNCTION("COUNTIF(IMPORTRANGE(""17XjIPGwafStTRf_8bPPaoi2EFjHVy10_rRJ0uvy6YcU"",""M:M""), B8)"),24.0)</f>
        <v>24</v>
      </c>
      <c r="H8" s="27">
        <f t="shared" si="1"/>
        <v>6.125</v>
      </c>
      <c r="I8" s="28">
        <f t="shared" si="2"/>
        <v>0.1422998167</v>
      </c>
      <c r="J8" s="29">
        <f t="shared" si="3"/>
        <v>0.2344296547</v>
      </c>
      <c r="K8" s="30"/>
      <c r="L8" s="31" t="str">
        <f t="shared" si="4"/>
        <v/>
      </c>
      <c r="M8" s="31" t="str">
        <f t="shared" si="5"/>
        <v/>
      </c>
      <c r="N8" s="4"/>
    </row>
    <row r="9">
      <c r="A9" s="1"/>
      <c r="B9" s="23">
        <f t="shared" si="6"/>
        <v>44685</v>
      </c>
      <c r="C9" s="24">
        <f>IFERROR(__xludf.DUMMYFUNCTION("SUMPRODUCT((IMPORTRANGE(""17XjIPGwafStTRf_8bPPaoi2EFjHVy10_rRJ0uvy6YcU"",""M:M"")=B9)*1, IMPORTRANGE(""17XjIPGwafStTRf_8bPPaoi2EFjHVy10_rRJ0uvy6YcU"",""X:X""), IMPORTRANGE(""17XjIPGwafStTRf_8bPPaoi2EFjHVy10_rRJ0uvy6YcU"",""AK:AK"")) - SUMPRODUCT((IMPORTRA"&amp;"NGE(""17XjIPGwafStTRf_8bPPaoi2EFjHVy10_rRJ0uvy6YcU"",""M:M"")=B9)*1, IMPORTRANGE(""17XjIPGwafStTRf_8bPPaoi2EFjHVy10_rRJ0uvy6YcU"",""X:X""), IMPORTRANGE(""17XjIPGwafStTRf_8bPPaoi2EFjHVy10_rRJ0uvy6YcU"",""AL:AL""))"),421201.0)</f>
        <v>421201</v>
      </c>
      <c r="D9" s="24">
        <f>IFERROR(__xludf.DUMMYFUNCTION("SUMPRODUCT((IMPORTRANGE(""17XjIPGwafStTRf_8bPPaoi2EFjHVy10_rRJ0uvy6YcU"",""M:M"")=B9)*1, IMPORTRANGE(""17XjIPGwafStTRf_8bPPaoi2EFjHVy10_rRJ0uvy6YcU"",""X:X""), IMPORTRANGE(""17XjIPGwafStTRf_8bPPaoi2EFjHVy10_rRJ0uvy6YcU"",""AA:AA"")) + SUMPRODUCT((IMPORTRA"&amp;"NGE(""17XjIPGwafStTRf_8bPPaoi2EFjHVy10_rRJ0uvy6YcU"",""M:M"")=B9)*1, IMPORTRANGE(""17XjIPGwafStTRf_8bPPaoi2EFjHVy10_rRJ0uvy6YcU"",""X:X""), IMPORTRANGE(""17XjIPGwafStTRf_8bPPaoi2EFjHVy10_rRJ0uvy6YcU"",""AE:AE"")) + SUMPRODUCT((IMPORTRANGE(""17XjIPGwafStTR"&amp;"f_8bPPaoi2EFjHVy10_rRJ0uvy6YcU"",""M:M"")=B9)*1, IMPORTRANGE(""17XjIPGwafStTRf_8bPPaoi2EFjHVy10_rRJ0uvy6YcU"",""X:X""), IMPORTRANGE(""17XjIPGwafStTRf_8bPPaoi2EFjHVy10_rRJ0uvy6YcU"",""AF:AF""))"),249025.2288945561)</f>
        <v>249025.2289</v>
      </c>
      <c r="E9" s="24">
        <f>IFERROR(__xludf.DUMMYFUNCTION("SUMPRODUCT((IMPORTRANGE(""17XjIPGwafStTRf_8bPPaoi2EFjHVy10_rRJ0uvy6YcU"",""M:M"")=B9)*1, IMPORTRANGE(""17XjIPGwafStTRf_8bPPaoi2EFjHVy10_rRJ0uvy6YcU"",""X:X""), IMPORTRANGE(""17XjIPGwafStTRf_8bPPaoi2EFjHVy10_rRJ0uvy6YcU"",""AO:AO""))"),78148.14033621312)</f>
        <v>78148.14034</v>
      </c>
      <c r="F9" s="25">
        <f>IFERROR(__xludf.DUMMYFUNCTION("SUMPRODUCT((IMPORTRANGE(""17XjIPGwafStTRf_8bPPaoi2EFjHVy10_rRJ0uvy6YcU"",""M:M"")=B9)*1, IMPORTRANGE(""17XjIPGwafStTRf_8bPPaoi2EFjHVy10_rRJ0uvy6YcU"",""X:X""))"),141.0)</f>
        <v>141</v>
      </c>
      <c r="G9" s="26">
        <f>IFERROR(__xludf.DUMMYFUNCTION("COUNTIF(IMPORTRANGE(""17XjIPGwafStTRf_8bPPaoi2EFjHVy10_rRJ0uvy6YcU"",""M:M""), B9)"),22.0)</f>
        <v>22</v>
      </c>
      <c r="H9" s="27">
        <f t="shared" si="1"/>
        <v>6.409090909</v>
      </c>
      <c r="I9" s="28">
        <f t="shared" si="2"/>
        <v>0.1855364549</v>
      </c>
      <c r="J9" s="29">
        <f t="shared" si="3"/>
        <v>0.313816157</v>
      </c>
      <c r="K9" s="32"/>
      <c r="L9" s="31" t="str">
        <f t="shared" si="4"/>
        <v/>
      </c>
      <c r="M9" s="31" t="str">
        <f t="shared" si="5"/>
        <v/>
      </c>
      <c r="N9" s="4"/>
    </row>
    <row r="10">
      <c r="A10" s="1"/>
      <c r="B10" s="23">
        <f t="shared" si="6"/>
        <v>44686</v>
      </c>
      <c r="C10" s="24">
        <f>IFERROR(__xludf.DUMMYFUNCTION("SUMPRODUCT((IMPORTRANGE(""17XjIPGwafStTRf_8bPPaoi2EFjHVy10_rRJ0uvy6YcU"",""M:M"")=B10)*1, IMPORTRANGE(""17XjIPGwafStTRf_8bPPaoi2EFjHVy10_rRJ0uvy6YcU"",""X:X""), IMPORTRANGE(""17XjIPGwafStTRf_8bPPaoi2EFjHVy10_rRJ0uvy6YcU"",""AK:AK"")) - SUMPRODUCT((IMPORTR"&amp;"ANGE(""17XjIPGwafStTRf_8bPPaoi2EFjHVy10_rRJ0uvy6YcU"",""M:M"")=B10)*1, IMPORTRANGE(""17XjIPGwafStTRf_8bPPaoi2EFjHVy10_rRJ0uvy6YcU"",""X:X""), IMPORTRANGE(""17XjIPGwafStTRf_8bPPaoi2EFjHVy10_rRJ0uvy6YcU"",""AL:AL""))"),1443616.0)</f>
        <v>1443616</v>
      </c>
      <c r="D10" s="24">
        <f>IFERROR(__xludf.DUMMYFUNCTION("SUMPRODUCT((IMPORTRANGE(""17XjIPGwafStTRf_8bPPaoi2EFjHVy10_rRJ0uvy6YcU"",""M:M"")=B10)*1, IMPORTRANGE(""17XjIPGwafStTRf_8bPPaoi2EFjHVy10_rRJ0uvy6YcU"",""X:X""), IMPORTRANGE(""17XjIPGwafStTRf_8bPPaoi2EFjHVy10_rRJ0uvy6YcU"",""AA:AA"")) + SUMPRODUCT((IMPORTR"&amp;"ANGE(""17XjIPGwafStTRf_8bPPaoi2EFjHVy10_rRJ0uvy6YcU"",""M:M"")=B10)*1, IMPORTRANGE(""17XjIPGwafStTRf_8bPPaoi2EFjHVy10_rRJ0uvy6YcU"",""X:X""), IMPORTRANGE(""17XjIPGwafStTRf_8bPPaoi2EFjHVy10_rRJ0uvy6YcU"",""AE:AE"")) + SUMPRODUCT((IMPORTRANGE(""17XjIPGwafSt"&amp;"TRf_8bPPaoi2EFjHVy10_rRJ0uvy6YcU"",""M:M"")=B10)*1, IMPORTRANGE(""17XjIPGwafStTRf_8bPPaoi2EFjHVy10_rRJ0uvy6YcU"",""X:X""), IMPORTRANGE(""17XjIPGwafStTRf_8bPPaoi2EFjHVy10_rRJ0uvy6YcU"",""AF:AF""))"),828859.8037571703)</f>
        <v>828859.8038</v>
      </c>
      <c r="E10" s="24">
        <f>IFERROR(__xludf.DUMMYFUNCTION("SUMPRODUCT((IMPORTRANGE(""17XjIPGwafStTRf_8bPPaoi2EFjHVy10_rRJ0uvy6YcU"",""M:M"")=B10)*1, IMPORTRANGE(""17XjIPGwafStTRf_8bPPaoi2EFjHVy10_rRJ0uvy6YcU"",""X:X""), IMPORTRANGE(""17XjIPGwafStTRf_8bPPaoi2EFjHVy10_rRJ0uvy6YcU"",""AO:AO""))"),420727.1344240396)</f>
        <v>420727.1344</v>
      </c>
      <c r="F10" s="25">
        <f>IFERROR(__xludf.DUMMYFUNCTION("SUMPRODUCT((IMPORTRANGE(""17XjIPGwafStTRf_8bPPaoi2EFjHVy10_rRJ0uvy6YcU"",""M:M"")=B10)*1, IMPORTRANGE(""17XjIPGwafStTRf_8bPPaoi2EFjHVy10_rRJ0uvy6YcU"",""X:X""))"),228.0)</f>
        <v>228</v>
      </c>
      <c r="G10" s="26">
        <f>IFERROR(__xludf.DUMMYFUNCTION("COUNTIF(IMPORTRANGE(""17XjIPGwafStTRf_8bPPaoi2EFjHVy10_rRJ0uvy6YcU"",""M:M""), B10)"),21.0)</f>
        <v>21</v>
      </c>
      <c r="H10" s="27">
        <f t="shared" si="1"/>
        <v>10.85714286</v>
      </c>
      <c r="I10" s="28">
        <f t="shared" si="2"/>
        <v>0.2914397834</v>
      </c>
      <c r="J10" s="29">
        <f t="shared" si="3"/>
        <v>0.507597464</v>
      </c>
      <c r="K10" s="32"/>
      <c r="L10" s="31" t="str">
        <f t="shared" si="4"/>
        <v/>
      </c>
      <c r="M10" s="31" t="str">
        <f t="shared" si="5"/>
        <v/>
      </c>
      <c r="N10" s="4"/>
    </row>
    <row r="11">
      <c r="A11" s="1"/>
      <c r="B11" s="23">
        <f t="shared" si="6"/>
        <v>44687</v>
      </c>
      <c r="C11" s="24">
        <f>IFERROR(__xludf.DUMMYFUNCTION("SUMPRODUCT((IMPORTRANGE(""17XjIPGwafStTRf_8bPPaoi2EFjHVy10_rRJ0uvy6YcU"",""M:M"")=B11)*1, IMPORTRANGE(""17XjIPGwafStTRf_8bPPaoi2EFjHVy10_rRJ0uvy6YcU"",""X:X""), IMPORTRANGE(""17XjIPGwafStTRf_8bPPaoi2EFjHVy10_rRJ0uvy6YcU"",""AK:AK"")) - SUMPRODUCT((IMPORTR"&amp;"ANGE(""17XjIPGwafStTRf_8bPPaoi2EFjHVy10_rRJ0uvy6YcU"",""M:M"")=B11)*1, IMPORTRANGE(""17XjIPGwafStTRf_8bPPaoi2EFjHVy10_rRJ0uvy6YcU"",""X:X""), IMPORTRANGE(""17XjIPGwafStTRf_8bPPaoi2EFjHVy10_rRJ0uvy6YcU"",""AL:AL""))"),0.0)</f>
        <v>0</v>
      </c>
      <c r="D11" s="24">
        <f>IFERROR(__xludf.DUMMYFUNCTION("SUMPRODUCT((IMPORTRANGE(""17XjIPGwafStTRf_8bPPaoi2EFjHVy10_rRJ0uvy6YcU"",""M:M"")=B11)*1, IMPORTRANGE(""17XjIPGwafStTRf_8bPPaoi2EFjHVy10_rRJ0uvy6YcU"",""X:X""), IMPORTRANGE(""17XjIPGwafStTRf_8bPPaoi2EFjHVy10_rRJ0uvy6YcU"",""AA:AA"")) + SUMPRODUCT((IMPORTR"&amp;"ANGE(""17XjIPGwafStTRf_8bPPaoi2EFjHVy10_rRJ0uvy6YcU"",""M:M"")=B11)*1, IMPORTRANGE(""17XjIPGwafStTRf_8bPPaoi2EFjHVy10_rRJ0uvy6YcU"",""X:X""), IMPORTRANGE(""17XjIPGwafStTRf_8bPPaoi2EFjHVy10_rRJ0uvy6YcU"",""AE:AE"")) + SUMPRODUCT((IMPORTRANGE(""17XjIPGwafSt"&amp;"TRf_8bPPaoi2EFjHVy10_rRJ0uvy6YcU"",""M:M"")=B11)*1, IMPORTRANGE(""17XjIPGwafStTRf_8bPPaoi2EFjHVy10_rRJ0uvy6YcU"",""X:X""), IMPORTRANGE(""17XjIPGwafStTRf_8bPPaoi2EFjHVy10_rRJ0uvy6YcU"",""AF:AF""))"),0.0)</f>
        <v>0</v>
      </c>
      <c r="E11" s="24">
        <f>IFERROR(__xludf.DUMMYFUNCTION("SUMPRODUCT((IMPORTRANGE(""17XjIPGwafStTRf_8bPPaoi2EFjHVy10_rRJ0uvy6YcU"",""M:M"")=B11)*1, IMPORTRANGE(""17XjIPGwafStTRf_8bPPaoi2EFjHVy10_rRJ0uvy6YcU"",""X:X""), IMPORTRANGE(""17XjIPGwafStTRf_8bPPaoi2EFjHVy10_rRJ0uvy6YcU"",""AO:AO""))"),0.0)</f>
        <v>0</v>
      </c>
      <c r="F11" s="25">
        <f>IFERROR(__xludf.DUMMYFUNCTION("SUMPRODUCT((IMPORTRANGE(""17XjIPGwafStTRf_8bPPaoi2EFjHVy10_rRJ0uvy6YcU"",""M:M"")=B11)*1, IMPORTRANGE(""17XjIPGwafStTRf_8bPPaoi2EFjHVy10_rRJ0uvy6YcU"",""X:X""))"),0.0)</f>
        <v>0</v>
      </c>
      <c r="G11" s="26">
        <f>IFERROR(__xludf.DUMMYFUNCTION("COUNTIF(IMPORTRANGE(""17XjIPGwafStTRf_8bPPaoi2EFjHVy10_rRJ0uvy6YcU"",""M:M""), B11)"),0.0)</f>
        <v>0</v>
      </c>
      <c r="H11" s="27" t="str">
        <f t="shared" si="1"/>
        <v/>
      </c>
      <c r="I11" s="28" t="str">
        <f t="shared" si="2"/>
        <v/>
      </c>
      <c r="J11" s="29" t="str">
        <f t="shared" si="3"/>
        <v/>
      </c>
      <c r="K11" s="30"/>
      <c r="L11" s="31" t="str">
        <f t="shared" si="4"/>
        <v/>
      </c>
      <c r="M11" s="31" t="str">
        <f t="shared" si="5"/>
        <v/>
      </c>
      <c r="N11" s="4"/>
    </row>
    <row r="12">
      <c r="A12" s="1"/>
      <c r="B12" s="23">
        <f t="shared" si="6"/>
        <v>44688</v>
      </c>
      <c r="C12" s="24">
        <f>IFERROR(__xludf.DUMMYFUNCTION("SUMPRODUCT((IMPORTRANGE(""17XjIPGwafStTRf_8bPPaoi2EFjHVy10_rRJ0uvy6YcU"",""M:M"")=B12)*1, IMPORTRANGE(""17XjIPGwafStTRf_8bPPaoi2EFjHVy10_rRJ0uvy6YcU"",""X:X""), IMPORTRANGE(""17XjIPGwafStTRf_8bPPaoi2EFjHVy10_rRJ0uvy6YcU"",""AK:AK"")) - SUMPRODUCT((IMPORTR"&amp;"ANGE(""17XjIPGwafStTRf_8bPPaoi2EFjHVy10_rRJ0uvy6YcU"",""M:M"")=B12)*1, IMPORTRANGE(""17XjIPGwafStTRf_8bPPaoi2EFjHVy10_rRJ0uvy6YcU"",""X:X""), IMPORTRANGE(""17XjIPGwafStTRf_8bPPaoi2EFjHVy10_rRJ0uvy6YcU"",""AL:AL""))"),52560.0)</f>
        <v>52560</v>
      </c>
      <c r="D12" s="24">
        <f>IFERROR(__xludf.DUMMYFUNCTION("SUMPRODUCT((IMPORTRANGE(""17XjIPGwafStTRf_8bPPaoi2EFjHVy10_rRJ0uvy6YcU"",""M:M"")=B12)*1, IMPORTRANGE(""17XjIPGwafStTRf_8bPPaoi2EFjHVy10_rRJ0uvy6YcU"",""X:X""), IMPORTRANGE(""17XjIPGwafStTRf_8bPPaoi2EFjHVy10_rRJ0uvy6YcU"",""AA:AA"")) + SUMPRODUCT((IMPORTR"&amp;"ANGE(""17XjIPGwafStTRf_8bPPaoi2EFjHVy10_rRJ0uvy6YcU"",""M:M"")=B12)*1, IMPORTRANGE(""17XjIPGwafStTRf_8bPPaoi2EFjHVy10_rRJ0uvy6YcU"",""X:X""), IMPORTRANGE(""17XjIPGwafStTRf_8bPPaoi2EFjHVy10_rRJ0uvy6YcU"",""AE:AE"")) + SUMPRODUCT((IMPORTRANGE(""17XjIPGwafSt"&amp;"TRf_8bPPaoi2EFjHVy10_rRJ0uvy6YcU"",""M:M"")=B12)*1, IMPORTRANGE(""17XjIPGwafStTRf_8bPPaoi2EFjHVy10_rRJ0uvy6YcU"",""X:X""), IMPORTRANGE(""17XjIPGwafStTRf_8bPPaoi2EFjHVy10_rRJ0uvy6YcU"",""AF:AF""))"),34615.264483747684)</f>
        <v>34615.26448</v>
      </c>
      <c r="E12" s="24">
        <f>IFERROR(__xludf.DUMMYFUNCTION("SUMPRODUCT((IMPORTRANGE(""17XjIPGwafStTRf_8bPPaoi2EFjHVy10_rRJ0uvy6YcU"",""M:M"")=B12)*1, IMPORTRANGE(""17XjIPGwafStTRf_8bPPaoi2EFjHVy10_rRJ0uvy6YcU"",""X:X""), IMPORTRANGE(""17XjIPGwafStTRf_8bPPaoi2EFjHVy10_rRJ0uvy6YcU"",""AO:AO""))"),13051.525516252317)</f>
        <v>13051.52552</v>
      </c>
      <c r="F12" s="25">
        <f>IFERROR(__xludf.DUMMYFUNCTION("SUMPRODUCT((IMPORTRANGE(""17XjIPGwafStTRf_8bPPaoi2EFjHVy10_rRJ0uvy6YcU"",""M:M"")=B12)*1, IMPORTRANGE(""17XjIPGwafStTRf_8bPPaoi2EFjHVy10_rRJ0uvy6YcU"",""X:X""))"),6.0)</f>
        <v>6</v>
      </c>
      <c r="G12" s="26">
        <f>IFERROR(__xludf.DUMMYFUNCTION("COUNTIF(IMPORTRANGE(""17XjIPGwafStTRf_8bPPaoi2EFjHVy10_rRJ0uvy6YcU"",""M:M""), B12)"),4.0)</f>
        <v>4</v>
      </c>
      <c r="H12" s="27">
        <f t="shared" si="1"/>
        <v>1.5</v>
      </c>
      <c r="I12" s="28">
        <f t="shared" si="2"/>
        <v>0.2483166955</v>
      </c>
      <c r="J12" s="29">
        <f t="shared" si="3"/>
        <v>0.377045379</v>
      </c>
      <c r="K12" s="32"/>
      <c r="L12" s="31" t="str">
        <f t="shared" si="4"/>
        <v/>
      </c>
      <c r="M12" s="31" t="str">
        <f t="shared" si="5"/>
        <v/>
      </c>
      <c r="N12" s="4"/>
    </row>
    <row r="13">
      <c r="A13" s="1"/>
      <c r="B13" s="23">
        <f t="shared" si="6"/>
        <v>44689</v>
      </c>
      <c r="C13" s="24">
        <f>IFERROR(__xludf.DUMMYFUNCTION("SUMPRODUCT((IMPORTRANGE(""17XjIPGwafStTRf_8bPPaoi2EFjHVy10_rRJ0uvy6YcU"",""M:M"")=B13)*1, IMPORTRANGE(""17XjIPGwafStTRf_8bPPaoi2EFjHVy10_rRJ0uvy6YcU"",""X:X""), IMPORTRANGE(""17XjIPGwafStTRf_8bPPaoi2EFjHVy10_rRJ0uvy6YcU"",""AK:AK"")) - SUMPRODUCT((IMPORTR"&amp;"ANGE(""17XjIPGwafStTRf_8bPPaoi2EFjHVy10_rRJ0uvy6YcU"",""M:M"")=B13)*1, IMPORTRANGE(""17XjIPGwafStTRf_8bPPaoi2EFjHVy10_rRJ0uvy6YcU"",""X:X""), IMPORTRANGE(""17XjIPGwafStTRf_8bPPaoi2EFjHVy10_rRJ0uvy6YcU"",""AL:AL""))"),324441.0)</f>
        <v>324441</v>
      </c>
      <c r="D13" s="24">
        <f>IFERROR(__xludf.DUMMYFUNCTION("SUMPRODUCT((IMPORTRANGE(""17XjIPGwafStTRf_8bPPaoi2EFjHVy10_rRJ0uvy6YcU"",""M:M"")=B13)*1, IMPORTRANGE(""17XjIPGwafStTRf_8bPPaoi2EFjHVy10_rRJ0uvy6YcU"",""X:X""), IMPORTRANGE(""17XjIPGwafStTRf_8bPPaoi2EFjHVy10_rRJ0uvy6YcU"",""AA:AA"")) + SUMPRODUCT((IMPORTR"&amp;"ANGE(""17XjIPGwafStTRf_8bPPaoi2EFjHVy10_rRJ0uvy6YcU"",""M:M"")=B13)*1, IMPORTRANGE(""17XjIPGwafStTRf_8bPPaoi2EFjHVy10_rRJ0uvy6YcU"",""X:X""), IMPORTRANGE(""17XjIPGwafStTRf_8bPPaoi2EFjHVy10_rRJ0uvy6YcU"",""AE:AE"")) + SUMPRODUCT((IMPORTRANGE(""17XjIPGwafSt"&amp;"TRf_8bPPaoi2EFjHVy10_rRJ0uvy6YcU"",""M:M"")=B13)*1, IMPORTRANGE(""17XjIPGwafStTRf_8bPPaoi2EFjHVy10_rRJ0uvy6YcU"",""X:X""), IMPORTRANGE(""17XjIPGwafStTRf_8bPPaoi2EFjHVy10_rRJ0uvy6YcU"",""AF:AF""))"),207314.50259330965)</f>
        <v>207314.5026</v>
      </c>
      <c r="E13" s="24">
        <f>IFERROR(__xludf.DUMMYFUNCTION("SUMPRODUCT((IMPORTRANGE(""17XjIPGwafStTRf_8bPPaoi2EFjHVy10_rRJ0uvy6YcU"",""M:M"")=B13)*1, IMPORTRANGE(""17XjIPGwafStTRf_8bPPaoi2EFjHVy10_rRJ0uvy6YcU"",""X:X""), IMPORTRANGE(""17XjIPGwafStTRf_8bPPaoi2EFjHVy10_rRJ0uvy6YcU"",""AO:AO""))"),63183.09740669032)</f>
        <v>63183.09741</v>
      </c>
      <c r="F13" s="25">
        <f>IFERROR(__xludf.DUMMYFUNCTION("SUMPRODUCT((IMPORTRANGE(""17XjIPGwafStTRf_8bPPaoi2EFjHVy10_rRJ0uvy6YcU"",""M:M"")=B13)*1, IMPORTRANGE(""17XjIPGwafStTRf_8bPPaoi2EFjHVy10_rRJ0uvy6YcU"",""X:X""))"),63.0)</f>
        <v>63</v>
      </c>
      <c r="G13" s="26">
        <f>IFERROR(__xludf.DUMMYFUNCTION("COUNTIF(IMPORTRANGE(""17XjIPGwafStTRf_8bPPaoi2EFjHVy10_rRJ0uvy6YcU"",""M:M""), B13)"),51.0)</f>
        <v>51</v>
      </c>
      <c r="H13" s="27">
        <f t="shared" si="1"/>
        <v>1.235294118</v>
      </c>
      <c r="I13" s="28">
        <f t="shared" si="2"/>
        <v>0.194744491</v>
      </c>
      <c r="J13" s="29">
        <f t="shared" si="3"/>
        <v>0.3047693076</v>
      </c>
      <c r="K13" s="32"/>
      <c r="L13" s="31" t="str">
        <f t="shared" si="4"/>
        <v/>
      </c>
      <c r="M13" s="31" t="str">
        <f t="shared" si="5"/>
        <v/>
      </c>
      <c r="N13" s="4"/>
    </row>
    <row r="14">
      <c r="A14" s="1"/>
      <c r="B14" s="23">
        <f t="shared" si="6"/>
        <v>44690</v>
      </c>
      <c r="C14" s="24">
        <f>IFERROR(__xludf.DUMMYFUNCTION("SUMPRODUCT((IMPORTRANGE(""17XjIPGwafStTRf_8bPPaoi2EFjHVy10_rRJ0uvy6YcU"",""M:M"")=B14)*1, IMPORTRANGE(""17XjIPGwafStTRf_8bPPaoi2EFjHVy10_rRJ0uvy6YcU"",""X:X""), IMPORTRANGE(""17XjIPGwafStTRf_8bPPaoi2EFjHVy10_rRJ0uvy6YcU"",""AK:AK"")) - SUMPRODUCT((IMPORTR"&amp;"ANGE(""17XjIPGwafStTRf_8bPPaoi2EFjHVy10_rRJ0uvy6YcU"",""M:M"")=B14)*1, IMPORTRANGE(""17XjIPGwafStTRf_8bPPaoi2EFjHVy10_rRJ0uvy6YcU"",""X:X""), IMPORTRANGE(""17XjIPGwafStTRf_8bPPaoi2EFjHVy10_rRJ0uvy6YcU"",""AL:AL""))"),253558.0)</f>
        <v>253558</v>
      </c>
      <c r="D14" s="24">
        <f>IFERROR(__xludf.DUMMYFUNCTION("SUMPRODUCT((IMPORTRANGE(""17XjIPGwafStTRf_8bPPaoi2EFjHVy10_rRJ0uvy6YcU"",""M:M"")=B14)*1, IMPORTRANGE(""17XjIPGwafStTRf_8bPPaoi2EFjHVy10_rRJ0uvy6YcU"",""X:X""), IMPORTRANGE(""17XjIPGwafStTRf_8bPPaoi2EFjHVy10_rRJ0uvy6YcU"",""AA:AA"")) + SUMPRODUCT((IMPORTR"&amp;"ANGE(""17XjIPGwafStTRf_8bPPaoi2EFjHVy10_rRJ0uvy6YcU"",""M:M"")=B14)*1, IMPORTRANGE(""17XjIPGwafStTRf_8bPPaoi2EFjHVy10_rRJ0uvy6YcU"",""X:X""), IMPORTRANGE(""17XjIPGwafStTRf_8bPPaoi2EFjHVy10_rRJ0uvy6YcU"",""AE:AE"")) + SUMPRODUCT((IMPORTRANGE(""17XjIPGwafSt"&amp;"TRf_8bPPaoi2EFjHVy10_rRJ0uvy6YcU"",""M:M"")=B14)*1, IMPORTRANGE(""17XjIPGwafStTRf_8bPPaoi2EFjHVy10_rRJ0uvy6YcU"",""X:X""), IMPORTRANGE(""17XjIPGwafStTRf_8bPPaoi2EFjHVy10_rRJ0uvy6YcU"",""AF:AF""))"),157131.45948456763)</f>
        <v>157131.4595</v>
      </c>
      <c r="E14" s="24">
        <f>IFERROR(__xludf.DUMMYFUNCTION("SUMPRODUCT((IMPORTRANGE(""17XjIPGwafStTRf_8bPPaoi2EFjHVy10_rRJ0uvy6YcU"",""M:M"")=B14)*1, IMPORTRANGE(""17XjIPGwafStTRf_8bPPaoi2EFjHVy10_rRJ0uvy6YcU"",""X:X""), IMPORTRANGE(""17XjIPGwafStTRf_8bPPaoi2EFjHVy10_rRJ0uvy6YcU"",""AO:AO""))"),47119.940515432325)</f>
        <v>47119.94052</v>
      </c>
      <c r="F14" s="25">
        <f>IFERROR(__xludf.DUMMYFUNCTION("SUMPRODUCT((IMPORTRANGE(""17XjIPGwafStTRf_8bPPaoi2EFjHVy10_rRJ0uvy6YcU"",""M:M"")=B14)*1, IMPORTRANGE(""17XjIPGwafStTRf_8bPPaoi2EFjHVy10_rRJ0uvy6YcU"",""X:X""))"),51.0)</f>
        <v>51</v>
      </c>
      <c r="G14" s="26">
        <f>IFERROR(__xludf.DUMMYFUNCTION("COUNTIF(IMPORTRANGE(""17XjIPGwafStTRf_8bPPaoi2EFjHVy10_rRJ0uvy6YcU"",""M:M""), B14)"),42.0)</f>
        <v>42</v>
      </c>
      <c r="H14" s="27">
        <f t="shared" si="1"/>
        <v>1.214285714</v>
      </c>
      <c r="I14" s="28">
        <f t="shared" si="2"/>
        <v>0.1858349589</v>
      </c>
      <c r="J14" s="29">
        <f t="shared" si="3"/>
        <v>0.2998759171</v>
      </c>
      <c r="K14" s="32"/>
      <c r="L14" s="31" t="str">
        <f t="shared" si="4"/>
        <v/>
      </c>
      <c r="M14" s="31" t="str">
        <f t="shared" si="5"/>
        <v/>
      </c>
      <c r="N14" s="4"/>
    </row>
    <row r="15">
      <c r="A15" s="1"/>
      <c r="B15" s="23">
        <f t="shared" si="6"/>
        <v>44691</v>
      </c>
      <c r="C15" s="24">
        <f>IFERROR(__xludf.DUMMYFUNCTION("SUMPRODUCT((IMPORTRANGE(""17XjIPGwafStTRf_8bPPaoi2EFjHVy10_rRJ0uvy6YcU"",""M:M"")=B15)*1, IMPORTRANGE(""17XjIPGwafStTRf_8bPPaoi2EFjHVy10_rRJ0uvy6YcU"",""X:X""), IMPORTRANGE(""17XjIPGwafStTRf_8bPPaoi2EFjHVy10_rRJ0uvy6YcU"",""AK:AK"")) - SUMPRODUCT((IMPORTR"&amp;"ANGE(""17XjIPGwafStTRf_8bPPaoi2EFjHVy10_rRJ0uvy6YcU"",""M:M"")=B15)*1, IMPORTRANGE(""17XjIPGwafStTRf_8bPPaoi2EFjHVy10_rRJ0uvy6YcU"",""X:X""), IMPORTRANGE(""17XjIPGwafStTRf_8bPPaoi2EFjHVy10_rRJ0uvy6YcU"",""AL:AL""))"),645925.0)</f>
        <v>645925</v>
      </c>
      <c r="D15" s="24">
        <f>IFERROR(__xludf.DUMMYFUNCTION("SUMPRODUCT((IMPORTRANGE(""17XjIPGwafStTRf_8bPPaoi2EFjHVy10_rRJ0uvy6YcU"",""M:M"")=B15)*1, IMPORTRANGE(""17XjIPGwafStTRf_8bPPaoi2EFjHVy10_rRJ0uvy6YcU"",""X:X""), IMPORTRANGE(""17XjIPGwafStTRf_8bPPaoi2EFjHVy10_rRJ0uvy6YcU"",""AA:AA"")) + SUMPRODUCT((IMPORTR"&amp;"ANGE(""17XjIPGwafStTRf_8bPPaoi2EFjHVy10_rRJ0uvy6YcU"",""M:M"")=B15)*1, IMPORTRANGE(""17XjIPGwafStTRf_8bPPaoi2EFjHVy10_rRJ0uvy6YcU"",""X:X""), IMPORTRANGE(""17XjIPGwafStTRf_8bPPaoi2EFjHVy10_rRJ0uvy6YcU"",""AE:AE"")) + SUMPRODUCT((IMPORTRANGE(""17XjIPGwafSt"&amp;"TRf_8bPPaoi2EFjHVy10_rRJ0uvy6YcU"",""M:M"")=B15)*1, IMPORTRANGE(""17XjIPGwafStTRf_8bPPaoi2EFjHVy10_rRJ0uvy6YcU"",""X:X""), IMPORTRANGE(""17XjIPGwafStTRf_8bPPaoi2EFjHVy10_rRJ0uvy6YcU"",""AF:AF""))"),353423.4017431443)</f>
        <v>353423.4017</v>
      </c>
      <c r="E15" s="24">
        <f>IFERROR(__xludf.DUMMYFUNCTION("SUMPRODUCT((IMPORTRANGE(""17XjIPGwafStTRf_8bPPaoi2EFjHVy10_rRJ0uvy6YcU"",""M:M"")=B15)*1, IMPORTRANGE(""17XjIPGwafStTRf_8bPPaoi2EFjHVy10_rRJ0uvy6YcU"",""X:X""), IMPORTRANGE(""17XjIPGwafStTRf_8bPPaoi2EFjHVy10_rRJ0uvy6YcU"",""AO:AO""))"),147101.22966426302)</f>
        <v>147101.2297</v>
      </c>
      <c r="F15" s="25">
        <f>IFERROR(__xludf.DUMMYFUNCTION("SUMPRODUCT((IMPORTRANGE(""17XjIPGwafStTRf_8bPPaoi2EFjHVy10_rRJ0uvy6YcU"",""M:M"")=B15)*1, IMPORTRANGE(""17XjIPGwafStTRf_8bPPaoi2EFjHVy10_rRJ0uvy6YcU"",""X:X""))"),167.0)</f>
        <v>167</v>
      </c>
      <c r="G15" s="26">
        <f>IFERROR(__xludf.DUMMYFUNCTION("COUNTIF(IMPORTRANGE(""17XjIPGwafStTRf_8bPPaoi2EFjHVy10_rRJ0uvy6YcU"",""M:M""), B15)"),33.0)</f>
        <v>33</v>
      </c>
      <c r="H15" s="27">
        <f t="shared" si="1"/>
        <v>5.060606061</v>
      </c>
      <c r="I15" s="28">
        <f t="shared" si="2"/>
        <v>0.2277373219</v>
      </c>
      <c r="J15" s="29">
        <f t="shared" si="3"/>
        <v>0.4162181365</v>
      </c>
      <c r="K15" s="30"/>
      <c r="L15" s="31" t="str">
        <f t="shared" si="4"/>
        <v/>
      </c>
      <c r="M15" s="31" t="str">
        <f t="shared" si="5"/>
        <v/>
      </c>
      <c r="N15" s="4"/>
    </row>
    <row r="16">
      <c r="A16" s="1"/>
      <c r="B16" s="23">
        <f t="shared" si="6"/>
        <v>44692</v>
      </c>
      <c r="C16" s="24">
        <f>IFERROR(__xludf.DUMMYFUNCTION("SUMPRODUCT((IMPORTRANGE(""17XjIPGwafStTRf_8bPPaoi2EFjHVy10_rRJ0uvy6YcU"",""M:M"")=B16)*1, IMPORTRANGE(""17XjIPGwafStTRf_8bPPaoi2EFjHVy10_rRJ0uvy6YcU"",""X:X""), IMPORTRANGE(""17XjIPGwafStTRf_8bPPaoi2EFjHVy10_rRJ0uvy6YcU"",""AK:AK"")) - SUMPRODUCT((IMPORTR"&amp;"ANGE(""17XjIPGwafStTRf_8bPPaoi2EFjHVy10_rRJ0uvy6YcU"",""M:M"")=B16)*1, IMPORTRANGE(""17XjIPGwafStTRf_8bPPaoi2EFjHVy10_rRJ0uvy6YcU"",""X:X""), IMPORTRANGE(""17XjIPGwafStTRf_8bPPaoi2EFjHVy10_rRJ0uvy6YcU"",""AL:AL""))"),240900.0)</f>
        <v>240900</v>
      </c>
      <c r="D16" s="24">
        <f>IFERROR(__xludf.DUMMYFUNCTION("SUMPRODUCT((IMPORTRANGE(""17XjIPGwafStTRf_8bPPaoi2EFjHVy10_rRJ0uvy6YcU"",""M:M"")=B16)*1, IMPORTRANGE(""17XjIPGwafStTRf_8bPPaoi2EFjHVy10_rRJ0uvy6YcU"",""X:X""), IMPORTRANGE(""17XjIPGwafStTRf_8bPPaoi2EFjHVy10_rRJ0uvy6YcU"",""AA:AA"")) + SUMPRODUCT((IMPORTR"&amp;"ANGE(""17XjIPGwafStTRf_8bPPaoi2EFjHVy10_rRJ0uvy6YcU"",""M:M"")=B16)*1, IMPORTRANGE(""17XjIPGwafStTRf_8bPPaoi2EFjHVy10_rRJ0uvy6YcU"",""X:X""), IMPORTRANGE(""17XjIPGwafStTRf_8bPPaoi2EFjHVy10_rRJ0uvy6YcU"",""AE:AE"")) + SUMPRODUCT((IMPORTRANGE(""17XjIPGwafSt"&amp;"TRf_8bPPaoi2EFjHVy10_rRJ0uvy6YcU"",""M:M"")=B16)*1, IMPORTRANGE(""17XjIPGwafStTRf_8bPPaoi2EFjHVy10_rRJ0uvy6YcU"",""X:X""), IMPORTRANGE(""17XjIPGwafStTRf_8bPPaoi2EFjHVy10_rRJ0uvy6YcU"",""AF:AF""))"),144004.65435991157)</f>
        <v>144004.6544</v>
      </c>
      <c r="E16" s="24">
        <f>IFERROR(__xludf.DUMMYFUNCTION("SUMPRODUCT((IMPORTRANGE(""17XjIPGwafStTRf_8bPPaoi2EFjHVy10_rRJ0uvy6YcU"",""M:M"")=B16)*1, IMPORTRANGE(""17XjIPGwafStTRf_8bPPaoi2EFjHVy10_rRJ0uvy6YcU"",""X:X""), IMPORTRANGE(""17XjIPGwafStTRf_8bPPaoi2EFjHVy10_rRJ0uvy6YcU"",""AO:AO""))"),56656.54564008843)</f>
        <v>56656.54564</v>
      </c>
      <c r="F16" s="25">
        <f>IFERROR(__xludf.DUMMYFUNCTION("SUMPRODUCT((IMPORTRANGE(""17XjIPGwafStTRf_8bPPaoi2EFjHVy10_rRJ0uvy6YcU"",""M:M"")=B16)*1, IMPORTRANGE(""17XjIPGwafStTRf_8bPPaoi2EFjHVy10_rRJ0uvy6YcU"",""X:X""))"),49.0)</f>
        <v>49</v>
      </c>
      <c r="G16" s="26">
        <f>IFERROR(__xludf.DUMMYFUNCTION("COUNTIF(IMPORTRANGE(""17XjIPGwafStTRf_8bPPaoi2EFjHVy10_rRJ0uvy6YcU"",""M:M""), B16)"),17.0)</f>
        <v>17</v>
      </c>
      <c r="H16" s="27">
        <f t="shared" si="1"/>
        <v>2.882352941</v>
      </c>
      <c r="I16" s="28">
        <f t="shared" si="2"/>
        <v>0.235186989</v>
      </c>
      <c r="J16" s="29">
        <f t="shared" si="3"/>
        <v>0.393435517</v>
      </c>
      <c r="K16" s="32"/>
      <c r="L16" s="31" t="str">
        <f t="shared" si="4"/>
        <v/>
      </c>
      <c r="M16" s="31" t="str">
        <f t="shared" si="5"/>
        <v/>
      </c>
      <c r="N16" s="4"/>
    </row>
    <row r="17">
      <c r="A17" s="1"/>
      <c r="B17" s="23">
        <f t="shared" si="6"/>
        <v>44693</v>
      </c>
      <c r="C17" s="24">
        <f>IFERROR(__xludf.DUMMYFUNCTION("SUMPRODUCT((IMPORTRANGE(""17XjIPGwafStTRf_8bPPaoi2EFjHVy10_rRJ0uvy6YcU"",""M:M"")=B17)*1, IMPORTRANGE(""17XjIPGwafStTRf_8bPPaoi2EFjHVy10_rRJ0uvy6YcU"",""X:X""), IMPORTRANGE(""17XjIPGwafStTRf_8bPPaoi2EFjHVy10_rRJ0uvy6YcU"",""AK:AK"")) - SUMPRODUCT((IMPORTR"&amp;"ANGE(""17XjIPGwafStTRf_8bPPaoi2EFjHVy10_rRJ0uvy6YcU"",""M:M"")=B17)*1, IMPORTRANGE(""17XjIPGwafStTRf_8bPPaoi2EFjHVy10_rRJ0uvy6YcU"",""X:X""), IMPORTRANGE(""17XjIPGwafStTRf_8bPPaoi2EFjHVy10_rRJ0uvy6YcU"",""AL:AL""))"),185534.0)</f>
        <v>185534</v>
      </c>
      <c r="D17" s="24">
        <f>IFERROR(__xludf.DUMMYFUNCTION("SUMPRODUCT((IMPORTRANGE(""17XjIPGwafStTRf_8bPPaoi2EFjHVy10_rRJ0uvy6YcU"",""M:M"")=B17)*1, IMPORTRANGE(""17XjIPGwafStTRf_8bPPaoi2EFjHVy10_rRJ0uvy6YcU"",""X:X""), IMPORTRANGE(""17XjIPGwafStTRf_8bPPaoi2EFjHVy10_rRJ0uvy6YcU"",""AA:AA"")) + SUMPRODUCT((IMPORTR"&amp;"ANGE(""17XjIPGwafStTRf_8bPPaoi2EFjHVy10_rRJ0uvy6YcU"",""M:M"")=B17)*1, IMPORTRANGE(""17XjIPGwafStTRf_8bPPaoi2EFjHVy10_rRJ0uvy6YcU"",""X:X""), IMPORTRANGE(""17XjIPGwafStTRf_8bPPaoi2EFjHVy10_rRJ0uvy6YcU"",""AE:AE"")) + SUMPRODUCT((IMPORTRANGE(""17XjIPGwafSt"&amp;"TRf_8bPPaoi2EFjHVy10_rRJ0uvy6YcU"",""M:M"")=B17)*1, IMPORTRANGE(""17XjIPGwafStTRf_8bPPaoi2EFjHVy10_rRJ0uvy6YcU"",""X:X""), IMPORTRANGE(""17XjIPGwafStTRf_8bPPaoi2EFjHVy10_rRJ0uvy6YcU"",""AF:AF""))"),135352.2194211549)</f>
        <v>135352.2194</v>
      </c>
      <c r="E17" s="24">
        <f>IFERROR(__xludf.DUMMYFUNCTION("SUMPRODUCT((IMPORTRANGE(""17XjIPGwafStTRf_8bPPaoi2EFjHVy10_rRJ0uvy6YcU"",""M:M"")=B17)*1, IMPORTRANGE(""17XjIPGwafStTRf_8bPPaoi2EFjHVy10_rRJ0uvy6YcU"",""X:X""), IMPORTRANGE(""17XjIPGwafStTRf_8bPPaoi2EFjHVy10_rRJ0uvy6YcU"",""AO:AO""))"),39980.90087789587)</f>
        <v>39980.90088</v>
      </c>
      <c r="F17" s="25">
        <f>IFERROR(__xludf.DUMMYFUNCTION("SUMPRODUCT((IMPORTRANGE(""17XjIPGwafStTRf_8bPPaoi2EFjHVy10_rRJ0uvy6YcU"",""M:M"")=B17)*1, IMPORTRANGE(""17XjIPGwafStTRf_8bPPaoi2EFjHVy10_rRJ0uvy6YcU"",""X:X""))"),32.0)</f>
        <v>32</v>
      </c>
      <c r="G17" s="26">
        <f>IFERROR(__xludf.DUMMYFUNCTION("COUNTIF(IMPORTRANGE(""17XjIPGwafStTRf_8bPPaoi2EFjHVy10_rRJ0uvy6YcU"",""M:M""), B17)"),18.0)</f>
        <v>18</v>
      </c>
      <c r="H17" s="27">
        <f t="shared" si="1"/>
        <v>1.777777778</v>
      </c>
      <c r="I17" s="28">
        <f t="shared" si="2"/>
        <v>0.215490966</v>
      </c>
      <c r="J17" s="29">
        <f t="shared" si="3"/>
        <v>0.2953841544</v>
      </c>
      <c r="K17" s="32"/>
      <c r="L17" s="31" t="str">
        <f t="shared" si="4"/>
        <v/>
      </c>
      <c r="M17" s="31" t="str">
        <f t="shared" si="5"/>
        <v/>
      </c>
      <c r="N17" s="4"/>
    </row>
    <row r="18">
      <c r="A18" s="1"/>
      <c r="B18" s="23">
        <f t="shared" si="6"/>
        <v>44694</v>
      </c>
      <c r="C18" s="24">
        <f>IFERROR(__xludf.DUMMYFUNCTION("SUMPRODUCT((IMPORTRANGE(""17XjIPGwafStTRf_8bPPaoi2EFjHVy10_rRJ0uvy6YcU"",""M:M"")=B18)*1, IMPORTRANGE(""17XjIPGwafStTRf_8bPPaoi2EFjHVy10_rRJ0uvy6YcU"",""X:X""), IMPORTRANGE(""17XjIPGwafStTRf_8bPPaoi2EFjHVy10_rRJ0uvy6YcU"",""AK:AK"")) - SUMPRODUCT((IMPORTR"&amp;"ANGE(""17XjIPGwafStTRf_8bPPaoi2EFjHVy10_rRJ0uvy6YcU"",""M:M"")=B18)*1, IMPORTRANGE(""17XjIPGwafStTRf_8bPPaoi2EFjHVy10_rRJ0uvy6YcU"",""X:X""), IMPORTRANGE(""17XjIPGwafStTRf_8bPPaoi2EFjHVy10_rRJ0uvy6YcU"",""AL:AL""))"),357462.0)</f>
        <v>357462</v>
      </c>
      <c r="D18" s="24">
        <f>IFERROR(__xludf.DUMMYFUNCTION("SUMPRODUCT((IMPORTRANGE(""17XjIPGwafStTRf_8bPPaoi2EFjHVy10_rRJ0uvy6YcU"",""M:M"")=B18)*1, IMPORTRANGE(""17XjIPGwafStTRf_8bPPaoi2EFjHVy10_rRJ0uvy6YcU"",""X:X""), IMPORTRANGE(""17XjIPGwafStTRf_8bPPaoi2EFjHVy10_rRJ0uvy6YcU"",""AA:AA"")) + SUMPRODUCT((IMPORTR"&amp;"ANGE(""17XjIPGwafStTRf_8bPPaoi2EFjHVy10_rRJ0uvy6YcU"",""M:M"")=B18)*1, IMPORTRANGE(""17XjIPGwafStTRf_8bPPaoi2EFjHVy10_rRJ0uvy6YcU"",""X:X""), IMPORTRANGE(""17XjIPGwafStTRf_8bPPaoi2EFjHVy10_rRJ0uvy6YcU"",""AE:AE"")) + SUMPRODUCT((IMPORTRANGE(""17XjIPGwafSt"&amp;"TRf_8bPPaoi2EFjHVy10_rRJ0uvy6YcU"",""M:M"")=B18)*1, IMPORTRANGE(""17XjIPGwafStTRf_8bPPaoi2EFjHVy10_rRJ0uvy6YcU"",""X:X""), IMPORTRANGE(""17XjIPGwafStTRf_8bPPaoi2EFjHVy10_rRJ0uvy6YcU"",""AF:AF""))"),237858.97786799728)</f>
        <v>237858.9779</v>
      </c>
      <c r="E18" s="24">
        <f>IFERROR(__xludf.DUMMYFUNCTION("SUMPRODUCT((IMPORTRANGE(""17XjIPGwafStTRf_8bPPaoi2EFjHVy10_rRJ0uvy6YcU"",""M:M"")=B18)*1, IMPORTRANGE(""17XjIPGwafStTRf_8bPPaoi2EFjHVy10_rRJ0uvy6YcU"",""X:X""), IMPORTRANGE(""17XjIPGwafStTRf_8bPPaoi2EFjHVy10_rRJ0uvy6YcU"",""AO:AO""))"),56570.922132002685)</f>
        <v>56570.92213</v>
      </c>
      <c r="F18" s="25">
        <f>IFERROR(__xludf.DUMMYFUNCTION("SUMPRODUCT((IMPORTRANGE(""17XjIPGwafStTRf_8bPPaoi2EFjHVy10_rRJ0uvy6YcU"",""M:M"")=B18)*1, IMPORTRANGE(""17XjIPGwafStTRf_8bPPaoi2EFjHVy10_rRJ0uvy6YcU"",""X:X""))"),64.0)</f>
        <v>64</v>
      </c>
      <c r="G18" s="26">
        <f>IFERROR(__xludf.DUMMYFUNCTION("COUNTIF(IMPORTRANGE(""17XjIPGwafStTRf_8bPPaoi2EFjHVy10_rRJ0uvy6YcU"",""M:M""), B18)"),39.0)</f>
        <v>39</v>
      </c>
      <c r="H18" s="27">
        <f t="shared" si="1"/>
        <v>1.641025641</v>
      </c>
      <c r="I18" s="28">
        <f t="shared" si="2"/>
        <v>0.1582571634</v>
      </c>
      <c r="J18" s="29">
        <f t="shared" si="3"/>
        <v>0.2378338738</v>
      </c>
      <c r="K18" s="32"/>
      <c r="L18" s="31" t="str">
        <f t="shared" si="4"/>
        <v/>
      </c>
      <c r="M18" s="31" t="str">
        <f t="shared" si="5"/>
        <v/>
      </c>
      <c r="N18" s="4"/>
    </row>
    <row r="19">
      <c r="A19" s="1"/>
      <c r="B19" s="23">
        <f t="shared" si="6"/>
        <v>44695</v>
      </c>
      <c r="C19" s="24">
        <f>IFERROR(__xludf.DUMMYFUNCTION("SUMPRODUCT((IMPORTRANGE(""17XjIPGwafStTRf_8bPPaoi2EFjHVy10_rRJ0uvy6YcU"",""M:M"")=B19)*1, IMPORTRANGE(""17XjIPGwafStTRf_8bPPaoi2EFjHVy10_rRJ0uvy6YcU"",""X:X""), IMPORTRANGE(""17XjIPGwafStTRf_8bPPaoi2EFjHVy10_rRJ0uvy6YcU"",""AK:AK"")) - SUMPRODUCT((IMPORTR"&amp;"ANGE(""17XjIPGwafStTRf_8bPPaoi2EFjHVy10_rRJ0uvy6YcU"",""M:M"")=B19)*1, IMPORTRANGE(""17XjIPGwafStTRf_8bPPaoi2EFjHVy10_rRJ0uvy6YcU"",""X:X""), IMPORTRANGE(""17XjIPGwafStTRf_8bPPaoi2EFjHVy10_rRJ0uvy6YcU"",""AL:AL""))"),295244.0)</f>
        <v>295244</v>
      </c>
      <c r="D19" s="24">
        <f>IFERROR(__xludf.DUMMYFUNCTION("SUMPRODUCT((IMPORTRANGE(""17XjIPGwafStTRf_8bPPaoi2EFjHVy10_rRJ0uvy6YcU"",""M:M"")=B19)*1, IMPORTRANGE(""17XjIPGwafStTRf_8bPPaoi2EFjHVy10_rRJ0uvy6YcU"",""X:X""), IMPORTRANGE(""17XjIPGwafStTRf_8bPPaoi2EFjHVy10_rRJ0uvy6YcU"",""AA:AA"")) + SUMPRODUCT((IMPORTR"&amp;"ANGE(""17XjIPGwafStTRf_8bPPaoi2EFjHVy10_rRJ0uvy6YcU"",""M:M"")=B19)*1, IMPORTRANGE(""17XjIPGwafStTRf_8bPPaoi2EFjHVy10_rRJ0uvy6YcU"",""X:X""), IMPORTRANGE(""17XjIPGwafStTRf_8bPPaoi2EFjHVy10_rRJ0uvy6YcU"",""AE:AE"")) + SUMPRODUCT((IMPORTRANGE(""17XjIPGwafSt"&amp;"TRf_8bPPaoi2EFjHVy10_rRJ0uvy6YcU"",""M:M"")=B19)*1, IMPORTRANGE(""17XjIPGwafStTRf_8bPPaoi2EFjHVy10_rRJ0uvy6YcU"",""X:X""), IMPORTRANGE(""17XjIPGwafStTRf_8bPPaoi2EFjHVy10_rRJ0uvy6YcU"",""AF:AF""))"),176012.51403928327)</f>
        <v>176012.514</v>
      </c>
      <c r="E19" s="24">
        <f>IFERROR(__xludf.DUMMYFUNCTION("SUMPRODUCT((IMPORTRANGE(""17XjIPGwafStTRf_8bPPaoi2EFjHVy10_rRJ0uvy6YcU"",""M:M"")=B19)*1, IMPORTRANGE(""17XjIPGwafStTRf_8bPPaoi2EFjHVy10_rRJ0uvy6YcU"",""X:X""), IMPORTRANGE(""17XjIPGwafStTRf_8bPPaoi2EFjHVy10_rRJ0uvy6YcU"",""AO:AO""))"),63782.28596071672)</f>
        <v>63782.28596</v>
      </c>
      <c r="F19" s="25">
        <f>IFERROR(__xludf.DUMMYFUNCTION("SUMPRODUCT((IMPORTRANGE(""17XjIPGwafStTRf_8bPPaoi2EFjHVy10_rRJ0uvy6YcU"",""M:M"")=B19)*1, IMPORTRANGE(""17XjIPGwafStTRf_8bPPaoi2EFjHVy10_rRJ0uvy6YcU"",""X:X""))"),55.0)</f>
        <v>55</v>
      </c>
      <c r="G19" s="26">
        <f>IFERROR(__xludf.DUMMYFUNCTION("COUNTIF(IMPORTRANGE(""17XjIPGwafStTRf_8bPPaoi2EFjHVy10_rRJ0uvy6YcU"",""M:M""), B19)"),32.0)</f>
        <v>32</v>
      </c>
      <c r="H19" s="27">
        <f t="shared" si="1"/>
        <v>1.71875</v>
      </c>
      <c r="I19" s="28">
        <f t="shared" si="2"/>
        <v>0.2160324544</v>
      </c>
      <c r="J19" s="29">
        <f t="shared" si="3"/>
        <v>0.3623735864</v>
      </c>
      <c r="K19" s="32"/>
      <c r="L19" s="31" t="str">
        <f t="shared" si="4"/>
        <v/>
      </c>
      <c r="M19" s="31" t="str">
        <f t="shared" si="5"/>
        <v/>
      </c>
      <c r="N19" s="4"/>
    </row>
    <row r="20">
      <c r="A20" s="1"/>
      <c r="B20" s="23">
        <f t="shared" si="6"/>
        <v>44696</v>
      </c>
      <c r="C20" s="24">
        <f>IFERROR(__xludf.DUMMYFUNCTION("SUMPRODUCT((IMPORTRANGE(""17XjIPGwafStTRf_8bPPaoi2EFjHVy10_rRJ0uvy6YcU"",""M:M"")=B20)*1, IMPORTRANGE(""17XjIPGwafStTRf_8bPPaoi2EFjHVy10_rRJ0uvy6YcU"",""X:X""), IMPORTRANGE(""17XjIPGwafStTRf_8bPPaoi2EFjHVy10_rRJ0uvy6YcU"",""AK:AK"")) - SUMPRODUCT((IMPORTR"&amp;"ANGE(""17XjIPGwafStTRf_8bPPaoi2EFjHVy10_rRJ0uvy6YcU"",""M:M"")=B20)*1, IMPORTRANGE(""17XjIPGwafStTRf_8bPPaoi2EFjHVy10_rRJ0uvy6YcU"",""X:X""), IMPORTRANGE(""17XjIPGwafStTRf_8bPPaoi2EFjHVy10_rRJ0uvy6YcU"",""AL:AL""))"),344857.0)</f>
        <v>344857</v>
      </c>
      <c r="D20" s="24">
        <f>IFERROR(__xludf.DUMMYFUNCTION("SUMPRODUCT((IMPORTRANGE(""17XjIPGwafStTRf_8bPPaoi2EFjHVy10_rRJ0uvy6YcU"",""M:M"")=B20)*1, IMPORTRANGE(""17XjIPGwafStTRf_8bPPaoi2EFjHVy10_rRJ0uvy6YcU"",""X:X""), IMPORTRANGE(""17XjIPGwafStTRf_8bPPaoi2EFjHVy10_rRJ0uvy6YcU"",""AA:AA"")) + SUMPRODUCT((IMPORTR"&amp;"ANGE(""17XjIPGwafStTRf_8bPPaoi2EFjHVy10_rRJ0uvy6YcU"",""M:M"")=B20)*1, IMPORTRANGE(""17XjIPGwafStTRf_8bPPaoi2EFjHVy10_rRJ0uvy6YcU"",""X:X""), IMPORTRANGE(""17XjIPGwafStTRf_8bPPaoi2EFjHVy10_rRJ0uvy6YcU"",""AE:AE"")) + SUMPRODUCT((IMPORTRANGE(""17XjIPGwafSt"&amp;"TRf_8bPPaoi2EFjHVy10_rRJ0uvy6YcU"",""M:M"")=B20)*1, IMPORTRANGE(""17XjIPGwafStTRf_8bPPaoi2EFjHVy10_rRJ0uvy6YcU"",""X:X""), IMPORTRANGE(""17XjIPGwafStTRf_8bPPaoi2EFjHVy10_rRJ0uvy6YcU"",""AF:AF""))"),201745.4275782008)</f>
        <v>201745.4276</v>
      </c>
      <c r="E20" s="24">
        <f>IFERROR(__xludf.DUMMYFUNCTION("SUMPRODUCT((IMPORTRANGE(""17XjIPGwafStTRf_8bPPaoi2EFjHVy10_rRJ0uvy6YcU"",""M:M"")=B20)*1, IMPORTRANGE(""17XjIPGwafStTRf_8bPPaoi2EFjHVy10_rRJ0uvy6YcU"",""X:X""), IMPORTRANGE(""17XjIPGwafStTRf_8bPPaoi2EFjHVy10_rRJ0uvy6YcU"",""AO:AO""))"),63104.75357591893)</f>
        <v>63104.75358</v>
      </c>
      <c r="F20" s="25">
        <f>IFERROR(__xludf.DUMMYFUNCTION("SUMPRODUCT((IMPORTRANGE(""17XjIPGwafStTRf_8bPPaoi2EFjHVy10_rRJ0uvy6YcU"",""M:M"")=B20)*1, IMPORTRANGE(""17XjIPGwafStTRf_8bPPaoi2EFjHVy10_rRJ0uvy6YcU"",""X:X""))"),127.0)</f>
        <v>127</v>
      </c>
      <c r="G20" s="26">
        <f>IFERROR(__xludf.DUMMYFUNCTION("COUNTIF(IMPORTRANGE(""17XjIPGwafStTRf_8bPPaoi2EFjHVy10_rRJ0uvy6YcU"",""M:M""), B20)"),21.0)</f>
        <v>21</v>
      </c>
      <c r="H20" s="27">
        <f t="shared" si="1"/>
        <v>6.047619048</v>
      </c>
      <c r="I20" s="28">
        <f t="shared" si="2"/>
        <v>0.1829881765</v>
      </c>
      <c r="J20" s="29">
        <f t="shared" si="3"/>
        <v>0.3127939718</v>
      </c>
      <c r="K20" s="32"/>
      <c r="L20" s="31" t="str">
        <f t="shared" si="4"/>
        <v/>
      </c>
      <c r="M20" s="31" t="str">
        <f t="shared" si="5"/>
        <v/>
      </c>
      <c r="N20" s="4"/>
    </row>
    <row r="21">
      <c r="A21" s="1"/>
      <c r="B21" s="23">
        <f t="shared" si="6"/>
        <v>44697</v>
      </c>
      <c r="C21" s="24">
        <f>IFERROR(__xludf.DUMMYFUNCTION("SUMPRODUCT((IMPORTRANGE(""17XjIPGwafStTRf_8bPPaoi2EFjHVy10_rRJ0uvy6YcU"",""M:M"")=B21)*1, IMPORTRANGE(""17XjIPGwafStTRf_8bPPaoi2EFjHVy10_rRJ0uvy6YcU"",""X:X""), IMPORTRANGE(""17XjIPGwafStTRf_8bPPaoi2EFjHVy10_rRJ0uvy6YcU"",""AK:AK"")) - SUMPRODUCT((IMPORTR"&amp;"ANGE(""17XjIPGwafStTRf_8bPPaoi2EFjHVy10_rRJ0uvy6YcU"",""M:M"")=B21)*1, IMPORTRANGE(""17XjIPGwafStTRf_8bPPaoi2EFjHVy10_rRJ0uvy6YcU"",""X:X""), IMPORTRANGE(""17XjIPGwafStTRf_8bPPaoi2EFjHVy10_rRJ0uvy6YcU"",""AL:AL""))"),806811.0)</f>
        <v>806811</v>
      </c>
      <c r="D21" s="24">
        <f>IFERROR(__xludf.DUMMYFUNCTION("SUMPRODUCT((IMPORTRANGE(""17XjIPGwafStTRf_8bPPaoi2EFjHVy10_rRJ0uvy6YcU"",""M:M"")=B21)*1, IMPORTRANGE(""17XjIPGwafStTRf_8bPPaoi2EFjHVy10_rRJ0uvy6YcU"",""X:X""), IMPORTRANGE(""17XjIPGwafStTRf_8bPPaoi2EFjHVy10_rRJ0uvy6YcU"",""AA:AA"")) + SUMPRODUCT((IMPORTR"&amp;"ANGE(""17XjIPGwafStTRf_8bPPaoi2EFjHVy10_rRJ0uvy6YcU"",""M:M"")=B21)*1, IMPORTRANGE(""17XjIPGwafStTRf_8bPPaoi2EFjHVy10_rRJ0uvy6YcU"",""X:X""), IMPORTRANGE(""17XjIPGwafStTRf_8bPPaoi2EFjHVy10_rRJ0uvy6YcU"",""AE:AE"")) + SUMPRODUCT((IMPORTRANGE(""17XjIPGwafSt"&amp;"TRf_8bPPaoi2EFjHVy10_rRJ0uvy6YcU"",""M:M"")=B21)*1, IMPORTRANGE(""17XjIPGwafStTRf_8bPPaoi2EFjHVy10_rRJ0uvy6YcU"",""X:X""), IMPORTRANGE(""17XjIPGwafStTRf_8bPPaoi2EFjHVy10_rRJ0uvy6YcU"",""AF:AF""))"),555276.9720702822)</f>
        <v>555276.9721</v>
      </c>
      <c r="E21" s="24">
        <f>IFERROR(__xludf.DUMMYFUNCTION("SUMPRODUCT((IMPORTRANGE(""17XjIPGwafStTRf_8bPPaoi2EFjHVy10_rRJ0uvy6YcU"",""M:M"")=B21)*1, IMPORTRANGE(""17XjIPGwafStTRf_8bPPaoi2EFjHVy10_rRJ0uvy6YcU"",""X:X""), IMPORTRANGE(""17XjIPGwafStTRf_8bPPaoi2EFjHVy10_rRJ0uvy6YcU"",""AO:AO""))"),176916.86026978606)</f>
        <v>176916.8603</v>
      </c>
      <c r="F21" s="25">
        <f>IFERROR(__xludf.DUMMYFUNCTION("SUMPRODUCT((IMPORTRANGE(""17XjIPGwafStTRf_8bPPaoi2EFjHVy10_rRJ0uvy6YcU"",""M:M"")=B21)*1, IMPORTRANGE(""17XjIPGwafStTRf_8bPPaoi2EFjHVy10_rRJ0uvy6YcU"",""X:X""))"),130.0)</f>
        <v>130</v>
      </c>
      <c r="G21" s="26">
        <f>IFERROR(__xludf.DUMMYFUNCTION("COUNTIF(IMPORTRANGE(""17XjIPGwafStTRf_8bPPaoi2EFjHVy10_rRJ0uvy6YcU"",""M:M""), B21)"),23.0)</f>
        <v>23</v>
      </c>
      <c r="H21" s="27">
        <f t="shared" si="1"/>
        <v>5.652173913</v>
      </c>
      <c r="I21" s="28">
        <f t="shared" si="2"/>
        <v>0.2192791872</v>
      </c>
      <c r="J21" s="29">
        <f t="shared" si="3"/>
        <v>0.3186101156</v>
      </c>
      <c r="K21" s="32"/>
      <c r="L21" s="31" t="str">
        <f t="shared" si="4"/>
        <v/>
      </c>
      <c r="M21" s="31" t="str">
        <f t="shared" si="5"/>
        <v/>
      </c>
      <c r="N21" s="4"/>
    </row>
    <row r="22">
      <c r="A22" s="1"/>
      <c r="B22" s="23">
        <f t="shared" si="6"/>
        <v>44698</v>
      </c>
      <c r="C22" s="24">
        <f>IFERROR(__xludf.DUMMYFUNCTION("SUMPRODUCT((IMPORTRANGE(""17XjIPGwafStTRf_8bPPaoi2EFjHVy10_rRJ0uvy6YcU"",""M:M"")=B22)*1, IMPORTRANGE(""17XjIPGwafStTRf_8bPPaoi2EFjHVy10_rRJ0uvy6YcU"",""X:X""), IMPORTRANGE(""17XjIPGwafStTRf_8bPPaoi2EFjHVy10_rRJ0uvy6YcU"",""AK:AK"")) - SUMPRODUCT((IMPORTR"&amp;"ANGE(""17XjIPGwafStTRf_8bPPaoi2EFjHVy10_rRJ0uvy6YcU"",""M:M"")=B22)*1, IMPORTRANGE(""17XjIPGwafStTRf_8bPPaoi2EFjHVy10_rRJ0uvy6YcU"",""X:X""), IMPORTRANGE(""17XjIPGwafStTRf_8bPPaoi2EFjHVy10_rRJ0uvy6YcU"",""AL:AL""))"),260030.0)</f>
        <v>260030</v>
      </c>
      <c r="D22" s="24">
        <f>IFERROR(__xludf.DUMMYFUNCTION("SUMPRODUCT((IMPORTRANGE(""17XjIPGwafStTRf_8bPPaoi2EFjHVy10_rRJ0uvy6YcU"",""M:M"")=B22)*1, IMPORTRANGE(""17XjIPGwafStTRf_8bPPaoi2EFjHVy10_rRJ0uvy6YcU"",""X:X""), IMPORTRANGE(""17XjIPGwafStTRf_8bPPaoi2EFjHVy10_rRJ0uvy6YcU"",""AA:AA"")) + SUMPRODUCT((IMPORTR"&amp;"ANGE(""17XjIPGwafStTRf_8bPPaoi2EFjHVy10_rRJ0uvy6YcU"",""M:M"")=B22)*1, IMPORTRANGE(""17XjIPGwafStTRf_8bPPaoi2EFjHVy10_rRJ0uvy6YcU"",""X:X""), IMPORTRANGE(""17XjIPGwafStTRf_8bPPaoi2EFjHVy10_rRJ0uvy6YcU"",""AE:AE"")) + SUMPRODUCT((IMPORTRANGE(""17XjIPGwafSt"&amp;"TRf_8bPPaoi2EFjHVy10_rRJ0uvy6YcU"",""M:M"")=B22)*1, IMPORTRANGE(""17XjIPGwafStTRf_8bPPaoi2EFjHVy10_rRJ0uvy6YcU"",""X:X""), IMPORTRANGE(""17XjIPGwafStTRf_8bPPaoi2EFjHVy10_rRJ0uvy6YcU"",""AF:AF""))"),158458.52445046)</f>
        <v>158458.5245</v>
      </c>
      <c r="E22" s="24">
        <f>IFERROR(__xludf.DUMMYFUNCTION("SUMPRODUCT((IMPORTRANGE(""17XjIPGwafStTRf_8bPPaoi2EFjHVy10_rRJ0uvy6YcU"",""M:M"")=B22)*1, IMPORTRANGE(""17XjIPGwafStTRf_8bPPaoi2EFjHVy10_rRJ0uvy6YcU"",""X:X""), IMPORTRANGE(""17XjIPGwafStTRf_8bPPaoi2EFjHVy10_rRJ0uvy6YcU"",""AO:AO""))"),60368.97554953997)</f>
        <v>60368.97555</v>
      </c>
      <c r="F22" s="25">
        <f>IFERROR(__xludf.DUMMYFUNCTION("SUMPRODUCT((IMPORTRANGE(""17XjIPGwafStTRf_8bPPaoi2EFjHVy10_rRJ0uvy6YcU"",""M:M"")=B22)*1, IMPORTRANGE(""17XjIPGwafStTRf_8bPPaoi2EFjHVy10_rRJ0uvy6YcU"",""X:X""))"),48.0)</f>
        <v>48</v>
      </c>
      <c r="G22" s="26">
        <f>IFERROR(__xludf.DUMMYFUNCTION("COUNTIF(IMPORTRANGE(""17XjIPGwafStTRf_8bPPaoi2EFjHVy10_rRJ0uvy6YcU"",""M:M""), B22)"),22.0)</f>
        <v>22</v>
      </c>
      <c r="H22" s="27">
        <f t="shared" si="1"/>
        <v>2.181818182</v>
      </c>
      <c r="I22" s="28">
        <f t="shared" si="2"/>
        <v>0.2321615796</v>
      </c>
      <c r="J22" s="29">
        <f t="shared" si="3"/>
        <v>0.3809765095</v>
      </c>
      <c r="K22" s="32"/>
      <c r="L22" s="31" t="str">
        <f t="shared" si="4"/>
        <v/>
      </c>
      <c r="M22" s="31" t="str">
        <f t="shared" si="5"/>
        <v/>
      </c>
      <c r="N22" s="4"/>
    </row>
    <row r="23">
      <c r="A23" s="1"/>
      <c r="B23" s="23">
        <f t="shared" si="6"/>
        <v>44699</v>
      </c>
      <c r="C23" s="24">
        <f>IFERROR(__xludf.DUMMYFUNCTION("SUMPRODUCT((IMPORTRANGE(""17XjIPGwafStTRf_8bPPaoi2EFjHVy10_rRJ0uvy6YcU"",""M:M"")=B23)*1, IMPORTRANGE(""17XjIPGwafStTRf_8bPPaoi2EFjHVy10_rRJ0uvy6YcU"",""X:X""), IMPORTRANGE(""17XjIPGwafStTRf_8bPPaoi2EFjHVy10_rRJ0uvy6YcU"",""AK:AK"")) - SUMPRODUCT((IMPORTR"&amp;"ANGE(""17XjIPGwafStTRf_8bPPaoi2EFjHVy10_rRJ0uvy6YcU"",""M:M"")=B23)*1, IMPORTRANGE(""17XjIPGwafStTRf_8bPPaoi2EFjHVy10_rRJ0uvy6YcU"",""X:X""), IMPORTRANGE(""17XjIPGwafStTRf_8bPPaoi2EFjHVy10_rRJ0uvy6YcU"",""AL:AL""))"),323454.0)</f>
        <v>323454</v>
      </c>
      <c r="D23" s="24">
        <f>IFERROR(__xludf.DUMMYFUNCTION("SUMPRODUCT((IMPORTRANGE(""17XjIPGwafStTRf_8bPPaoi2EFjHVy10_rRJ0uvy6YcU"",""M:M"")=B23)*1, IMPORTRANGE(""17XjIPGwafStTRf_8bPPaoi2EFjHVy10_rRJ0uvy6YcU"",""X:X""), IMPORTRANGE(""17XjIPGwafStTRf_8bPPaoi2EFjHVy10_rRJ0uvy6YcU"",""AA:AA"")) + SUMPRODUCT((IMPORTR"&amp;"ANGE(""17XjIPGwafStTRf_8bPPaoi2EFjHVy10_rRJ0uvy6YcU"",""M:M"")=B23)*1, IMPORTRANGE(""17XjIPGwafStTRf_8bPPaoi2EFjHVy10_rRJ0uvy6YcU"",""X:X""), IMPORTRANGE(""17XjIPGwafStTRf_8bPPaoi2EFjHVy10_rRJ0uvy6YcU"",""AE:AE"")) + SUMPRODUCT((IMPORTRANGE(""17XjIPGwafSt"&amp;"TRf_8bPPaoi2EFjHVy10_rRJ0uvy6YcU"",""M:M"")=B23)*1, IMPORTRANGE(""17XjIPGwafStTRf_8bPPaoi2EFjHVy10_rRJ0uvy6YcU"",""X:X""), IMPORTRANGE(""17XjIPGwafStTRf_8bPPaoi2EFjHVy10_rRJ0uvy6YcU"",""AF:AF""))"),164147.72321984367)</f>
        <v>164147.7232</v>
      </c>
      <c r="E23" s="24">
        <f>IFERROR(__xludf.DUMMYFUNCTION("SUMPRODUCT((IMPORTRANGE(""17XjIPGwafStTRf_8bPPaoi2EFjHVy10_rRJ0uvy6YcU"",""M:M"")=B23)*1, IMPORTRANGE(""17XjIPGwafStTRf_8bPPaoi2EFjHVy10_rRJ0uvy6YcU"",""X:X""), IMPORTRANGE(""17XjIPGwafStTRf_8bPPaoi2EFjHVy10_rRJ0uvy6YcU"",""AO:AO""))"),101047.87678015637)</f>
        <v>101047.8768</v>
      </c>
      <c r="F23" s="25">
        <f>IFERROR(__xludf.DUMMYFUNCTION("SUMPRODUCT((IMPORTRANGE(""17XjIPGwafStTRf_8bPPaoi2EFjHVy10_rRJ0uvy6YcU"",""M:M"")=B23)*1, IMPORTRANGE(""17XjIPGwafStTRf_8bPPaoi2EFjHVy10_rRJ0uvy6YcU"",""X:X""))"),35.0)</f>
        <v>35</v>
      </c>
      <c r="G23" s="26">
        <f>IFERROR(__xludf.DUMMYFUNCTION("COUNTIF(IMPORTRANGE(""17XjIPGwafStTRf_8bPPaoi2EFjHVy10_rRJ0uvy6YcU"",""M:M""), B23)"),19.0)</f>
        <v>19</v>
      </c>
      <c r="H23" s="27">
        <f t="shared" si="1"/>
        <v>1.842105263</v>
      </c>
      <c r="I23" s="28">
        <f t="shared" si="2"/>
        <v>0.3124026192</v>
      </c>
      <c r="J23" s="29">
        <f t="shared" si="3"/>
        <v>0.6155910956</v>
      </c>
      <c r="K23" s="32"/>
      <c r="L23" s="31" t="str">
        <f t="shared" si="4"/>
        <v/>
      </c>
      <c r="M23" s="31" t="str">
        <f t="shared" si="5"/>
        <v/>
      </c>
      <c r="N23" s="4"/>
    </row>
    <row r="24">
      <c r="A24" s="1"/>
      <c r="B24" s="23">
        <f t="shared" si="6"/>
        <v>44700</v>
      </c>
      <c r="C24" s="24">
        <f>IFERROR(__xludf.DUMMYFUNCTION("SUMPRODUCT((IMPORTRANGE(""17XjIPGwafStTRf_8bPPaoi2EFjHVy10_rRJ0uvy6YcU"",""M:M"")=B24)*1, IMPORTRANGE(""17XjIPGwafStTRf_8bPPaoi2EFjHVy10_rRJ0uvy6YcU"",""X:X""), IMPORTRANGE(""17XjIPGwafStTRf_8bPPaoi2EFjHVy10_rRJ0uvy6YcU"",""AK:AK"")) - SUMPRODUCT((IMPORTR"&amp;"ANGE(""17XjIPGwafStTRf_8bPPaoi2EFjHVy10_rRJ0uvy6YcU"",""M:M"")=B24)*1, IMPORTRANGE(""17XjIPGwafStTRf_8bPPaoi2EFjHVy10_rRJ0uvy6YcU"",""X:X""), IMPORTRANGE(""17XjIPGwafStTRf_8bPPaoi2EFjHVy10_rRJ0uvy6YcU"",""AL:AL""))"),227503.0)</f>
        <v>227503</v>
      </c>
      <c r="D24" s="24">
        <f>IFERROR(__xludf.DUMMYFUNCTION("SUMPRODUCT((IMPORTRANGE(""17XjIPGwafStTRf_8bPPaoi2EFjHVy10_rRJ0uvy6YcU"",""M:M"")=B24)*1, IMPORTRANGE(""17XjIPGwafStTRf_8bPPaoi2EFjHVy10_rRJ0uvy6YcU"",""X:X""), IMPORTRANGE(""17XjIPGwafStTRf_8bPPaoi2EFjHVy10_rRJ0uvy6YcU"",""AA:AA"")) + SUMPRODUCT((IMPORTR"&amp;"ANGE(""17XjIPGwafStTRf_8bPPaoi2EFjHVy10_rRJ0uvy6YcU"",""M:M"")=B24)*1, IMPORTRANGE(""17XjIPGwafStTRf_8bPPaoi2EFjHVy10_rRJ0uvy6YcU"",""X:X""), IMPORTRANGE(""17XjIPGwafStTRf_8bPPaoi2EFjHVy10_rRJ0uvy6YcU"",""AE:AE"")) + SUMPRODUCT((IMPORTRANGE(""17XjIPGwafSt"&amp;"TRf_8bPPaoi2EFjHVy10_rRJ0uvy6YcU"",""M:M"")=B24)*1, IMPORTRANGE(""17XjIPGwafStTRf_8bPPaoi2EFjHVy10_rRJ0uvy6YcU"",""X:X""), IMPORTRANGE(""17XjIPGwafStTRf_8bPPaoi2EFjHVy10_rRJ0uvy6YcU"",""AF:AF""))"),147753.9443480052)</f>
        <v>147753.9443</v>
      </c>
      <c r="E24" s="24">
        <f>IFERROR(__xludf.DUMMYFUNCTION("SUMPRODUCT((IMPORTRANGE(""17XjIPGwafStTRf_8bPPaoi2EFjHVy10_rRJ0uvy6YcU"",""M:M"")=B24)*1, IMPORTRANGE(""17XjIPGwafStTRf_8bPPaoi2EFjHVy10_rRJ0uvy6YcU"",""X:X""), IMPORTRANGE(""17XjIPGwafStTRf_8bPPaoi2EFjHVy10_rRJ0uvy6YcU"",""AO:AO""))"),41059.26185755391)</f>
        <v>41059.26186</v>
      </c>
      <c r="F24" s="25">
        <f>IFERROR(__xludf.DUMMYFUNCTION("SUMPRODUCT((IMPORTRANGE(""17XjIPGwafStTRf_8bPPaoi2EFjHVy10_rRJ0uvy6YcU"",""M:M"")=B24)*1, IMPORTRANGE(""17XjIPGwafStTRf_8bPPaoi2EFjHVy10_rRJ0uvy6YcU"",""X:X""))"),38.0)</f>
        <v>38</v>
      </c>
      <c r="G24" s="26">
        <f>IFERROR(__xludf.DUMMYFUNCTION("COUNTIF(IMPORTRANGE(""17XjIPGwafStTRf_8bPPaoi2EFjHVy10_rRJ0uvy6YcU"",""M:M""), B24)"),21.0)</f>
        <v>21</v>
      </c>
      <c r="H24" s="27">
        <f t="shared" si="1"/>
        <v>1.80952381</v>
      </c>
      <c r="I24" s="28">
        <f t="shared" si="2"/>
        <v>0.180477892</v>
      </c>
      <c r="J24" s="29">
        <f t="shared" si="3"/>
        <v>0.2778894468</v>
      </c>
      <c r="K24" s="30"/>
      <c r="L24" s="31" t="str">
        <f t="shared" si="4"/>
        <v/>
      </c>
      <c r="M24" s="31" t="str">
        <f t="shared" si="5"/>
        <v/>
      </c>
      <c r="N24" s="4"/>
    </row>
    <row r="25">
      <c r="A25" s="1"/>
      <c r="B25" s="23">
        <f t="shared" si="6"/>
        <v>44701</v>
      </c>
      <c r="C25" s="24">
        <f>IFERROR(__xludf.DUMMYFUNCTION("SUMPRODUCT((IMPORTRANGE(""17XjIPGwafStTRf_8bPPaoi2EFjHVy10_rRJ0uvy6YcU"",""M:M"")=B25)*1, IMPORTRANGE(""17XjIPGwafStTRf_8bPPaoi2EFjHVy10_rRJ0uvy6YcU"",""X:X""), IMPORTRANGE(""17XjIPGwafStTRf_8bPPaoi2EFjHVy10_rRJ0uvy6YcU"",""AK:AK"")) - SUMPRODUCT((IMPORTR"&amp;"ANGE(""17XjIPGwafStTRf_8bPPaoi2EFjHVy10_rRJ0uvy6YcU"",""M:M"")=B25)*1, IMPORTRANGE(""17XjIPGwafStTRf_8bPPaoi2EFjHVy10_rRJ0uvy6YcU"",""X:X""), IMPORTRANGE(""17XjIPGwafStTRf_8bPPaoi2EFjHVy10_rRJ0uvy6YcU"",""AL:AL""))"),534642.6)</f>
        <v>534642.6</v>
      </c>
      <c r="D25" s="24">
        <f>IFERROR(__xludf.DUMMYFUNCTION("SUMPRODUCT((IMPORTRANGE(""17XjIPGwafStTRf_8bPPaoi2EFjHVy10_rRJ0uvy6YcU"",""M:M"")=B25)*1, IMPORTRANGE(""17XjIPGwafStTRf_8bPPaoi2EFjHVy10_rRJ0uvy6YcU"",""X:X""), IMPORTRANGE(""17XjIPGwafStTRf_8bPPaoi2EFjHVy10_rRJ0uvy6YcU"",""AA:AA"")) + SUMPRODUCT((IMPORTR"&amp;"ANGE(""17XjIPGwafStTRf_8bPPaoi2EFjHVy10_rRJ0uvy6YcU"",""M:M"")=B25)*1, IMPORTRANGE(""17XjIPGwafStTRf_8bPPaoi2EFjHVy10_rRJ0uvy6YcU"",""X:X""), IMPORTRANGE(""17XjIPGwafStTRf_8bPPaoi2EFjHVy10_rRJ0uvy6YcU"",""AE:AE"")) + SUMPRODUCT((IMPORTRANGE(""17XjIPGwafSt"&amp;"TRf_8bPPaoi2EFjHVy10_rRJ0uvy6YcU"",""M:M"")=B25)*1, IMPORTRANGE(""17XjIPGwafStTRf_8bPPaoi2EFjHVy10_rRJ0uvy6YcU"",""X:X""), IMPORTRANGE(""17XjIPGwafStTRf_8bPPaoi2EFjHVy10_rRJ0uvy6YcU"",""AF:AF""))"),315142.2797779081)</f>
        <v>315142.2798</v>
      </c>
      <c r="E25" s="24">
        <f>IFERROR(__xludf.DUMMYFUNCTION("SUMPRODUCT((IMPORTRANGE(""17XjIPGwafStTRf_8bPPaoi2EFjHVy10_rRJ0uvy6YcU"",""M:M"")=B25)*1, IMPORTRANGE(""17XjIPGwafStTRf_8bPPaoi2EFjHVy10_rRJ0uvy6YcU"",""X:X""), IMPORTRANGE(""17XjIPGwafStTRf_8bPPaoi2EFjHVy10_rRJ0uvy6YcU"",""AO:AO""))"),89400.45840246517)</f>
        <v>89400.4584</v>
      </c>
      <c r="F25" s="25">
        <f>IFERROR(__xludf.DUMMYFUNCTION("SUMPRODUCT((IMPORTRANGE(""17XjIPGwafStTRf_8bPPaoi2EFjHVy10_rRJ0uvy6YcU"",""M:M"")=B25)*1, IMPORTRANGE(""17XjIPGwafStTRf_8bPPaoi2EFjHVy10_rRJ0uvy6YcU"",""X:X""))"),83.0)</f>
        <v>83</v>
      </c>
      <c r="G25" s="26">
        <f>IFERROR(__xludf.DUMMYFUNCTION("COUNTIF(IMPORTRANGE(""17XjIPGwafStTRf_8bPPaoi2EFjHVy10_rRJ0uvy6YcU"",""M:M""), B25)"),47.0)</f>
        <v>47</v>
      </c>
      <c r="H25" s="27">
        <f t="shared" si="1"/>
        <v>1.765957447</v>
      </c>
      <c r="I25" s="28">
        <f t="shared" si="2"/>
        <v>0.1672153667</v>
      </c>
      <c r="J25" s="29">
        <f t="shared" si="3"/>
        <v>0.2836828447</v>
      </c>
      <c r="K25" s="32"/>
      <c r="L25" s="31" t="str">
        <f t="shared" si="4"/>
        <v/>
      </c>
      <c r="M25" s="31" t="str">
        <f t="shared" si="5"/>
        <v/>
      </c>
      <c r="N25" s="4"/>
    </row>
    <row r="26">
      <c r="A26" s="1"/>
      <c r="B26" s="23">
        <f t="shared" si="6"/>
        <v>44702</v>
      </c>
      <c r="C26" s="24">
        <f>IFERROR(__xludf.DUMMYFUNCTION("SUMPRODUCT((IMPORTRANGE(""17XjIPGwafStTRf_8bPPaoi2EFjHVy10_rRJ0uvy6YcU"",""M:M"")=B26)*1, IMPORTRANGE(""17XjIPGwafStTRf_8bPPaoi2EFjHVy10_rRJ0uvy6YcU"",""X:X""), IMPORTRANGE(""17XjIPGwafStTRf_8bPPaoi2EFjHVy10_rRJ0uvy6YcU"",""AK:AK"")) - SUMPRODUCT((IMPORTR"&amp;"ANGE(""17XjIPGwafStTRf_8bPPaoi2EFjHVy10_rRJ0uvy6YcU"",""M:M"")=B26)*1, IMPORTRANGE(""17XjIPGwafStTRf_8bPPaoi2EFjHVy10_rRJ0uvy6YcU"",""X:X""), IMPORTRANGE(""17XjIPGwafStTRf_8bPPaoi2EFjHVy10_rRJ0uvy6YcU"",""AL:AL""))"),428531.0)</f>
        <v>428531</v>
      </c>
      <c r="D26" s="24">
        <f>IFERROR(__xludf.DUMMYFUNCTION("SUMPRODUCT((IMPORTRANGE(""17XjIPGwafStTRf_8bPPaoi2EFjHVy10_rRJ0uvy6YcU"",""M:M"")=B26)*1, IMPORTRANGE(""17XjIPGwafStTRf_8bPPaoi2EFjHVy10_rRJ0uvy6YcU"",""X:X""), IMPORTRANGE(""17XjIPGwafStTRf_8bPPaoi2EFjHVy10_rRJ0uvy6YcU"",""AA:AA"")) + SUMPRODUCT((IMPORTR"&amp;"ANGE(""17XjIPGwafStTRf_8bPPaoi2EFjHVy10_rRJ0uvy6YcU"",""M:M"")=B26)*1, IMPORTRANGE(""17XjIPGwafStTRf_8bPPaoi2EFjHVy10_rRJ0uvy6YcU"",""X:X""), IMPORTRANGE(""17XjIPGwafStTRf_8bPPaoi2EFjHVy10_rRJ0uvy6YcU"",""AE:AE"")) + SUMPRODUCT((IMPORTRANGE(""17XjIPGwafSt"&amp;"TRf_8bPPaoi2EFjHVy10_rRJ0uvy6YcU"",""M:M"")=B26)*1, IMPORTRANGE(""17XjIPGwafStTRf_8bPPaoi2EFjHVy10_rRJ0uvy6YcU"",""X:X""), IMPORTRANGE(""17XjIPGwafStTRf_8bPPaoi2EFjHVy10_rRJ0uvy6YcU"",""AF:AF""))"),272425.4737377772)</f>
        <v>272425.4737</v>
      </c>
      <c r="E26" s="24">
        <f>IFERROR(__xludf.DUMMYFUNCTION("SUMPRODUCT((IMPORTRANGE(""17XjIPGwafStTRf_8bPPaoi2EFjHVy10_rRJ0uvy6YcU"",""M:M"")=B26)*1, IMPORTRANGE(""17XjIPGwafStTRf_8bPPaoi2EFjHVy10_rRJ0uvy6YcU"",""X:X""), IMPORTRANGE(""17XjIPGwafStTRf_8bPPaoi2EFjHVy10_rRJ0uvy6YcU"",""AO:AO""))"),93113.42214227801)</f>
        <v>93113.42214</v>
      </c>
      <c r="F26" s="25">
        <f>IFERROR(__xludf.DUMMYFUNCTION("SUMPRODUCT((IMPORTRANGE(""17XjIPGwafStTRf_8bPPaoi2EFjHVy10_rRJ0uvy6YcU"",""M:M"")=B26)*1, IMPORTRANGE(""17XjIPGwafStTRf_8bPPaoi2EFjHVy10_rRJ0uvy6YcU"",""X:X""))"),66.0)</f>
        <v>66</v>
      </c>
      <c r="G26" s="26">
        <f>IFERROR(__xludf.DUMMYFUNCTION("COUNTIF(IMPORTRANGE(""17XjIPGwafStTRf_8bPPaoi2EFjHVy10_rRJ0uvy6YcU"",""M:M""), B26)"),43.0)</f>
        <v>43</v>
      </c>
      <c r="H26" s="27">
        <f t="shared" si="1"/>
        <v>1.534883721</v>
      </c>
      <c r="I26" s="28">
        <f t="shared" si="2"/>
        <v>0.2172851489</v>
      </c>
      <c r="J26" s="29">
        <f t="shared" si="3"/>
        <v>0.3417941093</v>
      </c>
      <c r="K26" s="30"/>
      <c r="L26" s="31" t="str">
        <f t="shared" si="4"/>
        <v/>
      </c>
      <c r="M26" s="31" t="str">
        <f t="shared" si="5"/>
        <v/>
      </c>
      <c r="N26" s="4"/>
    </row>
    <row r="27">
      <c r="A27" s="1"/>
      <c r="B27" s="23">
        <f t="shared" si="6"/>
        <v>44703</v>
      </c>
      <c r="C27" s="24">
        <f>IFERROR(__xludf.DUMMYFUNCTION("SUMPRODUCT((IMPORTRANGE(""17XjIPGwafStTRf_8bPPaoi2EFjHVy10_rRJ0uvy6YcU"",""M:M"")=B27)*1, IMPORTRANGE(""17XjIPGwafStTRf_8bPPaoi2EFjHVy10_rRJ0uvy6YcU"",""X:X""), IMPORTRANGE(""17XjIPGwafStTRf_8bPPaoi2EFjHVy10_rRJ0uvy6YcU"",""AK:AK"")) - SUMPRODUCT((IMPORTR"&amp;"ANGE(""17XjIPGwafStTRf_8bPPaoi2EFjHVy10_rRJ0uvy6YcU"",""M:M"")=B27)*1, IMPORTRANGE(""17XjIPGwafStTRf_8bPPaoi2EFjHVy10_rRJ0uvy6YcU"",""X:X""), IMPORTRANGE(""17XjIPGwafStTRf_8bPPaoi2EFjHVy10_rRJ0uvy6YcU"",""AL:AL""))"),325531.0)</f>
        <v>325531</v>
      </c>
      <c r="D27" s="24">
        <f>IFERROR(__xludf.DUMMYFUNCTION("SUMPRODUCT((IMPORTRANGE(""17XjIPGwafStTRf_8bPPaoi2EFjHVy10_rRJ0uvy6YcU"",""M:M"")=B27)*1, IMPORTRANGE(""17XjIPGwafStTRf_8bPPaoi2EFjHVy10_rRJ0uvy6YcU"",""X:X""), IMPORTRANGE(""17XjIPGwafStTRf_8bPPaoi2EFjHVy10_rRJ0uvy6YcU"",""AA:AA"")) + SUMPRODUCT((IMPORTR"&amp;"ANGE(""17XjIPGwafStTRf_8bPPaoi2EFjHVy10_rRJ0uvy6YcU"",""M:M"")=B27)*1, IMPORTRANGE(""17XjIPGwafStTRf_8bPPaoi2EFjHVy10_rRJ0uvy6YcU"",""X:X""), IMPORTRANGE(""17XjIPGwafStTRf_8bPPaoi2EFjHVy10_rRJ0uvy6YcU"",""AE:AE"")) + SUMPRODUCT((IMPORTRANGE(""17XjIPGwafSt"&amp;"TRf_8bPPaoi2EFjHVy10_rRJ0uvy6YcU"",""M:M"")=B27)*1, IMPORTRANGE(""17XjIPGwafStTRf_8bPPaoi2EFjHVy10_rRJ0uvy6YcU"",""X:X""), IMPORTRANGE(""17XjIPGwafStTRf_8bPPaoi2EFjHVy10_rRJ0uvy6YcU"",""AF:AF""))"),222501.94718259215)</f>
        <v>222501.9472</v>
      </c>
      <c r="E27" s="24">
        <f>IFERROR(__xludf.DUMMYFUNCTION("SUMPRODUCT((IMPORTRANGE(""17XjIPGwafStTRf_8bPPaoi2EFjHVy10_rRJ0uvy6YcU"",""M:M"")=B27)*1, IMPORTRANGE(""17XjIPGwafStTRf_8bPPaoi2EFjHVy10_rRJ0uvy6YcU"",""X:X""), IMPORTRANGE(""17XjIPGwafStTRf_8bPPaoi2EFjHVy10_rRJ0uvy6YcU"",""AO:AO""))"),58643.117722440256)</f>
        <v>58643.11772</v>
      </c>
      <c r="F27" s="25">
        <f>IFERROR(__xludf.DUMMYFUNCTION("SUMPRODUCT((IMPORTRANGE(""17XjIPGwafStTRf_8bPPaoi2EFjHVy10_rRJ0uvy6YcU"",""M:M"")=B27)*1, IMPORTRANGE(""17XjIPGwafStTRf_8bPPaoi2EFjHVy10_rRJ0uvy6YcU"",""X:X""))"),58.0)</f>
        <v>58</v>
      </c>
      <c r="G27" s="26">
        <f>IFERROR(__xludf.DUMMYFUNCTION("COUNTIF(IMPORTRANGE(""17XjIPGwafStTRf_8bPPaoi2EFjHVy10_rRJ0uvy6YcU"",""M:M""), B27)"),37.0)</f>
        <v>37</v>
      </c>
      <c r="H27" s="27">
        <f t="shared" si="1"/>
        <v>1.567567568</v>
      </c>
      <c r="I27" s="28">
        <f t="shared" si="2"/>
        <v>0.1801460313</v>
      </c>
      <c r="J27" s="29">
        <f t="shared" si="3"/>
        <v>0.2635622675</v>
      </c>
      <c r="K27" s="32"/>
      <c r="L27" s="31" t="str">
        <f t="shared" si="4"/>
        <v/>
      </c>
      <c r="M27" s="31" t="str">
        <f t="shared" si="5"/>
        <v/>
      </c>
      <c r="N27" s="4"/>
    </row>
    <row r="28">
      <c r="A28" s="1"/>
      <c r="B28" s="23">
        <f t="shared" si="6"/>
        <v>44704</v>
      </c>
      <c r="C28" s="24">
        <f>IFERROR(__xludf.DUMMYFUNCTION("SUMPRODUCT((IMPORTRANGE(""17XjIPGwafStTRf_8bPPaoi2EFjHVy10_rRJ0uvy6YcU"",""M:M"")=B28)*1, IMPORTRANGE(""17XjIPGwafStTRf_8bPPaoi2EFjHVy10_rRJ0uvy6YcU"",""X:X""), IMPORTRANGE(""17XjIPGwafStTRf_8bPPaoi2EFjHVy10_rRJ0uvy6YcU"",""AK:AK"")) - SUMPRODUCT((IMPORTR"&amp;"ANGE(""17XjIPGwafStTRf_8bPPaoi2EFjHVy10_rRJ0uvy6YcU"",""M:M"")=B28)*1, IMPORTRANGE(""17XjIPGwafStTRf_8bPPaoi2EFjHVy10_rRJ0uvy6YcU"",""X:X""), IMPORTRANGE(""17XjIPGwafStTRf_8bPPaoi2EFjHVy10_rRJ0uvy6YcU"",""AL:AL""))"),187123.0)</f>
        <v>187123</v>
      </c>
      <c r="D28" s="24">
        <f>IFERROR(__xludf.DUMMYFUNCTION("SUMPRODUCT((IMPORTRANGE(""17XjIPGwafStTRf_8bPPaoi2EFjHVy10_rRJ0uvy6YcU"",""M:M"")=B28)*1, IMPORTRANGE(""17XjIPGwafStTRf_8bPPaoi2EFjHVy10_rRJ0uvy6YcU"",""X:X""), IMPORTRANGE(""17XjIPGwafStTRf_8bPPaoi2EFjHVy10_rRJ0uvy6YcU"",""AA:AA"")) + SUMPRODUCT((IMPORTR"&amp;"ANGE(""17XjIPGwafStTRf_8bPPaoi2EFjHVy10_rRJ0uvy6YcU"",""M:M"")=B28)*1, IMPORTRANGE(""17XjIPGwafStTRf_8bPPaoi2EFjHVy10_rRJ0uvy6YcU"",""X:X""), IMPORTRANGE(""17XjIPGwafStTRf_8bPPaoi2EFjHVy10_rRJ0uvy6YcU"",""AE:AE"")) + SUMPRODUCT((IMPORTRANGE(""17XjIPGwafSt"&amp;"TRf_8bPPaoi2EFjHVy10_rRJ0uvy6YcU"",""M:M"")=B28)*1, IMPORTRANGE(""17XjIPGwafStTRf_8bPPaoi2EFjHVy10_rRJ0uvy6YcU"",""X:X""), IMPORTRANGE(""17XjIPGwafStTRf_8bPPaoi2EFjHVy10_rRJ0uvy6YcU"",""AF:AF""))"),114432.75934807285)</f>
        <v>114432.7593</v>
      </c>
      <c r="E28" s="24">
        <f>IFERROR(__xludf.DUMMYFUNCTION("SUMPRODUCT((IMPORTRANGE(""17XjIPGwafStTRf_8bPPaoi2EFjHVy10_rRJ0uvy6YcU"",""M:M"")=B28)*1, IMPORTRANGE(""17XjIPGwafStTRf_8bPPaoi2EFjHVy10_rRJ0uvy6YcU"",""X:X""), IMPORTRANGE(""17XjIPGwafStTRf_8bPPaoi2EFjHVy10_rRJ0uvy6YcU"",""AO:AO""))"),38131.24268927861)</f>
        <v>38131.24269</v>
      </c>
      <c r="F28" s="25">
        <f>IFERROR(__xludf.DUMMYFUNCTION("SUMPRODUCT((IMPORTRANGE(""17XjIPGwafStTRf_8bPPaoi2EFjHVy10_rRJ0uvy6YcU"",""M:M"")=B28)*1, IMPORTRANGE(""17XjIPGwafStTRf_8bPPaoi2EFjHVy10_rRJ0uvy6YcU"",""X:X""))"),39.0)</f>
        <v>39</v>
      </c>
      <c r="G28" s="26">
        <f>IFERROR(__xludf.DUMMYFUNCTION("COUNTIF(IMPORTRANGE(""17XjIPGwafStTRf_8bPPaoi2EFjHVy10_rRJ0uvy6YcU"",""M:M""), B28)"),19.0)</f>
        <v>19</v>
      </c>
      <c r="H28" s="27">
        <f t="shared" si="1"/>
        <v>2.052631579</v>
      </c>
      <c r="I28" s="28">
        <f t="shared" si="2"/>
        <v>0.203776354</v>
      </c>
      <c r="J28" s="29">
        <f t="shared" si="3"/>
        <v>0.3332196384</v>
      </c>
      <c r="K28" s="32"/>
      <c r="L28" s="31" t="str">
        <f t="shared" si="4"/>
        <v/>
      </c>
      <c r="M28" s="31" t="str">
        <f t="shared" si="5"/>
        <v/>
      </c>
      <c r="N28" s="4"/>
    </row>
    <row r="29">
      <c r="A29" s="1"/>
      <c r="B29" s="23">
        <f t="shared" si="6"/>
        <v>44705</v>
      </c>
      <c r="C29" s="24">
        <f>IFERROR(__xludf.DUMMYFUNCTION("SUMPRODUCT((IMPORTRANGE(""17XjIPGwafStTRf_8bPPaoi2EFjHVy10_rRJ0uvy6YcU"",""M:M"")=B29)*1, IMPORTRANGE(""17XjIPGwafStTRf_8bPPaoi2EFjHVy10_rRJ0uvy6YcU"",""X:X""), IMPORTRANGE(""17XjIPGwafStTRf_8bPPaoi2EFjHVy10_rRJ0uvy6YcU"",""AK:AK"")) - SUMPRODUCT((IMPORTR"&amp;"ANGE(""17XjIPGwafStTRf_8bPPaoi2EFjHVy10_rRJ0uvy6YcU"",""M:M"")=B29)*1, IMPORTRANGE(""17XjIPGwafStTRf_8bPPaoi2EFjHVy10_rRJ0uvy6YcU"",""X:X""), IMPORTRANGE(""17XjIPGwafStTRf_8bPPaoi2EFjHVy10_rRJ0uvy6YcU"",""AL:AL""))"),196338.0)</f>
        <v>196338</v>
      </c>
      <c r="D29" s="24">
        <f>IFERROR(__xludf.DUMMYFUNCTION("SUMPRODUCT((IMPORTRANGE(""17XjIPGwafStTRf_8bPPaoi2EFjHVy10_rRJ0uvy6YcU"",""M:M"")=B29)*1, IMPORTRANGE(""17XjIPGwafStTRf_8bPPaoi2EFjHVy10_rRJ0uvy6YcU"",""X:X""), IMPORTRANGE(""17XjIPGwafStTRf_8bPPaoi2EFjHVy10_rRJ0uvy6YcU"",""AA:AA"")) + SUMPRODUCT((IMPORTR"&amp;"ANGE(""17XjIPGwafStTRf_8bPPaoi2EFjHVy10_rRJ0uvy6YcU"",""M:M"")=B29)*1, IMPORTRANGE(""17XjIPGwafStTRf_8bPPaoi2EFjHVy10_rRJ0uvy6YcU"",""X:X""), IMPORTRANGE(""17XjIPGwafStTRf_8bPPaoi2EFjHVy10_rRJ0uvy6YcU"",""AE:AE"")) + SUMPRODUCT((IMPORTRANGE(""17XjIPGwafSt"&amp;"TRf_8bPPaoi2EFjHVy10_rRJ0uvy6YcU"",""M:M"")=B29)*1, IMPORTRANGE(""17XjIPGwafStTRf_8bPPaoi2EFjHVy10_rRJ0uvy6YcU"",""X:X""), IMPORTRANGE(""17XjIPGwafStTRf_8bPPaoi2EFjHVy10_rRJ0uvy6YcU"",""AF:AF""))"),129135.31328253899)</f>
        <v>129135.3133</v>
      </c>
      <c r="E29" s="24">
        <f>IFERROR(__xludf.DUMMYFUNCTION("SUMPRODUCT((IMPORTRANGE(""17XjIPGwafStTRf_8bPPaoi2EFjHVy10_rRJ0uvy6YcU"",""M:M"")=B29)*1, IMPORTRANGE(""17XjIPGwafStTRf_8bPPaoi2EFjHVy10_rRJ0uvy6YcU"",""X:X""), IMPORTRANGE(""17XjIPGwafStTRf_8bPPaoi2EFjHVy10_rRJ0uvy6YcU"",""AO:AO""))"),45000.56671746103)</f>
        <v>45000.56672</v>
      </c>
      <c r="F29" s="25">
        <f>IFERROR(__xludf.DUMMYFUNCTION("SUMPRODUCT((IMPORTRANGE(""17XjIPGwafStTRf_8bPPaoi2EFjHVy10_rRJ0uvy6YcU"",""M:M"")=B29)*1, IMPORTRANGE(""17XjIPGwafStTRf_8bPPaoi2EFjHVy10_rRJ0uvy6YcU"",""X:X""))"),40.0)</f>
        <v>40</v>
      </c>
      <c r="G29" s="26">
        <f>IFERROR(__xludf.DUMMYFUNCTION("COUNTIF(IMPORTRANGE(""17XjIPGwafStTRf_8bPPaoi2EFjHVy10_rRJ0uvy6YcU"",""M:M""), B29)"),22.0)</f>
        <v>22</v>
      </c>
      <c r="H29" s="27">
        <f t="shared" si="1"/>
        <v>1.818181818</v>
      </c>
      <c r="I29" s="28">
        <f t="shared" si="2"/>
        <v>0.229199476</v>
      </c>
      <c r="J29" s="29">
        <f t="shared" si="3"/>
        <v>0.3484760719</v>
      </c>
      <c r="K29" s="32"/>
      <c r="L29" s="31" t="str">
        <f t="shared" si="4"/>
        <v/>
      </c>
      <c r="M29" s="31" t="str">
        <f t="shared" si="5"/>
        <v/>
      </c>
      <c r="N29" s="4"/>
    </row>
    <row r="30">
      <c r="A30" s="1"/>
      <c r="B30" s="23">
        <f t="shared" si="6"/>
        <v>44706</v>
      </c>
      <c r="C30" s="24">
        <f>IFERROR(__xludf.DUMMYFUNCTION("SUMPRODUCT((IMPORTRANGE(""17XjIPGwafStTRf_8bPPaoi2EFjHVy10_rRJ0uvy6YcU"",""M:M"")=B30)*1, IMPORTRANGE(""17XjIPGwafStTRf_8bPPaoi2EFjHVy10_rRJ0uvy6YcU"",""X:X""), IMPORTRANGE(""17XjIPGwafStTRf_8bPPaoi2EFjHVy10_rRJ0uvy6YcU"",""AK:AK"")) - SUMPRODUCT((IMPORTR"&amp;"ANGE(""17XjIPGwafStTRf_8bPPaoi2EFjHVy10_rRJ0uvy6YcU"",""M:M"")=B30)*1, IMPORTRANGE(""17XjIPGwafStTRf_8bPPaoi2EFjHVy10_rRJ0uvy6YcU"",""X:X""), IMPORTRANGE(""17XjIPGwafStTRf_8bPPaoi2EFjHVy10_rRJ0uvy6YcU"",""AL:AL""))"),549614.0)</f>
        <v>549614</v>
      </c>
      <c r="D30" s="24">
        <f>IFERROR(__xludf.DUMMYFUNCTION("SUMPRODUCT((IMPORTRANGE(""17XjIPGwafStTRf_8bPPaoi2EFjHVy10_rRJ0uvy6YcU"",""M:M"")=B30)*1, IMPORTRANGE(""17XjIPGwafStTRf_8bPPaoi2EFjHVy10_rRJ0uvy6YcU"",""X:X""), IMPORTRANGE(""17XjIPGwafStTRf_8bPPaoi2EFjHVy10_rRJ0uvy6YcU"",""AA:AA"")) + SUMPRODUCT((IMPORTR"&amp;"ANGE(""17XjIPGwafStTRf_8bPPaoi2EFjHVy10_rRJ0uvy6YcU"",""M:M"")=B30)*1, IMPORTRANGE(""17XjIPGwafStTRf_8bPPaoi2EFjHVy10_rRJ0uvy6YcU"",""X:X""), IMPORTRANGE(""17XjIPGwafStTRf_8bPPaoi2EFjHVy10_rRJ0uvy6YcU"",""AE:AE"")) + SUMPRODUCT((IMPORTRANGE(""17XjIPGwafSt"&amp;"TRf_8bPPaoi2EFjHVy10_rRJ0uvy6YcU"",""M:M"")=B30)*1, IMPORTRANGE(""17XjIPGwafStTRf_8bPPaoi2EFjHVy10_rRJ0uvy6YcU"",""X:X""), IMPORTRANGE(""17XjIPGwafStTRf_8bPPaoi2EFjHVy10_rRJ0uvy6YcU"",""AF:AF""))"),340036.3868796474)</f>
        <v>340036.3869</v>
      </c>
      <c r="E30" s="24">
        <f>IFERROR(__xludf.DUMMYFUNCTION("SUMPRODUCT((IMPORTRANGE(""17XjIPGwafStTRf_8bPPaoi2EFjHVy10_rRJ0uvy6YcU"",""M:M"")=B30)*1, IMPORTRANGE(""17XjIPGwafStTRf_8bPPaoi2EFjHVy10_rRJ0uvy6YcU"",""X:X""), IMPORTRANGE(""17XjIPGwafStTRf_8bPPaoi2EFjHVy10_rRJ0uvy6YcU"",""AO:AO""))"),113492.31312035256)</f>
        <v>113492.3131</v>
      </c>
      <c r="F30" s="25">
        <f>IFERROR(__xludf.DUMMYFUNCTION("SUMPRODUCT((IMPORTRANGE(""17XjIPGwafStTRf_8bPPaoi2EFjHVy10_rRJ0uvy6YcU"",""M:M"")=B30)*1, IMPORTRANGE(""17XjIPGwafStTRf_8bPPaoi2EFjHVy10_rRJ0uvy6YcU"",""X:X""))"),89.0)</f>
        <v>89</v>
      </c>
      <c r="G30" s="26">
        <f>IFERROR(__xludf.DUMMYFUNCTION("COUNTIF(IMPORTRANGE(""17XjIPGwafStTRf_8bPPaoi2EFjHVy10_rRJ0uvy6YcU"",""M:M""), B30)"),49.0)</f>
        <v>49</v>
      </c>
      <c r="H30" s="27">
        <f t="shared" si="1"/>
        <v>1.816326531</v>
      </c>
      <c r="I30" s="28">
        <f t="shared" si="2"/>
        <v>0.2064945819</v>
      </c>
      <c r="J30" s="29">
        <f t="shared" si="3"/>
        <v>0.3337652013</v>
      </c>
      <c r="K30" s="30"/>
      <c r="L30" s="31" t="str">
        <f t="shared" si="4"/>
        <v/>
      </c>
      <c r="M30" s="31" t="str">
        <f t="shared" si="5"/>
        <v/>
      </c>
      <c r="N30" s="4"/>
    </row>
    <row r="31">
      <c r="A31" s="1"/>
      <c r="B31" s="23">
        <f t="shared" si="6"/>
        <v>44707</v>
      </c>
      <c r="C31" s="24">
        <f>IFERROR(__xludf.DUMMYFUNCTION("SUMPRODUCT((IMPORTRANGE(""17XjIPGwafStTRf_8bPPaoi2EFjHVy10_rRJ0uvy6YcU"",""M:M"")=B31)*1, IMPORTRANGE(""17XjIPGwafStTRf_8bPPaoi2EFjHVy10_rRJ0uvy6YcU"",""X:X""), IMPORTRANGE(""17XjIPGwafStTRf_8bPPaoi2EFjHVy10_rRJ0uvy6YcU"",""AK:AK"")) - SUMPRODUCT((IMPORTR"&amp;"ANGE(""17XjIPGwafStTRf_8bPPaoi2EFjHVy10_rRJ0uvy6YcU"",""M:M"")=B31)*1, IMPORTRANGE(""17XjIPGwafStTRf_8bPPaoi2EFjHVy10_rRJ0uvy6YcU"",""X:X""), IMPORTRANGE(""17XjIPGwafStTRf_8bPPaoi2EFjHVy10_rRJ0uvy6YcU"",""AL:AL""))"),438108.0)</f>
        <v>438108</v>
      </c>
      <c r="D31" s="24">
        <f>IFERROR(__xludf.DUMMYFUNCTION("SUMPRODUCT((IMPORTRANGE(""17XjIPGwafStTRf_8bPPaoi2EFjHVy10_rRJ0uvy6YcU"",""M:M"")=B31)*1, IMPORTRANGE(""17XjIPGwafStTRf_8bPPaoi2EFjHVy10_rRJ0uvy6YcU"",""X:X""), IMPORTRANGE(""17XjIPGwafStTRf_8bPPaoi2EFjHVy10_rRJ0uvy6YcU"",""AA:AA"")) + SUMPRODUCT((IMPORTR"&amp;"ANGE(""17XjIPGwafStTRf_8bPPaoi2EFjHVy10_rRJ0uvy6YcU"",""M:M"")=B31)*1, IMPORTRANGE(""17XjIPGwafStTRf_8bPPaoi2EFjHVy10_rRJ0uvy6YcU"",""X:X""), IMPORTRANGE(""17XjIPGwafStTRf_8bPPaoi2EFjHVy10_rRJ0uvy6YcU"",""AE:AE"")) + SUMPRODUCT((IMPORTRANGE(""17XjIPGwafSt"&amp;"TRf_8bPPaoi2EFjHVy10_rRJ0uvy6YcU"",""M:M"")=B31)*1, IMPORTRANGE(""17XjIPGwafStTRf_8bPPaoi2EFjHVy10_rRJ0uvy6YcU"",""X:X""), IMPORTRANGE(""17XjIPGwafStTRf_8bPPaoi2EFjHVy10_rRJ0uvy6YcU"",""AF:AF""))"),244391.38043906694)</f>
        <v>244391.3804</v>
      </c>
      <c r="E31" s="24">
        <f>IFERROR(__xludf.DUMMYFUNCTION("SUMPRODUCT((IMPORTRANGE(""17XjIPGwafStTRf_8bPPaoi2EFjHVy10_rRJ0uvy6YcU"",""M:M"")=B31)*1, IMPORTRANGE(""17XjIPGwafStTRf_8bPPaoi2EFjHVy10_rRJ0uvy6YcU"",""X:X""), IMPORTRANGE(""17XjIPGwafStTRf_8bPPaoi2EFjHVy10_rRJ0uvy6YcU"",""AO:AO""))"),110429.21956093307)</f>
        <v>110429.2196</v>
      </c>
      <c r="F31" s="25">
        <f>IFERROR(__xludf.DUMMYFUNCTION("SUMPRODUCT((IMPORTRANGE(""17XjIPGwafStTRf_8bPPaoi2EFjHVy10_rRJ0uvy6YcU"",""M:M"")=B31)*1, IMPORTRANGE(""17XjIPGwafStTRf_8bPPaoi2EFjHVy10_rRJ0uvy6YcU"",""X:X""))"),87.0)</f>
        <v>87</v>
      </c>
      <c r="G31" s="26">
        <f>IFERROR(__xludf.DUMMYFUNCTION("COUNTIF(IMPORTRANGE(""17XjIPGwafStTRf_8bPPaoi2EFjHVy10_rRJ0uvy6YcU"",""M:M""), B31)"),39.0)</f>
        <v>39</v>
      </c>
      <c r="H31" s="27">
        <f t="shared" si="1"/>
        <v>2.230769231</v>
      </c>
      <c r="I31" s="28">
        <f t="shared" si="2"/>
        <v>0.2520593542</v>
      </c>
      <c r="J31" s="29">
        <f t="shared" si="3"/>
        <v>0.4518539867</v>
      </c>
      <c r="K31" s="30"/>
      <c r="L31" s="31" t="str">
        <f t="shared" si="4"/>
        <v/>
      </c>
      <c r="M31" s="31" t="str">
        <f t="shared" si="5"/>
        <v/>
      </c>
      <c r="N31" s="4"/>
    </row>
    <row r="32">
      <c r="A32" s="1"/>
      <c r="B32" s="23">
        <f t="shared" si="6"/>
        <v>44708</v>
      </c>
      <c r="C32" s="24">
        <f>IFERROR(__xludf.DUMMYFUNCTION("SUMPRODUCT((IMPORTRANGE(""17XjIPGwafStTRf_8bPPaoi2EFjHVy10_rRJ0uvy6YcU"",""M:M"")=B32)*1, IMPORTRANGE(""17XjIPGwafStTRf_8bPPaoi2EFjHVy10_rRJ0uvy6YcU"",""X:X""), IMPORTRANGE(""17XjIPGwafStTRf_8bPPaoi2EFjHVy10_rRJ0uvy6YcU"",""AK:AK"")) - SUMPRODUCT((IMPORTR"&amp;"ANGE(""17XjIPGwafStTRf_8bPPaoi2EFjHVy10_rRJ0uvy6YcU"",""M:M"")=B32)*1, IMPORTRANGE(""17XjIPGwafStTRf_8bPPaoi2EFjHVy10_rRJ0uvy6YcU"",""X:X""), IMPORTRANGE(""17XjIPGwafStTRf_8bPPaoi2EFjHVy10_rRJ0uvy6YcU"",""AL:AL""))"),990026.0)</f>
        <v>990026</v>
      </c>
      <c r="D32" s="24">
        <f>IFERROR(__xludf.DUMMYFUNCTION("SUMPRODUCT((IMPORTRANGE(""17XjIPGwafStTRf_8bPPaoi2EFjHVy10_rRJ0uvy6YcU"",""M:M"")=B32)*1, IMPORTRANGE(""17XjIPGwafStTRf_8bPPaoi2EFjHVy10_rRJ0uvy6YcU"",""X:X""), IMPORTRANGE(""17XjIPGwafStTRf_8bPPaoi2EFjHVy10_rRJ0uvy6YcU"",""AA:AA"")) + SUMPRODUCT((IMPORTR"&amp;"ANGE(""17XjIPGwafStTRf_8bPPaoi2EFjHVy10_rRJ0uvy6YcU"",""M:M"")=B32)*1, IMPORTRANGE(""17XjIPGwafStTRf_8bPPaoi2EFjHVy10_rRJ0uvy6YcU"",""X:X""), IMPORTRANGE(""17XjIPGwafStTRf_8bPPaoi2EFjHVy10_rRJ0uvy6YcU"",""AE:AE"")) + SUMPRODUCT((IMPORTRANGE(""17XjIPGwafSt"&amp;"TRf_8bPPaoi2EFjHVy10_rRJ0uvy6YcU"",""M:M"")=B32)*1, IMPORTRANGE(""17XjIPGwafStTRf_8bPPaoi2EFjHVy10_rRJ0uvy6YcU"",""X:X""), IMPORTRANGE(""17XjIPGwafStTRf_8bPPaoi2EFjHVy10_rRJ0uvy6YcU"",""AF:AF""))"),608701.6111167792)</f>
        <v>608701.6111</v>
      </c>
      <c r="E32" s="24">
        <f>IFERROR(__xludf.DUMMYFUNCTION("SUMPRODUCT((IMPORTRANGE(""17XjIPGwafStTRf_8bPPaoi2EFjHVy10_rRJ0uvy6YcU"",""M:M"")=B32)*1, IMPORTRANGE(""17XjIPGwafStTRf_8bPPaoi2EFjHVy10_rRJ0uvy6YcU"",""X:X""), IMPORTRANGE(""17XjIPGwafStTRf_8bPPaoi2EFjHVy10_rRJ0uvy6YcU"",""AO:AO""))"),293168.8017010709)</f>
        <v>293168.8017</v>
      </c>
      <c r="F32" s="25">
        <f>IFERROR(__xludf.DUMMYFUNCTION("SUMPRODUCT((IMPORTRANGE(""17XjIPGwafStTRf_8bPPaoi2EFjHVy10_rRJ0uvy6YcU"",""M:M"")=B32)*1, IMPORTRANGE(""17XjIPGwafStTRf_8bPPaoi2EFjHVy10_rRJ0uvy6YcU"",""X:X""))"),164.0)</f>
        <v>164</v>
      </c>
      <c r="G32" s="26">
        <f>IFERROR(__xludf.DUMMYFUNCTION("COUNTIF(IMPORTRANGE(""17XjIPGwafStTRf_8bPPaoi2EFjHVy10_rRJ0uvy6YcU"",""M:M""), B32)"),25.0)</f>
        <v>25</v>
      </c>
      <c r="H32" s="27">
        <f t="shared" si="1"/>
        <v>6.56</v>
      </c>
      <c r="I32" s="28">
        <f t="shared" si="2"/>
        <v>0.2961223258</v>
      </c>
      <c r="J32" s="29">
        <f t="shared" si="3"/>
        <v>0.4816297449</v>
      </c>
      <c r="K32" s="32"/>
      <c r="L32" s="31" t="str">
        <f t="shared" si="4"/>
        <v/>
      </c>
      <c r="M32" s="31" t="str">
        <f t="shared" si="5"/>
        <v/>
      </c>
      <c r="N32" s="4"/>
    </row>
    <row r="33">
      <c r="A33" s="1"/>
      <c r="B33" s="23">
        <f t="shared" si="6"/>
        <v>44709</v>
      </c>
      <c r="C33" s="24">
        <f>IFERROR(__xludf.DUMMYFUNCTION("SUMPRODUCT((IMPORTRANGE(""17XjIPGwafStTRf_8bPPaoi2EFjHVy10_rRJ0uvy6YcU"",""M:M"")=B33)*1, IMPORTRANGE(""17XjIPGwafStTRf_8bPPaoi2EFjHVy10_rRJ0uvy6YcU"",""X:X""), IMPORTRANGE(""17XjIPGwafStTRf_8bPPaoi2EFjHVy10_rRJ0uvy6YcU"",""AK:AK"")) - SUMPRODUCT((IMPORTR"&amp;"ANGE(""17XjIPGwafStTRf_8bPPaoi2EFjHVy10_rRJ0uvy6YcU"",""M:M"")=B33)*1, IMPORTRANGE(""17XjIPGwafStTRf_8bPPaoi2EFjHVy10_rRJ0uvy6YcU"",""X:X""), IMPORTRANGE(""17XjIPGwafStTRf_8bPPaoi2EFjHVy10_rRJ0uvy6YcU"",""AL:AL""))"),450988.0)</f>
        <v>450988</v>
      </c>
      <c r="D33" s="24">
        <f>IFERROR(__xludf.DUMMYFUNCTION("SUMPRODUCT((IMPORTRANGE(""17XjIPGwafStTRf_8bPPaoi2EFjHVy10_rRJ0uvy6YcU"",""M:M"")=B33)*1, IMPORTRANGE(""17XjIPGwafStTRf_8bPPaoi2EFjHVy10_rRJ0uvy6YcU"",""X:X""), IMPORTRANGE(""17XjIPGwafStTRf_8bPPaoi2EFjHVy10_rRJ0uvy6YcU"",""AA:AA"")) + SUMPRODUCT((IMPORTR"&amp;"ANGE(""17XjIPGwafStTRf_8bPPaoi2EFjHVy10_rRJ0uvy6YcU"",""M:M"")=B33)*1, IMPORTRANGE(""17XjIPGwafStTRf_8bPPaoi2EFjHVy10_rRJ0uvy6YcU"",""X:X""), IMPORTRANGE(""17XjIPGwafStTRf_8bPPaoi2EFjHVy10_rRJ0uvy6YcU"",""AE:AE"")) + SUMPRODUCT((IMPORTRANGE(""17XjIPGwafSt"&amp;"TRf_8bPPaoi2EFjHVy10_rRJ0uvy6YcU"",""M:M"")=B33)*1, IMPORTRANGE(""17XjIPGwafStTRf_8bPPaoi2EFjHVy10_rRJ0uvy6YcU"",""X:X""), IMPORTRANGE(""17XjIPGwafStTRf_8bPPaoi2EFjHVy10_rRJ0uvy6YcU"",""AF:AF""))"),237161.50708830613)</f>
        <v>237161.5071</v>
      </c>
      <c r="E33" s="24">
        <f>IFERROR(__xludf.DUMMYFUNCTION("SUMPRODUCT((IMPORTRANGE(""17XjIPGwafStTRf_8bPPaoi2EFjHVy10_rRJ0uvy6YcU"",""M:M"")=B33)*1, IMPORTRANGE(""17XjIPGwafStTRf_8bPPaoi2EFjHVy10_rRJ0uvy6YcU"",""X:X""), IMPORTRANGE(""17XjIPGwafStTRf_8bPPaoi2EFjHVy10_rRJ0uvy6YcU"",""AO:AO""))"),114599.09291169391)</f>
        <v>114599.0929</v>
      </c>
      <c r="F33" s="25">
        <f>IFERROR(__xludf.DUMMYFUNCTION("SUMPRODUCT((IMPORTRANGE(""17XjIPGwafStTRf_8bPPaoi2EFjHVy10_rRJ0uvy6YcU"",""M:M"")=B33)*1, IMPORTRANGE(""17XjIPGwafStTRf_8bPPaoi2EFjHVy10_rRJ0uvy6YcU"",""X:X""))"),111.0)</f>
        <v>111</v>
      </c>
      <c r="G33" s="26">
        <f>IFERROR(__xludf.DUMMYFUNCTION("COUNTIF(IMPORTRANGE(""17XjIPGwafStTRf_8bPPaoi2EFjHVy10_rRJ0uvy6YcU"",""M:M""), B33)"),29.0)</f>
        <v>29</v>
      </c>
      <c r="H33" s="27">
        <f t="shared" si="1"/>
        <v>3.827586207</v>
      </c>
      <c r="I33" s="28">
        <f t="shared" si="2"/>
        <v>0.2541067454</v>
      </c>
      <c r="J33" s="29">
        <f t="shared" si="3"/>
        <v>0.4832111851</v>
      </c>
      <c r="K33" s="30"/>
      <c r="L33" s="31" t="str">
        <f t="shared" si="4"/>
        <v/>
      </c>
      <c r="M33" s="31" t="str">
        <f t="shared" si="5"/>
        <v/>
      </c>
      <c r="N33" s="4"/>
    </row>
    <row r="34">
      <c r="A34" s="1"/>
      <c r="B34" s="23">
        <f t="shared" ref="B34:B36" si="7">IFERROR(IF(MONTH(B33)=MONTH(B33+1),B33+1,"--"),"--")</f>
        <v>44710</v>
      </c>
      <c r="C34" s="24">
        <f>IFERROR(__xludf.DUMMYFUNCTION("SUMPRODUCT((IMPORTRANGE(""17XjIPGwafStTRf_8bPPaoi2EFjHVy10_rRJ0uvy6YcU"",""M:M"")=B34)*1, IMPORTRANGE(""17XjIPGwafStTRf_8bPPaoi2EFjHVy10_rRJ0uvy6YcU"",""X:X""), IMPORTRANGE(""17XjIPGwafStTRf_8bPPaoi2EFjHVy10_rRJ0uvy6YcU"",""AK:AK"")) - SUMPRODUCT((IMPORTR"&amp;"ANGE(""17XjIPGwafStTRf_8bPPaoi2EFjHVy10_rRJ0uvy6YcU"",""M:M"")=B34)*1, IMPORTRANGE(""17XjIPGwafStTRf_8bPPaoi2EFjHVy10_rRJ0uvy6YcU"",""X:X""), IMPORTRANGE(""17XjIPGwafStTRf_8bPPaoi2EFjHVy10_rRJ0uvy6YcU"",""AL:AL""))"),196010.0)</f>
        <v>196010</v>
      </c>
      <c r="D34" s="24">
        <f>IFERROR(__xludf.DUMMYFUNCTION("SUMPRODUCT((IMPORTRANGE(""17XjIPGwafStTRf_8bPPaoi2EFjHVy10_rRJ0uvy6YcU"",""M:M"")=B34)*1, IMPORTRANGE(""17XjIPGwafStTRf_8bPPaoi2EFjHVy10_rRJ0uvy6YcU"",""X:X""), IMPORTRANGE(""17XjIPGwafStTRf_8bPPaoi2EFjHVy10_rRJ0uvy6YcU"",""AA:AA"")) + SUMPRODUCT((IMPORTR"&amp;"ANGE(""17XjIPGwafStTRf_8bPPaoi2EFjHVy10_rRJ0uvy6YcU"",""M:M"")=B34)*1, IMPORTRANGE(""17XjIPGwafStTRf_8bPPaoi2EFjHVy10_rRJ0uvy6YcU"",""X:X""), IMPORTRANGE(""17XjIPGwafStTRf_8bPPaoi2EFjHVy10_rRJ0uvy6YcU"",""AE:AE"")) + SUMPRODUCT((IMPORTRANGE(""17XjIPGwafSt"&amp;"TRf_8bPPaoi2EFjHVy10_rRJ0uvy6YcU"",""M:M"")=B34)*1, IMPORTRANGE(""17XjIPGwafStTRf_8bPPaoi2EFjHVy10_rRJ0uvy6YcU"",""X:X""), IMPORTRANGE(""17XjIPGwafStTRf_8bPPaoi2EFjHVy10_rRJ0uvy6YcU"",""AF:AF""))"),117119.29569733706)</f>
        <v>117119.2957</v>
      </c>
      <c r="E34" s="24">
        <f>IFERROR(__xludf.DUMMYFUNCTION("SUMPRODUCT((IMPORTRANGE(""17XjIPGwafStTRf_8bPPaoi2EFjHVy10_rRJ0uvy6YcU"",""M:M"")=B34)*1, IMPORTRANGE(""17XjIPGwafStTRf_8bPPaoi2EFjHVy10_rRJ0uvy6YcU"",""X:X""), IMPORTRANGE(""17XjIPGwafStTRf_8bPPaoi2EFjHVy10_rRJ0uvy6YcU"",""AO:AO""))"),40813.804302662946)</f>
        <v>40813.8043</v>
      </c>
      <c r="F34" s="25">
        <f>IFERROR(__xludf.DUMMYFUNCTION("SUMPRODUCT((IMPORTRANGE(""17XjIPGwafStTRf_8bPPaoi2EFjHVy10_rRJ0uvy6YcU"",""M:M"")=B34)*1, IMPORTRANGE(""17XjIPGwafStTRf_8bPPaoi2EFjHVy10_rRJ0uvy6YcU"",""X:X""))"),36.0)</f>
        <v>36</v>
      </c>
      <c r="G34" s="26">
        <f>IFERROR(__xludf.DUMMYFUNCTION("COUNTIF(IMPORTRANGE(""17XjIPGwafStTRf_8bPPaoi2EFjHVy10_rRJ0uvy6YcU"",""M:M""), B34)"),21.0)</f>
        <v>21</v>
      </c>
      <c r="H34" s="27">
        <f t="shared" si="1"/>
        <v>1.714285714</v>
      </c>
      <c r="I34" s="28">
        <f t="shared" si="2"/>
        <v>0.2082230718</v>
      </c>
      <c r="J34" s="29">
        <f t="shared" si="3"/>
        <v>0.3484806159</v>
      </c>
      <c r="K34" s="30"/>
      <c r="L34" s="31" t="str">
        <f t="shared" si="4"/>
        <v/>
      </c>
      <c r="M34" s="31" t="str">
        <f t="shared" si="5"/>
        <v/>
      </c>
      <c r="N34" s="4"/>
    </row>
    <row r="35">
      <c r="A35" s="1"/>
      <c r="B35" s="23">
        <f t="shared" si="7"/>
        <v>44711</v>
      </c>
      <c r="C35" s="24">
        <f>IFERROR(__xludf.DUMMYFUNCTION("SUMPRODUCT((IMPORTRANGE(""17XjIPGwafStTRf_8bPPaoi2EFjHVy10_rRJ0uvy6YcU"",""M:M"")=B35)*1, IMPORTRANGE(""17XjIPGwafStTRf_8bPPaoi2EFjHVy10_rRJ0uvy6YcU"",""X:X""), IMPORTRANGE(""17XjIPGwafStTRf_8bPPaoi2EFjHVy10_rRJ0uvy6YcU"",""AK:AK"")) - SUMPRODUCT((IMPORTR"&amp;"ANGE(""17XjIPGwafStTRf_8bPPaoi2EFjHVy10_rRJ0uvy6YcU"",""M:M"")=B35)*1, IMPORTRANGE(""17XjIPGwafStTRf_8bPPaoi2EFjHVy10_rRJ0uvy6YcU"",""X:X""), IMPORTRANGE(""17XjIPGwafStTRf_8bPPaoi2EFjHVy10_rRJ0uvy6YcU"",""AL:AL""))"),374796.0)</f>
        <v>374796</v>
      </c>
      <c r="D35" s="24">
        <f>IFERROR(__xludf.DUMMYFUNCTION("SUMPRODUCT((IMPORTRANGE(""17XjIPGwafStTRf_8bPPaoi2EFjHVy10_rRJ0uvy6YcU"",""M:M"")=B35)*1, IMPORTRANGE(""17XjIPGwafStTRf_8bPPaoi2EFjHVy10_rRJ0uvy6YcU"",""X:X""), IMPORTRANGE(""17XjIPGwafStTRf_8bPPaoi2EFjHVy10_rRJ0uvy6YcU"",""AA:AA"")) + SUMPRODUCT((IMPORTR"&amp;"ANGE(""17XjIPGwafStTRf_8bPPaoi2EFjHVy10_rRJ0uvy6YcU"",""M:M"")=B35)*1, IMPORTRANGE(""17XjIPGwafStTRf_8bPPaoi2EFjHVy10_rRJ0uvy6YcU"",""X:X""), IMPORTRANGE(""17XjIPGwafStTRf_8bPPaoi2EFjHVy10_rRJ0uvy6YcU"",""AE:AE"")) + SUMPRODUCT((IMPORTRANGE(""17XjIPGwafSt"&amp;"TRf_8bPPaoi2EFjHVy10_rRJ0uvy6YcU"",""M:M"")=B35)*1, IMPORTRANGE(""17XjIPGwafStTRf_8bPPaoi2EFjHVy10_rRJ0uvy6YcU"",""X:X""), IMPORTRANGE(""17XjIPGwafStTRf_8bPPaoi2EFjHVy10_rRJ0uvy6YcU"",""AF:AF""))"),232333.7306754537)</f>
        <v>232333.7307</v>
      </c>
      <c r="E35" s="24">
        <f>IFERROR(__xludf.DUMMYFUNCTION("SUMPRODUCT((IMPORTRANGE(""17XjIPGwafStTRf_8bPPaoi2EFjHVy10_rRJ0uvy6YcU"",""M:M"")=B35)*1, IMPORTRANGE(""17XjIPGwafStTRf_8bPPaoi2EFjHVy10_rRJ0uvy6YcU"",""X:X""), IMPORTRANGE(""17XjIPGwafStTRf_8bPPaoi2EFjHVy10_rRJ0uvy6YcU"",""AO:AO""))"),83496.76677382166)</f>
        <v>83496.76677</v>
      </c>
      <c r="F35" s="25">
        <f>IFERROR(__xludf.DUMMYFUNCTION("SUMPRODUCT((IMPORTRANGE(""17XjIPGwafStTRf_8bPPaoi2EFjHVy10_rRJ0uvy6YcU"",""M:M"")=B35)*1, IMPORTRANGE(""17XjIPGwafStTRf_8bPPaoi2EFjHVy10_rRJ0uvy6YcU"",""X:X""))"),60.0)</f>
        <v>60</v>
      </c>
      <c r="G35" s="26">
        <f>IFERROR(__xludf.DUMMYFUNCTION("COUNTIF(IMPORTRANGE(""17XjIPGwafStTRf_8bPPaoi2EFjHVy10_rRJ0uvy6YcU"",""M:M""), B35)"),40.0)</f>
        <v>40</v>
      </c>
      <c r="H35" s="27">
        <f t="shared" si="1"/>
        <v>1.5</v>
      </c>
      <c r="I35" s="28">
        <f t="shared" si="2"/>
        <v>0.2227792366</v>
      </c>
      <c r="J35" s="29">
        <f t="shared" si="3"/>
        <v>0.3593828866</v>
      </c>
      <c r="K35" s="32"/>
      <c r="L35" s="31" t="str">
        <f t="shared" si="4"/>
        <v/>
      </c>
      <c r="M35" s="31" t="str">
        <f t="shared" si="5"/>
        <v/>
      </c>
      <c r="N35" s="4"/>
    </row>
    <row r="36">
      <c r="A36" s="1"/>
      <c r="B36" s="23">
        <f t="shared" si="7"/>
        <v>44712</v>
      </c>
      <c r="C36" s="24">
        <f>IFERROR(__xludf.DUMMYFUNCTION("SUMPRODUCT((IMPORTRANGE(""17XjIPGwafStTRf_8bPPaoi2EFjHVy10_rRJ0uvy6YcU"",""M:M"")=B36)*1, IMPORTRANGE(""17XjIPGwafStTRf_8bPPaoi2EFjHVy10_rRJ0uvy6YcU"",""X:X""), IMPORTRANGE(""17XjIPGwafStTRf_8bPPaoi2EFjHVy10_rRJ0uvy6YcU"",""AK:AK"")) - SUMPRODUCT((IMPORTR"&amp;"ANGE(""17XjIPGwafStTRf_8bPPaoi2EFjHVy10_rRJ0uvy6YcU"",""M:M"")=B36)*1, IMPORTRANGE(""17XjIPGwafStTRf_8bPPaoi2EFjHVy10_rRJ0uvy6YcU"",""X:X""), IMPORTRANGE(""17XjIPGwafStTRf_8bPPaoi2EFjHVy10_rRJ0uvy6YcU"",""AL:AL""))"),223238.0)</f>
        <v>223238</v>
      </c>
      <c r="D36" s="24">
        <f>IFERROR(__xludf.DUMMYFUNCTION("SUMPRODUCT((IMPORTRANGE(""17XjIPGwafStTRf_8bPPaoi2EFjHVy10_rRJ0uvy6YcU"",""M:M"")=B36)*1, IMPORTRANGE(""17XjIPGwafStTRf_8bPPaoi2EFjHVy10_rRJ0uvy6YcU"",""X:X""), IMPORTRANGE(""17XjIPGwafStTRf_8bPPaoi2EFjHVy10_rRJ0uvy6YcU"",""AA:AA"")) + SUMPRODUCT((IMPORTR"&amp;"ANGE(""17XjIPGwafStTRf_8bPPaoi2EFjHVy10_rRJ0uvy6YcU"",""M:M"")=B36)*1, IMPORTRANGE(""17XjIPGwafStTRf_8bPPaoi2EFjHVy10_rRJ0uvy6YcU"",""X:X""), IMPORTRANGE(""17XjIPGwafStTRf_8bPPaoi2EFjHVy10_rRJ0uvy6YcU"",""AE:AE"")) + SUMPRODUCT((IMPORTRANGE(""17XjIPGwafSt"&amp;"TRf_8bPPaoi2EFjHVy10_rRJ0uvy6YcU"",""M:M"")=B36)*1, IMPORTRANGE(""17XjIPGwafStTRf_8bPPaoi2EFjHVy10_rRJ0uvy6YcU"",""X:X""), IMPORTRANGE(""17XjIPGwafStTRf_8bPPaoi2EFjHVy10_rRJ0uvy6YcU"",""AF:AF""))"),154441.86219412333)</f>
        <v>154441.8622</v>
      </c>
      <c r="E36" s="24">
        <f>IFERROR(__xludf.DUMMYFUNCTION("SUMPRODUCT((IMPORTRANGE(""17XjIPGwafStTRf_8bPPaoi2EFjHVy10_rRJ0uvy6YcU"",""M:M"")=B36)*1, IMPORTRANGE(""17XjIPGwafStTRf_8bPPaoi2EFjHVy10_rRJ0uvy6YcU"",""X:X""), IMPORTRANGE(""17XjIPGwafStTRf_8bPPaoi2EFjHVy10_rRJ0uvy6YcU"",""AO:AO""))"),31404.837805876683)</f>
        <v>31404.83781</v>
      </c>
      <c r="F36" s="25">
        <f>IFERROR(__xludf.DUMMYFUNCTION("SUMPRODUCT((IMPORTRANGE(""17XjIPGwafStTRf_8bPPaoi2EFjHVy10_rRJ0uvy6YcU"",""M:M"")=B36)*1, IMPORTRANGE(""17XjIPGwafStTRf_8bPPaoi2EFjHVy10_rRJ0uvy6YcU"",""X:X""))"),38.0)</f>
        <v>38</v>
      </c>
      <c r="G36" s="26">
        <f>IFERROR(__xludf.DUMMYFUNCTION("COUNTIF(IMPORTRANGE(""17XjIPGwafStTRf_8bPPaoi2EFjHVy10_rRJ0uvy6YcU"",""M:M""), B36)"),20.0)</f>
        <v>20</v>
      </c>
      <c r="H36" s="27">
        <f t="shared" si="1"/>
        <v>1.9</v>
      </c>
      <c r="I36" s="28">
        <f t="shared" si="2"/>
        <v>0.1406787277</v>
      </c>
      <c r="J36" s="29">
        <f t="shared" si="3"/>
        <v>0.2033440763</v>
      </c>
      <c r="K36" s="30"/>
      <c r="L36" s="31" t="str">
        <f>if(B36="","",IF(K36="","",E36/K36))</f>
        <v/>
      </c>
      <c r="M36" s="31" t="str">
        <f>if(B36="","",IF(K36="","",D36/K36))</f>
        <v/>
      </c>
      <c r="N36" s="4"/>
    </row>
    <row r="37">
      <c r="A37" s="4"/>
      <c r="B37" s="33" t="s">
        <v>16</v>
      </c>
      <c r="C37" s="34">
        <f t="shared" ref="C37:H37" si="8">SUM(C6:C36)</f>
        <v>12431595.6</v>
      </c>
      <c r="D37" s="34">
        <f t="shared" si="8"/>
        <v>7529769.664</v>
      </c>
      <c r="E37" s="34">
        <f t="shared" si="8"/>
        <v>2832740.111</v>
      </c>
      <c r="F37" s="34">
        <f t="shared" si="8"/>
        <v>2456</v>
      </c>
      <c r="G37" s="34">
        <f t="shared" si="8"/>
        <v>861</v>
      </c>
      <c r="H37" s="34">
        <f t="shared" si="8"/>
        <v>94.65007312</v>
      </c>
      <c r="I37" s="35">
        <f t="shared" si="2"/>
        <v>0.2278661728</v>
      </c>
      <c r="J37" s="35">
        <f t="shared" si="3"/>
        <v>0.3762054136</v>
      </c>
      <c r="K37" s="33">
        <f>SUM(K6:K36)</f>
        <v>0</v>
      </c>
      <c r="L37" s="34" t="str">
        <f>iferror(IF(K37="","",E37/K37),"")</f>
        <v/>
      </c>
      <c r="M37" s="34" t="str">
        <f>iferror(IF(K37="","",D37/K37),"")</f>
        <v/>
      </c>
      <c r="N37" s="4"/>
    </row>
    <row r="38">
      <c r="A38" s="4"/>
      <c r="B38" s="4"/>
      <c r="C38" s="4"/>
      <c r="D38" s="36" t="s">
        <v>17</v>
      </c>
      <c r="E38" s="4"/>
      <c r="F38" s="4"/>
      <c r="G38" s="4"/>
      <c r="H38" s="4"/>
      <c r="I38" s="4"/>
      <c r="J38" s="4"/>
      <c r="K38" s="4"/>
      <c r="L38" s="4"/>
      <c r="M38" s="4"/>
      <c r="N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.25"/>
    <col customWidth="1" min="2" max="2" width="7.38"/>
    <col customWidth="1" min="3" max="5" width="11.38"/>
    <col customWidth="1" min="6" max="8" width="5.75"/>
    <col customWidth="1" min="9" max="11" width="8.88"/>
    <col customWidth="1" min="12" max="13" width="11.38"/>
    <col customWidth="1" min="14" max="14" width="2.38"/>
  </cols>
  <sheetData>
    <row r="1" ht="7.5" customHeight="1">
      <c r="A1" s="1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</row>
    <row r="2">
      <c r="A2" s="1"/>
      <c r="B2" s="5">
        <v>44652.0</v>
      </c>
      <c r="C2" s="6"/>
      <c r="D2" s="3"/>
      <c r="E2" s="4"/>
      <c r="F2" s="4"/>
      <c r="G2" s="4"/>
      <c r="H2" s="4"/>
      <c r="I2" s="4"/>
      <c r="J2" s="4"/>
      <c r="K2" s="4"/>
      <c r="L2" s="7" t="s">
        <v>0</v>
      </c>
      <c r="M2" s="8">
        <v>1.5</v>
      </c>
      <c r="N2" s="4"/>
    </row>
    <row r="3">
      <c r="A3" s="4"/>
      <c r="B3" s="9" t="s">
        <v>1</v>
      </c>
      <c r="C3" s="10">
        <f>iferror((E3*M2)/I37,"")</f>
        <v>17730688.15</v>
      </c>
      <c r="D3" s="11" t="s">
        <v>2</v>
      </c>
      <c r="E3" s="12">
        <v>2000000.0</v>
      </c>
      <c r="F3" s="13"/>
      <c r="G3" s="4"/>
      <c r="H3" s="4"/>
      <c r="I3" s="4"/>
      <c r="J3" s="4"/>
      <c r="K3" s="4"/>
      <c r="L3" s="14"/>
      <c r="M3" s="15"/>
      <c r="N3" s="13"/>
    </row>
    <row r="4">
      <c r="A4" s="4"/>
      <c r="B4" s="9" t="s">
        <v>3</v>
      </c>
      <c r="C4" s="16">
        <f>iferror(C37/C3,"")</f>
        <v>0.8348601518</v>
      </c>
      <c r="D4" s="9"/>
      <c r="E4" s="16"/>
      <c r="F4" s="4"/>
      <c r="G4" s="4"/>
      <c r="H4" s="4"/>
      <c r="I4" s="4"/>
      <c r="J4" s="4"/>
      <c r="K4" s="17"/>
      <c r="L4" s="4"/>
      <c r="M4" s="4"/>
      <c r="N4" s="4"/>
    </row>
    <row r="5" ht="28.5" customHeight="1">
      <c r="A5" s="18"/>
      <c r="B5" s="19" t="s">
        <v>4</v>
      </c>
      <c r="C5" s="20" t="s">
        <v>5</v>
      </c>
      <c r="D5" s="20" t="s">
        <v>6</v>
      </c>
      <c r="E5" s="20" t="s">
        <v>7</v>
      </c>
      <c r="F5" s="21" t="s">
        <v>8</v>
      </c>
      <c r="G5" s="22" t="s">
        <v>9</v>
      </c>
      <c r="H5" s="22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18"/>
    </row>
    <row r="6">
      <c r="A6" s="1"/>
      <c r="B6" s="23">
        <f>B2</f>
        <v>44652</v>
      </c>
      <c r="C6" s="24">
        <f>IFERROR(__xludf.DUMMYFUNCTION("SUMPRODUCT((IMPORTRANGE(""17XjIPGwafStTRf_8bPPaoi2EFjHVy10_rRJ0uvy6YcU"",""M:M"")=B6)*1, IMPORTRANGE(""17XjIPGwafStTRf_8bPPaoi2EFjHVy10_rRJ0uvy6YcU"",""X:X""), IMPORTRANGE(""17XjIPGwafStTRf_8bPPaoi2EFjHVy10_rRJ0uvy6YcU"",""AK:AK"")) - SUMPRODUCT((IMPORTRA"&amp;"NGE(""17XjIPGwafStTRf_8bPPaoi2EFjHVy10_rRJ0uvy6YcU"",""M:M"")=B6)*1, IMPORTRANGE(""17XjIPGwafStTRf_8bPPaoi2EFjHVy10_rRJ0uvy6YcU"",""X:X""), IMPORTRANGE(""17XjIPGwafStTRf_8bPPaoi2EFjHVy10_rRJ0uvy6YcU"",""AL:AL""))"),441915.0)</f>
        <v>441915</v>
      </c>
      <c r="D6" s="24">
        <f>IFERROR(__xludf.DUMMYFUNCTION("SUMPRODUCT((IMPORTRANGE(""17XjIPGwafStTRf_8bPPaoi2EFjHVy10_rRJ0uvy6YcU"",""M:M"")=B6)*1, IMPORTRANGE(""17XjIPGwafStTRf_8bPPaoi2EFjHVy10_rRJ0uvy6YcU"",""X:X""), IMPORTRANGE(""17XjIPGwafStTRf_8bPPaoi2EFjHVy10_rRJ0uvy6YcU"",""AA:AA"")) + SUMPRODUCT((IMPORTRA"&amp;"NGE(""17XjIPGwafStTRf_8bPPaoi2EFjHVy10_rRJ0uvy6YcU"",""M:M"")=B6)*1, IMPORTRANGE(""17XjIPGwafStTRf_8bPPaoi2EFjHVy10_rRJ0uvy6YcU"",""X:X""), IMPORTRANGE(""17XjIPGwafStTRf_8bPPaoi2EFjHVy10_rRJ0uvy6YcU"",""AE:AE"")) + SUMPRODUCT((IMPORTRANGE(""17XjIPGwafStTR"&amp;"f_8bPPaoi2EFjHVy10_rRJ0uvy6YcU"",""M:M"")=B6)*1, IMPORTRANGE(""17XjIPGwafStTRf_8bPPaoi2EFjHVy10_rRJ0uvy6YcU"",""X:X""), IMPORTRANGE(""17XjIPGwafStTRf_8bPPaoi2EFjHVy10_rRJ0uvy6YcU"",""AF:AF""))"),300027.10876359575)</f>
        <v>300027.1088</v>
      </c>
      <c r="E6" s="24">
        <f>IFERROR(__xludf.DUMMYFUNCTION("SUMPRODUCT((IMPORTRANGE(""17XjIPGwafStTRf_8bPPaoi2EFjHVy10_rRJ0uvy6YcU"",""M:M"")=B6)*1, IMPORTRANGE(""17XjIPGwafStTRf_8bPPaoi2EFjHVy10_rRJ0uvy6YcU"",""X:X""), IMPORTRANGE(""17XjIPGwafStTRf_8bPPaoi2EFjHVy10_rRJ0uvy6YcU"",""AO:AO""))"),70656.99123640422)</f>
        <v>70656.99124</v>
      </c>
      <c r="F6" s="25">
        <f>IFERROR(__xludf.DUMMYFUNCTION("SUMPRODUCT((IMPORTRANGE(""17XjIPGwafStTRf_8bPPaoi2EFjHVy10_rRJ0uvy6YcU"",""M:M"")=B6)*1, IMPORTRANGE(""17XjIPGwafStTRf_8bPPaoi2EFjHVy10_rRJ0uvy6YcU"",""X:X""))"),66.0)</f>
        <v>66</v>
      </c>
      <c r="G6" s="26">
        <f>IFERROR(__xludf.DUMMYFUNCTION("COUNTIF(IMPORTRANGE(""17XjIPGwafStTRf_8bPPaoi2EFjHVy10_rRJ0uvy6YcU"",""M:M""), B6)"),33.0)</f>
        <v>33</v>
      </c>
      <c r="H6" s="27">
        <f t="shared" ref="H6:H36" si="1">IF(F6=0,"",F6/G6)</f>
        <v>2</v>
      </c>
      <c r="I6" s="28">
        <f t="shared" ref="I6:I37" si="2">IF(C6=0,"",E6/C6)</f>
        <v>0.159888194</v>
      </c>
      <c r="J6" s="29">
        <f t="shared" ref="J6:J37" si="3">IF(D6=0,"",E6/D6)</f>
        <v>0.2355020236</v>
      </c>
      <c r="K6" s="30"/>
      <c r="L6" s="31" t="str">
        <f t="shared" ref="L6:L35" si="4">IF(K6="","",E6/K6)</f>
        <v/>
      </c>
      <c r="M6" s="31" t="str">
        <f t="shared" ref="M6:M35" si="5">IF(K6="","",D6/K6)</f>
        <v/>
      </c>
      <c r="N6" s="4"/>
    </row>
    <row r="7">
      <c r="A7" s="1"/>
      <c r="B7" s="23">
        <f t="shared" ref="B7:B33" si="6">B6+1</f>
        <v>44653</v>
      </c>
      <c r="C7" s="24">
        <f>IFERROR(__xludf.DUMMYFUNCTION("SUMPRODUCT((IMPORTRANGE(""17XjIPGwafStTRf_8bPPaoi2EFjHVy10_rRJ0uvy6YcU"",""M:M"")=B7)*1, IMPORTRANGE(""17XjIPGwafStTRf_8bPPaoi2EFjHVy10_rRJ0uvy6YcU"",""X:X""), IMPORTRANGE(""17XjIPGwafStTRf_8bPPaoi2EFjHVy10_rRJ0uvy6YcU"",""AK:AK"")) - SUMPRODUCT((IMPORTRA"&amp;"NGE(""17XjIPGwafStTRf_8bPPaoi2EFjHVy10_rRJ0uvy6YcU"",""M:M"")=B7)*1, IMPORTRANGE(""17XjIPGwafStTRf_8bPPaoi2EFjHVy10_rRJ0uvy6YcU"",""X:X""), IMPORTRANGE(""17XjIPGwafStTRf_8bPPaoi2EFjHVy10_rRJ0uvy6YcU"",""AL:AL""))"),387274.0)</f>
        <v>387274</v>
      </c>
      <c r="D7" s="24">
        <f>IFERROR(__xludf.DUMMYFUNCTION("SUMPRODUCT((IMPORTRANGE(""17XjIPGwafStTRf_8bPPaoi2EFjHVy10_rRJ0uvy6YcU"",""M:M"")=B7)*1, IMPORTRANGE(""17XjIPGwafStTRf_8bPPaoi2EFjHVy10_rRJ0uvy6YcU"",""X:X""), IMPORTRANGE(""17XjIPGwafStTRf_8bPPaoi2EFjHVy10_rRJ0uvy6YcU"",""AA:AA"")) + SUMPRODUCT((IMPORTRA"&amp;"NGE(""17XjIPGwafStTRf_8bPPaoi2EFjHVy10_rRJ0uvy6YcU"",""M:M"")=B7)*1, IMPORTRANGE(""17XjIPGwafStTRf_8bPPaoi2EFjHVy10_rRJ0uvy6YcU"",""X:X""), IMPORTRANGE(""17XjIPGwafStTRf_8bPPaoi2EFjHVy10_rRJ0uvy6YcU"",""AE:AE"")) + SUMPRODUCT((IMPORTRANGE(""17XjIPGwafStTR"&amp;"f_8bPPaoi2EFjHVy10_rRJ0uvy6YcU"",""M:M"")=B7)*1, IMPORTRANGE(""17XjIPGwafStTRf_8bPPaoi2EFjHVy10_rRJ0uvy6YcU"",""X:X""), IMPORTRANGE(""17XjIPGwafStTRf_8bPPaoi2EFjHVy10_rRJ0uvy6YcU"",""AF:AF""))"),231550.35353596747)</f>
        <v>231550.3535</v>
      </c>
      <c r="E7" s="24">
        <f>IFERROR(__xludf.DUMMYFUNCTION("SUMPRODUCT((IMPORTRANGE(""17XjIPGwafStTRf_8bPPaoi2EFjHVy10_rRJ0uvy6YcU"",""M:M"")=B7)*1, IMPORTRANGE(""17XjIPGwafStTRf_8bPPaoi2EFjHVy10_rRJ0uvy6YcU"",""X:X""), IMPORTRANGE(""17XjIPGwafStTRf_8bPPaoi2EFjHVy10_rRJ0uvy6YcU"",""AO:AO""))"),91326.08617865798)</f>
        <v>91326.08618</v>
      </c>
      <c r="F7" s="25">
        <f>IFERROR(__xludf.DUMMYFUNCTION("SUMPRODUCT((IMPORTRANGE(""17XjIPGwafStTRf_8bPPaoi2EFjHVy10_rRJ0uvy6YcU"",""M:M"")=B7)*1, IMPORTRANGE(""17XjIPGwafStTRf_8bPPaoi2EFjHVy10_rRJ0uvy6YcU"",""X:X""))"),57.0)</f>
        <v>57</v>
      </c>
      <c r="G7" s="26">
        <f>IFERROR(__xludf.DUMMYFUNCTION("COUNTIF(IMPORTRANGE(""17XjIPGwafStTRf_8bPPaoi2EFjHVy10_rRJ0uvy6YcU"",""M:M""), B7)"),30.0)</f>
        <v>30</v>
      </c>
      <c r="H7" s="27">
        <f t="shared" si="1"/>
        <v>1.9</v>
      </c>
      <c r="I7" s="28">
        <f t="shared" si="2"/>
        <v>0.2358177574</v>
      </c>
      <c r="J7" s="29">
        <f t="shared" si="3"/>
        <v>0.3944113442</v>
      </c>
      <c r="K7" s="30"/>
      <c r="L7" s="31" t="str">
        <f t="shared" si="4"/>
        <v/>
      </c>
      <c r="M7" s="31" t="str">
        <f t="shared" si="5"/>
        <v/>
      </c>
      <c r="N7" s="4"/>
    </row>
    <row r="8">
      <c r="A8" s="1"/>
      <c r="B8" s="23">
        <f t="shared" si="6"/>
        <v>44654</v>
      </c>
      <c r="C8" s="24">
        <f>IFERROR(__xludf.DUMMYFUNCTION("SUMPRODUCT((IMPORTRANGE(""17XjIPGwafStTRf_8bPPaoi2EFjHVy10_rRJ0uvy6YcU"",""M:M"")=B8)*1, IMPORTRANGE(""17XjIPGwafStTRf_8bPPaoi2EFjHVy10_rRJ0uvy6YcU"",""X:X""), IMPORTRANGE(""17XjIPGwafStTRf_8bPPaoi2EFjHVy10_rRJ0uvy6YcU"",""AK:AK"")) - SUMPRODUCT((IMPORTRA"&amp;"NGE(""17XjIPGwafStTRf_8bPPaoi2EFjHVy10_rRJ0uvy6YcU"",""M:M"")=B8)*1, IMPORTRANGE(""17XjIPGwafStTRf_8bPPaoi2EFjHVy10_rRJ0uvy6YcU"",""X:X""), IMPORTRANGE(""17XjIPGwafStTRf_8bPPaoi2EFjHVy10_rRJ0uvy6YcU"",""AL:AL""))"),272583.0)</f>
        <v>272583</v>
      </c>
      <c r="D8" s="24">
        <f>IFERROR(__xludf.DUMMYFUNCTION("SUMPRODUCT((IMPORTRANGE(""17XjIPGwafStTRf_8bPPaoi2EFjHVy10_rRJ0uvy6YcU"",""M:M"")=B8)*1, IMPORTRANGE(""17XjIPGwafStTRf_8bPPaoi2EFjHVy10_rRJ0uvy6YcU"",""X:X""), IMPORTRANGE(""17XjIPGwafStTRf_8bPPaoi2EFjHVy10_rRJ0uvy6YcU"",""AA:AA"")) + SUMPRODUCT((IMPORTRA"&amp;"NGE(""17XjIPGwafStTRf_8bPPaoi2EFjHVy10_rRJ0uvy6YcU"",""M:M"")=B8)*1, IMPORTRANGE(""17XjIPGwafStTRf_8bPPaoi2EFjHVy10_rRJ0uvy6YcU"",""X:X""), IMPORTRANGE(""17XjIPGwafStTRf_8bPPaoi2EFjHVy10_rRJ0uvy6YcU"",""AE:AE"")) + SUMPRODUCT((IMPORTRANGE(""17XjIPGwafStTR"&amp;"f_8bPPaoi2EFjHVy10_rRJ0uvy6YcU"",""M:M"")=B8)*1, IMPORTRANGE(""17XjIPGwafStTRf_8bPPaoi2EFjHVy10_rRJ0uvy6YcU"",""X:X""), IMPORTRANGE(""17XjIPGwafStTRf_8bPPaoi2EFjHVy10_rRJ0uvy6YcU"",""AF:AF""))"),120353.77338238091)</f>
        <v>120353.7734</v>
      </c>
      <c r="E8" s="24">
        <f>IFERROR(__xludf.DUMMYFUNCTION("SUMPRODUCT((IMPORTRANGE(""17XjIPGwafStTRf_8bPPaoi2EFjHVy10_rRJ0uvy6YcU"",""M:M"")=B8)*1, IMPORTRANGE(""17XjIPGwafStTRf_8bPPaoi2EFjHVy10_rRJ0uvy6YcU"",""X:X""), IMPORTRANGE(""17XjIPGwafStTRf_8bPPaoi2EFjHVy10_rRJ0uvy6YcU"",""AO:AO""))"),39591.22661761909)</f>
        <v>39591.22662</v>
      </c>
      <c r="F8" s="25">
        <f>IFERROR(__xludf.DUMMYFUNCTION("SUMPRODUCT((IMPORTRANGE(""17XjIPGwafStTRf_8bPPaoi2EFjHVy10_rRJ0uvy6YcU"",""M:M"")=B8)*1, IMPORTRANGE(""17XjIPGwafStTRf_8bPPaoi2EFjHVy10_rRJ0uvy6YcU"",""X:X""))"),226.0)</f>
        <v>226</v>
      </c>
      <c r="G8" s="26">
        <f>IFERROR(__xludf.DUMMYFUNCTION("COUNTIF(IMPORTRANGE(""17XjIPGwafStTRf_8bPPaoi2EFjHVy10_rRJ0uvy6YcU"",""M:M""), B8)"),13.0)</f>
        <v>13</v>
      </c>
      <c r="H8" s="27">
        <f t="shared" si="1"/>
        <v>17.38461538</v>
      </c>
      <c r="I8" s="28">
        <f t="shared" si="2"/>
        <v>0.1452446654</v>
      </c>
      <c r="J8" s="29">
        <f t="shared" si="3"/>
        <v>0.3289570863</v>
      </c>
      <c r="K8" s="30"/>
      <c r="L8" s="31" t="str">
        <f t="shared" si="4"/>
        <v/>
      </c>
      <c r="M8" s="31" t="str">
        <f t="shared" si="5"/>
        <v/>
      </c>
      <c r="N8" s="4"/>
    </row>
    <row r="9">
      <c r="A9" s="1"/>
      <c r="B9" s="23">
        <f t="shared" si="6"/>
        <v>44655</v>
      </c>
      <c r="C9" s="24">
        <f>IFERROR(__xludf.DUMMYFUNCTION("SUMPRODUCT((IMPORTRANGE(""17XjIPGwafStTRf_8bPPaoi2EFjHVy10_rRJ0uvy6YcU"",""M:M"")=B9)*1, IMPORTRANGE(""17XjIPGwafStTRf_8bPPaoi2EFjHVy10_rRJ0uvy6YcU"",""X:X""), IMPORTRANGE(""17XjIPGwafStTRf_8bPPaoi2EFjHVy10_rRJ0uvy6YcU"",""AK:AK"")) - SUMPRODUCT((IMPORTRA"&amp;"NGE(""17XjIPGwafStTRf_8bPPaoi2EFjHVy10_rRJ0uvy6YcU"",""M:M"")=B9)*1, IMPORTRANGE(""17XjIPGwafStTRf_8bPPaoi2EFjHVy10_rRJ0uvy6YcU"",""X:X""), IMPORTRANGE(""17XjIPGwafStTRf_8bPPaoi2EFjHVy10_rRJ0uvy6YcU"",""AL:AL""))"),480649.0)</f>
        <v>480649</v>
      </c>
      <c r="D9" s="24">
        <f>IFERROR(__xludf.DUMMYFUNCTION("SUMPRODUCT((IMPORTRANGE(""17XjIPGwafStTRf_8bPPaoi2EFjHVy10_rRJ0uvy6YcU"",""M:M"")=B9)*1, IMPORTRANGE(""17XjIPGwafStTRf_8bPPaoi2EFjHVy10_rRJ0uvy6YcU"",""X:X""), IMPORTRANGE(""17XjIPGwafStTRf_8bPPaoi2EFjHVy10_rRJ0uvy6YcU"",""AA:AA"")) + SUMPRODUCT((IMPORTRA"&amp;"NGE(""17XjIPGwafStTRf_8bPPaoi2EFjHVy10_rRJ0uvy6YcU"",""M:M"")=B9)*1, IMPORTRANGE(""17XjIPGwafStTRf_8bPPaoi2EFjHVy10_rRJ0uvy6YcU"",""X:X""), IMPORTRANGE(""17XjIPGwafStTRf_8bPPaoi2EFjHVy10_rRJ0uvy6YcU"",""AE:AE"")) + SUMPRODUCT((IMPORTRANGE(""17XjIPGwafStTR"&amp;"f_8bPPaoi2EFjHVy10_rRJ0uvy6YcU"",""M:M"")=B9)*1, IMPORTRANGE(""17XjIPGwafStTRf_8bPPaoi2EFjHVy10_rRJ0uvy6YcU"",""X:X""), IMPORTRANGE(""17XjIPGwafStTRf_8bPPaoi2EFjHVy10_rRJ0uvy6YcU"",""AF:AF""))"),238190.15411590328)</f>
        <v>238190.1541</v>
      </c>
      <c r="E9" s="24">
        <f>IFERROR(__xludf.DUMMYFUNCTION("SUMPRODUCT((IMPORTRANGE(""17XjIPGwafStTRf_8bPPaoi2EFjHVy10_rRJ0uvy6YcU"",""M:M"")=B9)*1, IMPORTRANGE(""17XjIPGwafStTRf_8bPPaoi2EFjHVy10_rRJ0uvy6YcU"",""X:X""), IMPORTRANGE(""17XjIPGwafStTRf_8bPPaoi2EFjHVy10_rRJ0uvy6YcU"",""AO:AO""))"),136452.79723544806)</f>
        <v>136452.7972</v>
      </c>
      <c r="F9" s="25">
        <f>IFERROR(__xludf.DUMMYFUNCTION("SUMPRODUCT((IMPORTRANGE(""17XjIPGwafStTRf_8bPPaoi2EFjHVy10_rRJ0uvy6YcU"",""M:M"")=B9)*1, IMPORTRANGE(""17XjIPGwafStTRf_8bPPaoi2EFjHVy10_rRJ0uvy6YcU"",""X:X""))"),155.0)</f>
        <v>155</v>
      </c>
      <c r="G9" s="26">
        <f>IFERROR(__xludf.DUMMYFUNCTION("COUNTIF(IMPORTRANGE(""17XjIPGwafStTRf_8bPPaoi2EFjHVy10_rRJ0uvy6YcU"",""M:M""), B9)"),30.0)</f>
        <v>30</v>
      </c>
      <c r="H9" s="27">
        <f t="shared" si="1"/>
        <v>5.166666667</v>
      </c>
      <c r="I9" s="28">
        <f t="shared" si="2"/>
        <v>0.2838928142</v>
      </c>
      <c r="J9" s="29">
        <f t="shared" si="3"/>
        <v>0.572873374</v>
      </c>
      <c r="K9" s="32"/>
      <c r="L9" s="31" t="str">
        <f t="shared" si="4"/>
        <v/>
      </c>
      <c r="M9" s="31" t="str">
        <f t="shared" si="5"/>
        <v/>
      </c>
      <c r="N9" s="4"/>
    </row>
    <row r="10">
      <c r="A10" s="1"/>
      <c r="B10" s="23">
        <f t="shared" si="6"/>
        <v>44656</v>
      </c>
      <c r="C10" s="24">
        <f>IFERROR(__xludf.DUMMYFUNCTION("SUMPRODUCT((IMPORTRANGE(""17XjIPGwafStTRf_8bPPaoi2EFjHVy10_rRJ0uvy6YcU"",""M:M"")=B10)*1, IMPORTRANGE(""17XjIPGwafStTRf_8bPPaoi2EFjHVy10_rRJ0uvy6YcU"",""X:X""), IMPORTRANGE(""17XjIPGwafStTRf_8bPPaoi2EFjHVy10_rRJ0uvy6YcU"",""AK:AK"")) - SUMPRODUCT((IMPORTR"&amp;"ANGE(""17XjIPGwafStTRf_8bPPaoi2EFjHVy10_rRJ0uvy6YcU"",""M:M"")=B10)*1, IMPORTRANGE(""17XjIPGwafStTRf_8bPPaoi2EFjHVy10_rRJ0uvy6YcU"",""X:X""), IMPORTRANGE(""17XjIPGwafStTRf_8bPPaoi2EFjHVy10_rRJ0uvy6YcU"",""AL:AL""))"),671722.0)</f>
        <v>671722</v>
      </c>
      <c r="D10" s="24">
        <f>IFERROR(__xludf.DUMMYFUNCTION("SUMPRODUCT((IMPORTRANGE(""17XjIPGwafStTRf_8bPPaoi2EFjHVy10_rRJ0uvy6YcU"",""M:M"")=B10)*1, IMPORTRANGE(""17XjIPGwafStTRf_8bPPaoi2EFjHVy10_rRJ0uvy6YcU"",""X:X""), IMPORTRANGE(""17XjIPGwafStTRf_8bPPaoi2EFjHVy10_rRJ0uvy6YcU"",""AA:AA"")) + SUMPRODUCT((IMPORTR"&amp;"ANGE(""17XjIPGwafStTRf_8bPPaoi2EFjHVy10_rRJ0uvy6YcU"",""M:M"")=B10)*1, IMPORTRANGE(""17XjIPGwafStTRf_8bPPaoi2EFjHVy10_rRJ0uvy6YcU"",""X:X""), IMPORTRANGE(""17XjIPGwafStTRf_8bPPaoi2EFjHVy10_rRJ0uvy6YcU"",""AE:AE"")) + SUMPRODUCT((IMPORTRANGE(""17XjIPGwafSt"&amp;"TRf_8bPPaoi2EFjHVy10_rRJ0uvy6YcU"",""M:M"")=B10)*1, IMPORTRANGE(""17XjIPGwafStTRf_8bPPaoi2EFjHVy10_rRJ0uvy6YcU"",""X:X""), IMPORTRANGE(""17XjIPGwafStTRf_8bPPaoi2EFjHVy10_rRJ0uvy6YcU"",""AF:AF""))"),466522.90072339657)</f>
        <v>466522.9007</v>
      </c>
      <c r="E10" s="24">
        <f>IFERROR(__xludf.DUMMYFUNCTION("SUMPRODUCT((IMPORTRANGE(""17XjIPGwafStTRf_8bPPaoi2EFjHVy10_rRJ0uvy6YcU"",""M:M"")=B10)*1, IMPORTRANGE(""17XjIPGwafStTRf_8bPPaoi2EFjHVy10_rRJ0uvy6YcU"",""X:X""), IMPORTRANGE(""17XjIPGwafStTRf_8bPPaoi2EFjHVy10_rRJ0uvy6YcU"",""AO:AO""))"),76892.29927660341)</f>
        <v>76892.29928</v>
      </c>
      <c r="F10" s="25">
        <f>IFERROR(__xludf.DUMMYFUNCTION("SUMPRODUCT((IMPORTRANGE(""17XjIPGwafStTRf_8bPPaoi2EFjHVy10_rRJ0uvy6YcU"",""M:M"")=B10)*1, IMPORTRANGE(""17XjIPGwafStTRf_8bPPaoi2EFjHVy10_rRJ0uvy6YcU"",""X:X""))"),103.0)</f>
        <v>103</v>
      </c>
      <c r="G10" s="26">
        <f>IFERROR(__xludf.DUMMYFUNCTION("COUNTIF(IMPORTRANGE(""17XjIPGwafStTRf_8bPPaoi2EFjHVy10_rRJ0uvy6YcU"",""M:M""), B10)"),32.0)</f>
        <v>32</v>
      </c>
      <c r="H10" s="27">
        <f t="shared" si="1"/>
        <v>3.21875</v>
      </c>
      <c r="I10" s="28">
        <f t="shared" si="2"/>
        <v>0.1144704197</v>
      </c>
      <c r="J10" s="29">
        <f t="shared" si="3"/>
        <v>0.1648199888</v>
      </c>
      <c r="K10" s="32"/>
      <c r="L10" s="31" t="str">
        <f t="shared" si="4"/>
        <v/>
      </c>
      <c r="M10" s="31" t="str">
        <f t="shared" si="5"/>
        <v/>
      </c>
      <c r="N10" s="4"/>
    </row>
    <row r="11">
      <c r="A11" s="1"/>
      <c r="B11" s="23">
        <f t="shared" si="6"/>
        <v>44657</v>
      </c>
      <c r="C11" s="24">
        <f>IFERROR(__xludf.DUMMYFUNCTION("SUMPRODUCT((IMPORTRANGE(""17XjIPGwafStTRf_8bPPaoi2EFjHVy10_rRJ0uvy6YcU"",""M:M"")=B11)*1, IMPORTRANGE(""17XjIPGwafStTRf_8bPPaoi2EFjHVy10_rRJ0uvy6YcU"",""X:X""), IMPORTRANGE(""17XjIPGwafStTRf_8bPPaoi2EFjHVy10_rRJ0uvy6YcU"",""AK:AK"")) - SUMPRODUCT((IMPORTR"&amp;"ANGE(""17XjIPGwafStTRf_8bPPaoi2EFjHVy10_rRJ0uvy6YcU"",""M:M"")=B11)*1, IMPORTRANGE(""17XjIPGwafStTRf_8bPPaoi2EFjHVy10_rRJ0uvy6YcU"",""X:X""), IMPORTRANGE(""17XjIPGwafStTRf_8bPPaoi2EFjHVy10_rRJ0uvy6YcU"",""AL:AL""))"),299622.0)</f>
        <v>299622</v>
      </c>
      <c r="D11" s="24">
        <f>IFERROR(__xludf.DUMMYFUNCTION("SUMPRODUCT((IMPORTRANGE(""17XjIPGwafStTRf_8bPPaoi2EFjHVy10_rRJ0uvy6YcU"",""M:M"")=B11)*1, IMPORTRANGE(""17XjIPGwafStTRf_8bPPaoi2EFjHVy10_rRJ0uvy6YcU"",""X:X""), IMPORTRANGE(""17XjIPGwafStTRf_8bPPaoi2EFjHVy10_rRJ0uvy6YcU"",""AA:AA"")) + SUMPRODUCT((IMPORTR"&amp;"ANGE(""17XjIPGwafStTRf_8bPPaoi2EFjHVy10_rRJ0uvy6YcU"",""M:M"")=B11)*1, IMPORTRANGE(""17XjIPGwafStTRf_8bPPaoi2EFjHVy10_rRJ0uvy6YcU"",""X:X""), IMPORTRANGE(""17XjIPGwafStTRf_8bPPaoi2EFjHVy10_rRJ0uvy6YcU"",""AE:AE"")) + SUMPRODUCT((IMPORTRANGE(""17XjIPGwafSt"&amp;"TRf_8bPPaoi2EFjHVy10_rRJ0uvy6YcU"",""M:M"")=B11)*1, IMPORTRANGE(""17XjIPGwafStTRf_8bPPaoi2EFjHVy10_rRJ0uvy6YcU"",""X:X""), IMPORTRANGE(""17XjIPGwafStTRf_8bPPaoi2EFjHVy10_rRJ0uvy6YcU"",""AF:AF""))"),172722.12834765203)</f>
        <v>172722.1283</v>
      </c>
      <c r="E11" s="24">
        <f>IFERROR(__xludf.DUMMYFUNCTION("SUMPRODUCT((IMPORTRANGE(""17XjIPGwafStTRf_8bPPaoi2EFjHVy10_rRJ0uvy6YcU"",""M:M"")=B11)*1, IMPORTRANGE(""17XjIPGwafStTRf_8bPPaoi2EFjHVy10_rRJ0uvy6YcU"",""X:X""), IMPORTRANGE(""17XjIPGwafStTRf_8bPPaoi2EFjHVy10_rRJ0uvy6YcU"",""AO:AO""))"),62538.07023745529)</f>
        <v>62538.07024</v>
      </c>
      <c r="F11" s="25">
        <f>IFERROR(__xludf.DUMMYFUNCTION("SUMPRODUCT((IMPORTRANGE(""17XjIPGwafStTRf_8bPPaoi2EFjHVy10_rRJ0uvy6YcU"",""M:M"")=B11)*1, IMPORTRANGE(""17XjIPGwafStTRf_8bPPaoi2EFjHVy10_rRJ0uvy6YcU"",""X:X""))"),79.0)</f>
        <v>79</v>
      </c>
      <c r="G11" s="26">
        <f>IFERROR(__xludf.DUMMYFUNCTION("COUNTIF(IMPORTRANGE(""17XjIPGwafStTRf_8bPPaoi2EFjHVy10_rRJ0uvy6YcU"",""M:M""), B11)"),24.0)</f>
        <v>24</v>
      </c>
      <c r="H11" s="27">
        <f t="shared" si="1"/>
        <v>3.291666667</v>
      </c>
      <c r="I11" s="28">
        <f t="shared" si="2"/>
        <v>0.2087232254</v>
      </c>
      <c r="J11" s="29">
        <f t="shared" si="3"/>
        <v>0.3620732956</v>
      </c>
      <c r="K11" s="30"/>
      <c r="L11" s="31" t="str">
        <f t="shared" si="4"/>
        <v/>
      </c>
      <c r="M11" s="31" t="str">
        <f t="shared" si="5"/>
        <v/>
      </c>
      <c r="N11" s="4"/>
    </row>
    <row r="12">
      <c r="A12" s="1"/>
      <c r="B12" s="23">
        <f t="shared" si="6"/>
        <v>44658</v>
      </c>
      <c r="C12" s="24">
        <f>IFERROR(__xludf.DUMMYFUNCTION("SUMPRODUCT((IMPORTRANGE(""17XjIPGwafStTRf_8bPPaoi2EFjHVy10_rRJ0uvy6YcU"",""M:M"")=B12)*1, IMPORTRANGE(""17XjIPGwafStTRf_8bPPaoi2EFjHVy10_rRJ0uvy6YcU"",""X:X""), IMPORTRANGE(""17XjIPGwafStTRf_8bPPaoi2EFjHVy10_rRJ0uvy6YcU"",""AK:AK"")) - SUMPRODUCT((IMPORTR"&amp;"ANGE(""17XjIPGwafStTRf_8bPPaoi2EFjHVy10_rRJ0uvy6YcU"",""M:M"")=B12)*1, IMPORTRANGE(""17XjIPGwafStTRf_8bPPaoi2EFjHVy10_rRJ0uvy6YcU"",""X:X""), IMPORTRANGE(""17XjIPGwafStTRf_8bPPaoi2EFjHVy10_rRJ0uvy6YcU"",""AL:AL""))"),280234.0)</f>
        <v>280234</v>
      </c>
      <c r="D12" s="24">
        <f>IFERROR(__xludf.DUMMYFUNCTION("SUMPRODUCT((IMPORTRANGE(""17XjIPGwafStTRf_8bPPaoi2EFjHVy10_rRJ0uvy6YcU"",""M:M"")=B12)*1, IMPORTRANGE(""17XjIPGwafStTRf_8bPPaoi2EFjHVy10_rRJ0uvy6YcU"",""X:X""), IMPORTRANGE(""17XjIPGwafStTRf_8bPPaoi2EFjHVy10_rRJ0uvy6YcU"",""AA:AA"")) + SUMPRODUCT((IMPORTR"&amp;"ANGE(""17XjIPGwafStTRf_8bPPaoi2EFjHVy10_rRJ0uvy6YcU"",""M:M"")=B12)*1, IMPORTRANGE(""17XjIPGwafStTRf_8bPPaoi2EFjHVy10_rRJ0uvy6YcU"",""X:X""), IMPORTRANGE(""17XjIPGwafStTRf_8bPPaoi2EFjHVy10_rRJ0uvy6YcU"",""AE:AE"")) + SUMPRODUCT((IMPORTRANGE(""17XjIPGwafSt"&amp;"TRf_8bPPaoi2EFjHVy10_rRJ0uvy6YcU"",""M:M"")=B12)*1, IMPORTRANGE(""17XjIPGwafStTRf_8bPPaoi2EFjHVy10_rRJ0uvy6YcU"",""X:X""), IMPORTRANGE(""17XjIPGwafStTRf_8bPPaoi2EFjHVy10_rRJ0uvy6YcU"",""AF:AF""))"),175619.10783037462)</f>
        <v>175619.1078</v>
      </c>
      <c r="E12" s="24">
        <f>IFERROR(__xludf.DUMMYFUNCTION("SUMPRODUCT((IMPORTRANGE(""17XjIPGwafStTRf_8bPPaoi2EFjHVy10_rRJ0uvy6YcU"",""M:M"")=B12)*1, IMPORTRANGE(""17XjIPGwafStTRf_8bPPaoi2EFjHVy10_rRJ0uvy6YcU"",""X:X""), IMPORTRANGE(""17XjIPGwafStTRf_8bPPaoi2EFjHVy10_rRJ0uvy6YcU"",""AO:AO""))"),59267.192169625385)</f>
        <v>59267.19217</v>
      </c>
      <c r="F12" s="25">
        <f>IFERROR(__xludf.DUMMYFUNCTION("SUMPRODUCT((IMPORTRANGE(""17XjIPGwafStTRf_8bPPaoi2EFjHVy10_rRJ0uvy6YcU"",""M:M"")=B12)*1, IMPORTRANGE(""17XjIPGwafStTRf_8bPPaoi2EFjHVy10_rRJ0uvy6YcU"",""X:X""))"),42.0)</f>
        <v>42</v>
      </c>
      <c r="G12" s="26">
        <f>IFERROR(__xludf.DUMMYFUNCTION("COUNTIF(IMPORTRANGE(""17XjIPGwafStTRf_8bPPaoi2EFjHVy10_rRJ0uvy6YcU"",""M:M""), B12)"),22.0)</f>
        <v>22</v>
      </c>
      <c r="H12" s="27">
        <f t="shared" si="1"/>
        <v>1.909090909</v>
      </c>
      <c r="I12" s="28">
        <f t="shared" si="2"/>
        <v>0.2114917967</v>
      </c>
      <c r="J12" s="29">
        <f t="shared" si="3"/>
        <v>0.3374757616</v>
      </c>
      <c r="K12" s="32"/>
      <c r="L12" s="31" t="str">
        <f t="shared" si="4"/>
        <v/>
      </c>
      <c r="M12" s="31" t="str">
        <f t="shared" si="5"/>
        <v/>
      </c>
      <c r="N12" s="4"/>
    </row>
    <row r="13">
      <c r="A13" s="1"/>
      <c r="B13" s="23">
        <f t="shared" si="6"/>
        <v>44659</v>
      </c>
      <c r="C13" s="24">
        <f>IFERROR(__xludf.DUMMYFUNCTION("SUMPRODUCT((IMPORTRANGE(""17XjIPGwafStTRf_8bPPaoi2EFjHVy10_rRJ0uvy6YcU"",""M:M"")=B13)*1, IMPORTRANGE(""17XjIPGwafStTRf_8bPPaoi2EFjHVy10_rRJ0uvy6YcU"",""X:X""), IMPORTRANGE(""17XjIPGwafStTRf_8bPPaoi2EFjHVy10_rRJ0uvy6YcU"",""AK:AK"")) - SUMPRODUCT((IMPORTR"&amp;"ANGE(""17XjIPGwafStTRf_8bPPaoi2EFjHVy10_rRJ0uvy6YcU"",""M:M"")=B13)*1, IMPORTRANGE(""17XjIPGwafStTRf_8bPPaoi2EFjHVy10_rRJ0uvy6YcU"",""X:X""), IMPORTRANGE(""17XjIPGwafStTRf_8bPPaoi2EFjHVy10_rRJ0uvy6YcU"",""AL:AL""))"),511867.0)</f>
        <v>511867</v>
      </c>
      <c r="D13" s="24">
        <f>IFERROR(__xludf.DUMMYFUNCTION("SUMPRODUCT((IMPORTRANGE(""17XjIPGwafStTRf_8bPPaoi2EFjHVy10_rRJ0uvy6YcU"",""M:M"")=B13)*1, IMPORTRANGE(""17XjIPGwafStTRf_8bPPaoi2EFjHVy10_rRJ0uvy6YcU"",""X:X""), IMPORTRANGE(""17XjIPGwafStTRf_8bPPaoi2EFjHVy10_rRJ0uvy6YcU"",""AA:AA"")) + SUMPRODUCT((IMPORTR"&amp;"ANGE(""17XjIPGwafStTRf_8bPPaoi2EFjHVy10_rRJ0uvy6YcU"",""M:M"")=B13)*1, IMPORTRANGE(""17XjIPGwafStTRf_8bPPaoi2EFjHVy10_rRJ0uvy6YcU"",""X:X""), IMPORTRANGE(""17XjIPGwafStTRf_8bPPaoi2EFjHVy10_rRJ0uvy6YcU"",""AE:AE"")) + SUMPRODUCT((IMPORTRANGE(""17XjIPGwafSt"&amp;"TRf_8bPPaoi2EFjHVy10_rRJ0uvy6YcU"",""M:M"")=B13)*1, IMPORTRANGE(""17XjIPGwafStTRf_8bPPaoi2EFjHVy10_rRJ0uvy6YcU"",""X:X""), IMPORTRANGE(""17XjIPGwafStTRf_8bPPaoi2EFjHVy10_rRJ0uvy6YcU"",""AF:AF""))"),271193.1121670038)</f>
        <v>271193.1122</v>
      </c>
      <c r="E13" s="24">
        <f>IFERROR(__xludf.DUMMYFUNCTION("SUMPRODUCT((IMPORTRANGE(""17XjIPGwafStTRf_8bPPaoi2EFjHVy10_rRJ0uvy6YcU"",""M:M"")=B13)*1, IMPORTRANGE(""17XjIPGwafStTRf_8bPPaoi2EFjHVy10_rRJ0uvy6YcU"",""X:X""), IMPORTRANGE(""17XjIPGwafStTRf_8bPPaoi2EFjHVy10_rRJ0uvy6YcU"",""AO:AO""))"),128014.89942834605)</f>
        <v>128014.8994</v>
      </c>
      <c r="F13" s="25">
        <f>IFERROR(__xludf.DUMMYFUNCTION("SUMPRODUCT((IMPORTRANGE(""17XjIPGwafStTRf_8bPPaoi2EFjHVy10_rRJ0uvy6YcU"",""M:M"")=B13)*1, IMPORTRANGE(""17XjIPGwafStTRf_8bPPaoi2EFjHVy10_rRJ0uvy6YcU"",""X:X""))"),118.0)</f>
        <v>118</v>
      </c>
      <c r="G13" s="26">
        <f>IFERROR(__xludf.DUMMYFUNCTION("COUNTIF(IMPORTRANGE(""17XjIPGwafStTRf_8bPPaoi2EFjHVy10_rRJ0uvy6YcU"",""M:M""), B13)"),25.0)</f>
        <v>25</v>
      </c>
      <c r="H13" s="27">
        <f t="shared" si="1"/>
        <v>4.72</v>
      </c>
      <c r="I13" s="28">
        <f t="shared" si="2"/>
        <v>0.2500940663</v>
      </c>
      <c r="J13" s="29">
        <f t="shared" si="3"/>
        <v>0.4720433288</v>
      </c>
      <c r="K13" s="32"/>
      <c r="L13" s="31" t="str">
        <f t="shared" si="4"/>
        <v/>
      </c>
      <c r="M13" s="31" t="str">
        <f t="shared" si="5"/>
        <v/>
      </c>
      <c r="N13" s="4"/>
    </row>
    <row r="14">
      <c r="A14" s="1"/>
      <c r="B14" s="23">
        <f t="shared" si="6"/>
        <v>44660</v>
      </c>
      <c r="C14" s="24">
        <f>IFERROR(__xludf.DUMMYFUNCTION("SUMPRODUCT((IMPORTRANGE(""17XjIPGwafStTRf_8bPPaoi2EFjHVy10_rRJ0uvy6YcU"",""M:M"")=B14)*1, IMPORTRANGE(""17XjIPGwafStTRf_8bPPaoi2EFjHVy10_rRJ0uvy6YcU"",""X:X""), IMPORTRANGE(""17XjIPGwafStTRf_8bPPaoi2EFjHVy10_rRJ0uvy6YcU"",""AK:AK"")) - SUMPRODUCT((IMPORTR"&amp;"ANGE(""17XjIPGwafStTRf_8bPPaoi2EFjHVy10_rRJ0uvy6YcU"",""M:M"")=B14)*1, IMPORTRANGE(""17XjIPGwafStTRf_8bPPaoi2EFjHVy10_rRJ0uvy6YcU"",""X:X""), IMPORTRANGE(""17XjIPGwafStTRf_8bPPaoi2EFjHVy10_rRJ0uvy6YcU"",""AL:AL""))"),0.0)</f>
        <v>0</v>
      </c>
      <c r="D14" s="24">
        <f>IFERROR(__xludf.DUMMYFUNCTION("SUMPRODUCT((IMPORTRANGE(""17XjIPGwafStTRf_8bPPaoi2EFjHVy10_rRJ0uvy6YcU"",""M:M"")=B14)*1, IMPORTRANGE(""17XjIPGwafStTRf_8bPPaoi2EFjHVy10_rRJ0uvy6YcU"",""X:X""), IMPORTRANGE(""17XjIPGwafStTRf_8bPPaoi2EFjHVy10_rRJ0uvy6YcU"",""AA:AA"")) + SUMPRODUCT((IMPORTR"&amp;"ANGE(""17XjIPGwafStTRf_8bPPaoi2EFjHVy10_rRJ0uvy6YcU"",""M:M"")=B14)*1, IMPORTRANGE(""17XjIPGwafStTRf_8bPPaoi2EFjHVy10_rRJ0uvy6YcU"",""X:X""), IMPORTRANGE(""17XjIPGwafStTRf_8bPPaoi2EFjHVy10_rRJ0uvy6YcU"",""AE:AE"")) + SUMPRODUCT((IMPORTRANGE(""17XjIPGwafSt"&amp;"TRf_8bPPaoi2EFjHVy10_rRJ0uvy6YcU"",""M:M"")=B14)*1, IMPORTRANGE(""17XjIPGwafStTRf_8bPPaoi2EFjHVy10_rRJ0uvy6YcU"",""X:X""), IMPORTRANGE(""17XjIPGwafStTRf_8bPPaoi2EFjHVy10_rRJ0uvy6YcU"",""AF:AF""))"),0.0)</f>
        <v>0</v>
      </c>
      <c r="E14" s="24">
        <f>IFERROR(__xludf.DUMMYFUNCTION("SUMPRODUCT((IMPORTRANGE(""17XjIPGwafStTRf_8bPPaoi2EFjHVy10_rRJ0uvy6YcU"",""M:M"")=B14)*1, IMPORTRANGE(""17XjIPGwafStTRf_8bPPaoi2EFjHVy10_rRJ0uvy6YcU"",""X:X""), IMPORTRANGE(""17XjIPGwafStTRf_8bPPaoi2EFjHVy10_rRJ0uvy6YcU"",""AO:AO""))"),0.0)</f>
        <v>0</v>
      </c>
      <c r="F14" s="25">
        <f>IFERROR(__xludf.DUMMYFUNCTION("SUMPRODUCT((IMPORTRANGE(""17XjIPGwafStTRf_8bPPaoi2EFjHVy10_rRJ0uvy6YcU"",""M:M"")=B14)*1, IMPORTRANGE(""17XjIPGwafStTRf_8bPPaoi2EFjHVy10_rRJ0uvy6YcU"",""X:X""))"),0.0)</f>
        <v>0</v>
      </c>
      <c r="G14" s="26">
        <f>IFERROR(__xludf.DUMMYFUNCTION("COUNTIF(IMPORTRANGE(""17XjIPGwafStTRf_8bPPaoi2EFjHVy10_rRJ0uvy6YcU"",""M:M""), B14)"),0.0)</f>
        <v>0</v>
      </c>
      <c r="H14" s="27" t="str">
        <f t="shared" si="1"/>
        <v/>
      </c>
      <c r="I14" s="28" t="str">
        <f t="shared" si="2"/>
        <v/>
      </c>
      <c r="J14" s="29" t="str">
        <f t="shared" si="3"/>
        <v/>
      </c>
      <c r="K14" s="32"/>
      <c r="L14" s="31" t="str">
        <f t="shared" si="4"/>
        <v/>
      </c>
      <c r="M14" s="31" t="str">
        <f t="shared" si="5"/>
        <v/>
      </c>
      <c r="N14" s="4"/>
    </row>
    <row r="15">
      <c r="A15" s="1"/>
      <c r="B15" s="23">
        <f t="shared" si="6"/>
        <v>44661</v>
      </c>
      <c r="C15" s="24">
        <f>IFERROR(__xludf.DUMMYFUNCTION("SUMPRODUCT((IMPORTRANGE(""17XjIPGwafStTRf_8bPPaoi2EFjHVy10_rRJ0uvy6YcU"",""M:M"")=B15)*1, IMPORTRANGE(""17XjIPGwafStTRf_8bPPaoi2EFjHVy10_rRJ0uvy6YcU"",""X:X""), IMPORTRANGE(""17XjIPGwafStTRf_8bPPaoi2EFjHVy10_rRJ0uvy6YcU"",""AK:AK"")) - SUMPRODUCT((IMPORTR"&amp;"ANGE(""17XjIPGwafStTRf_8bPPaoi2EFjHVy10_rRJ0uvy6YcU"",""M:M"")=B15)*1, IMPORTRANGE(""17XjIPGwafStTRf_8bPPaoi2EFjHVy10_rRJ0uvy6YcU"",""X:X""), IMPORTRANGE(""17XjIPGwafStTRf_8bPPaoi2EFjHVy10_rRJ0uvy6YcU"",""AL:AL""))"),431791.0)</f>
        <v>431791</v>
      </c>
      <c r="D15" s="24">
        <f>IFERROR(__xludf.DUMMYFUNCTION("SUMPRODUCT((IMPORTRANGE(""17XjIPGwafStTRf_8bPPaoi2EFjHVy10_rRJ0uvy6YcU"",""M:M"")=B15)*1, IMPORTRANGE(""17XjIPGwafStTRf_8bPPaoi2EFjHVy10_rRJ0uvy6YcU"",""X:X""), IMPORTRANGE(""17XjIPGwafStTRf_8bPPaoi2EFjHVy10_rRJ0uvy6YcU"",""AA:AA"")) + SUMPRODUCT((IMPORTR"&amp;"ANGE(""17XjIPGwafStTRf_8bPPaoi2EFjHVy10_rRJ0uvy6YcU"",""M:M"")=B15)*1, IMPORTRANGE(""17XjIPGwafStTRf_8bPPaoi2EFjHVy10_rRJ0uvy6YcU"",""X:X""), IMPORTRANGE(""17XjIPGwafStTRf_8bPPaoi2EFjHVy10_rRJ0uvy6YcU"",""AE:AE"")) + SUMPRODUCT((IMPORTRANGE(""17XjIPGwafSt"&amp;"TRf_8bPPaoi2EFjHVy10_rRJ0uvy6YcU"",""M:M"")=B15)*1, IMPORTRANGE(""17XjIPGwafStTRf_8bPPaoi2EFjHVy10_rRJ0uvy6YcU"",""X:X""), IMPORTRANGE(""17XjIPGwafStTRf_8bPPaoi2EFjHVy10_rRJ0uvy6YcU"",""AF:AF""))"),259976.28651764986)</f>
        <v>259976.2865</v>
      </c>
      <c r="E15" s="24">
        <f>IFERROR(__xludf.DUMMYFUNCTION("SUMPRODUCT((IMPORTRANGE(""17XjIPGwafStTRf_8bPPaoi2EFjHVy10_rRJ0uvy6YcU"",""M:M"")=B15)*1, IMPORTRANGE(""17XjIPGwafStTRf_8bPPaoi2EFjHVy10_rRJ0uvy6YcU"",""X:X""), IMPORTRANGE(""17XjIPGwafStTRf_8bPPaoi2EFjHVy10_rRJ0uvy6YcU"",""AO:AO""))"),65837.74809991148)</f>
        <v>65837.7481</v>
      </c>
      <c r="F15" s="25">
        <f>IFERROR(__xludf.DUMMYFUNCTION("SUMPRODUCT((IMPORTRANGE(""17XjIPGwafStTRf_8bPPaoi2EFjHVy10_rRJ0uvy6YcU"",""M:M"")=B15)*1, IMPORTRANGE(""17XjIPGwafStTRf_8bPPaoi2EFjHVy10_rRJ0uvy6YcU"",""X:X""))"),128.0)</f>
        <v>128</v>
      </c>
      <c r="G15" s="26">
        <f>IFERROR(__xludf.DUMMYFUNCTION("COUNTIF(IMPORTRANGE(""17XjIPGwafStTRf_8bPPaoi2EFjHVy10_rRJ0uvy6YcU"",""M:M""), B15)"),46.0)</f>
        <v>46</v>
      </c>
      <c r="H15" s="27">
        <f t="shared" si="1"/>
        <v>2.782608696</v>
      </c>
      <c r="I15" s="28">
        <f t="shared" si="2"/>
        <v>0.152475962</v>
      </c>
      <c r="J15" s="29">
        <f t="shared" si="3"/>
        <v>0.2532452055</v>
      </c>
      <c r="K15" s="30"/>
      <c r="L15" s="31" t="str">
        <f t="shared" si="4"/>
        <v/>
      </c>
      <c r="M15" s="31" t="str">
        <f t="shared" si="5"/>
        <v/>
      </c>
      <c r="N15" s="4"/>
    </row>
    <row r="16">
      <c r="A16" s="1"/>
      <c r="B16" s="23">
        <f t="shared" si="6"/>
        <v>44662</v>
      </c>
      <c r="C16" s="24">
        <f>IFERROR(__xludf.DUMMYFUNCTION("SUMPRODUCT((IMPORTRANGE(""17XjIPGwafStTRf_8bPPaoi2EFjHVy10_rRJ0uvy6YcU"",""M:M"")=B16)*1, IMPORTRANGE(""17XjIPGwafStTRf_8bPPaoi2EFjHVy10_rRJ0uvy6YcU"",""X:X""), IMPORTRANGE(""17XjIPGwafStTRf_8bPPaoi2EFjHVy10_rRJ0uvy6YcU"",""AK:AK"")) - SUMPRODUCT((IMPORTR"&amp;"ANGE(""17XjIPGwafStTRf_8bPPaoi2EFjHVy10_rRJ0uvy6YcU"",""M:M"")=B16)*1, IMPORTRANGE(""17XjIPGwafStTRf_8bPPaoi2EFjHVy10_rRJ0uvy6YcU"",""X:X""), IMPORTRANGE(""17XjIPGwafStTRf_8bPPaoi2EFjHVy10_rRJ0uvy6YcU"",""AL:AL""))"),566946.0)</f>
        <v>566946</v>
      </c>
      <c r="D16" s="24">
        <f>IFERROR(__xludf.DUMMYFUNCTION("SUMPRODUCT((IMPORTRANGE(""17XjIPGwafStTRf_8bPPaoi2EFjHVy10_rRJ0uvy6YcU"",""M:M"")=B16)*1, IMPORTRANGE(""17XjIPGwafStTRf_8bPPaoi2EFjHVy10_rRJ0uvy6YcU"",""X:X""), IMPORTRANGE(""17XjIPGwafStTRf_8bPPaoi2EFjHVy10_rRJ0uvy6YcU"",""AA:AA"")) + SUMPRODUCT((IMPORTR"&amp;"ANGE(""17XjIPGwafStTRf_8bPPaoi2EFjHVy10_rRJ0uvy6YcU"",""M:M"")=B16)*1, IMPORTRANGE(""17XjIPGwafStTRf_8bPPaoi2EFjHVy10_rRJ0uvy6YcU"",""X:X""), IMPORTRANGE(""17XjIPGwafStTRf_8bPPaoi2EFjHVy10_rRJ0uvy6YcU"",""AE:AE"")) + SUMPRODUCT((IMPORTRANGE(""17XjIPGwafSt"&amp;"TRf_8bPPaoi2EFjHVy10_rRJ0uvy6YcU"",""M:M"")=B16)*1, IMPORTRANGE(""17XjIPGwafStTRf_8bPPaoi2EFjHVy10_rRJ0uvy6YcU"",""X:X""), IMPORTRANGE(""17XjIPGwafStTRf_8bPPaoi2EFjHVy10_rRJ0uvy6YcU"",""AF:AF""))"),373641.28404992796)</f>
        <v>373641.284</v>
      </c>
      <c r="E16" s="24">
        <f>IFERROR(__xludf.DUMMYFUNCTION("SUMPRODUCT((IMPORTRANGE(""17XjIPGwafStTRf_8bPPaoi2EFjHVy10_rRJ0uvy6YcU"",""M:M"")=B16)*1, IMPORTRANGE(""17XjIPGwafStTRf_8bPPaoi2EFjHVy10_rRJ0uvy6YcU"",""X:X""), IMPORTRANGE(""17XjIPGwafStTRf_8bPPaoi2EFjHVy10_rRJ0uvy6YcU"",""AO:AO""))"),101971.51595007206)</f>
        <v>101971.516</v>
      </c>
      <c r="F16" s="25">
        <f>IFERROR(__xludf.DUMMYFUNCTION("SUMPRODUCT((IMPORTRANGE(""17XjIPGwafStTRf_8bPPaoi2EFjHVy10_rRJ0uvy6YcU"",""M:M"")=B16)*1, IMPORTRANGE(""17XjIPGwafStTRf_8bPPaoi2EFjHVy10_rRJ0uvy6YcU"",""X:X""))"),87.0)</f>
        <v>87</v>
      </c>
      <c r="G16" s="26">
        <f>IFERROR(__xludf.DUMMYFUNCTION("COUNTIF(IMPORTRANGE(""17XjIPGwafStTRf_8bPPaoi2EFjHVy10_rRJ0uvy6YcU"",""M:M""), B16)"),39.0)</f>
        <v>39</v>
      </c>
      <c r="H16" s="27">
        <f t="shared" si="1"/>
        <v>2.230769231</v>
      </c>
      <c r="I16" s="28">
        <f t="shared" si="2"/>
        <v>0.1798610731</v>
      </c>
      <c r="J16" s="29">
        <f t="shared" si="3"/>
        <v>0.2729128721</v>
      </c>
      <c r="K16" s="32"/>
      <c r="L16" s="31" t="str">
        <f t="shared" si="4"/>
        <v/>
      </c>
      <c r="M16" s="31" t="str">
        <f t="shared" si="5"/>
        <v/>
      </c>
      <c r="N16" s="4"/>
    </row>
    <row r="17">
      <c r="A17" s="1"/>
      <c r="B17" s="23">
        <f t="shared" si="6"/>
        <v>44663</v>
      </c>
      <c r="C17" s="24">
        <f>IFERROR(__xludf.DUMMYFUNCTION("SUMPRODUCT((IMPORTRANGE(""17XjIPGwafStTRf_8bPPaoi2EFjHVy10_rRJ0uvy6YcU"",""M:M"")=B17)*1, IMPORTRANGE(""17XjIPGwafStTRf_8bPPaoi2EFjHVy10_rRJ0uvy6YcU"",""X:X""), IMPORTRANGE(""17XjIPGwafStTRf_8bPPaoi2EFjHVy10_rRJ0uvy6YcU"",""AK:AK"")) - SUMPRODUCT((IMPORTR"&amp;"ANGE(""17XjIPGwafStTRf_8bPPaoi2EFjHVy10_rRJ0uvy6YcU"",""M:M"")=B17)*1, IMPORTRANGE(""17XjIPGwafStTRf_8bPPaoi2EFjHVy10_rRJ0uvy6YcU"",""X:X""), IMPORTRANGE(""17XjIPGwafStTRf_8bPPaoi2EFjHVy10_rRJ0uvy6YcU"",""AL:AL""))"),376976.0)</f>
        <v>376976</v>
      </c>
      <c r="D17" s="24">
        <f>IFERROR(__xludf.DUMMYFUNCTION("SUMPRODUCT((IMPORTRANGE(""17XjIPGwafStTRf_8bPPaoi2EFjHVy10_rRJ0uvy6YcU"",""M:M"")=B17)*1, IMPORTRANGE(""17XjIPGwafStTRf_8bPPaoi2EFjHVy10_rRJ0uvy6YcU"",""X:X""), IMPORTRANGE(""17XjIPGwafStTRf_8bPPaoi2EFjHVy10_rRJ0uvy6YcU"",""AA:AA"")) + SUMPRODUCT((IMPORTR"&amp;"ANGE(""17XjIPGwafStTRf_8bPPaoi2EFjHVy10_rRJ0uvy6YcU"",""M:M"")=B17)*1, IMPORTRANGE(""17XjIPGwafStTRf_8bPPaoi2EFjHVy10_rRJ0uvy6YcU"",""X:X""), IMPORTRANGE(""17XjIPGwafStTRf_8bPPaoi2EFjHVy10_rRJ0uvy6YcU"",""AE:AE"")) + SUMPRODUCT((IMPORTRANGE(""17XjIPGwafSt"&amp;"TRf_8bPPaoi2EFjHVy10_rRJ0uvy6YcU"",""M:M"")=B17)*1, IMPORTRANGE(""17XjIPGwafStTRf_8bPPaoi2EFjHVy10_rRJ0uvy6YcU"",""X:X""), IMPORTRANGE(""17XjIPGwafStTRf_8bPPaoi2EFjHVy10_rRJ0uvy6YcU"",""AF:AF""))"),250249.4505774148)</f>
        <v>250249.4506</v>
      </c>
      <c r="E17" s="24">
        <f>IFERROR(__xludf.DUMMYFUNCTION("SUMPRODUCT((IMPORTRANGE(""17XjIPGwafStTRf_8bPPaoi2EFjHVy10_rRJ0uvy6YcU"",""M:M"")=B17)*1, IMPORTRANGE(""17XjIPGwafStTRf_8bPPaoi2EFjHVy10_rRJ0uvy6YcU"",""X:X""), IMPORTRANGE(""17XjIPGwafStTRf_8bPPaoi2EFjHVy10_rRJ0uvy6YcU"",""AO:AO""))"),79328.04942258519)</f>
        <v>79328.04942</v>
      </c>
      <c r="F17" s="25">
        <f>IFERROR(__xludf.DUMMYFUNCTION("SUMPRODUCT((IMPORTRANGE(""17XjIPGwafStTRf_8bPPaoi2EFjHVy10_rRJ0uvy6YcU"",""M:M"")=B17)*1, IMPORTRANGE(""17XjIPGwafStTRf_8bPPaoi2EFjHVy10_rRJ0uvy6YcU"",""X:X""))"),79.0)</f>
        <v>79</v>
      </c>
      <c r="G17" s="26">
        <f>IFERROR(__xludf.DUMMYFUNCTION("COUNTIF(IMPORTRANGE(""17XjIPGwafStTRf_8bPPaoi2EFjHVy10_rRJ0uvy6YcU"",""M:M""), B17)"),29.0)</f>
        <v>29</v>
      </c>
      <c r="H17" s="27">
        <f t="shared" si="1"/>
        <v>2.724137931</v>
      </c>
      <c r="I17" s="28">
        <f t="shared" si="2"/>
        <v>0.2104326255</v>
      </c>
      <c r="J17" s="29">
        <f t="shared" si="3"/>
        <v>0.3169958985</v>
      </c>
      <c r="K17" s="32"/>
      <c r="L17" s="31" t="str">
        <f t="shared" si="4"/>
        <v/>
      </c>
      <c r="M17" s="31" t="str">
        <f t="shared" si="5"/>
        <v/>
      </c>
      <c r="N17" s="4"/>
    </row>
    <row r="18">
      <c r="A18" s="1"/>
      <c r="B18" s="23">
        <f t="shared" si="6"/>
        <v>44664</v>
      </c>
      <c r="C18" s="24">
        <f>IFERROR(__xludf.DUMMYFUNCTION("SUMPRODUCT((IMPORTRANGE(""17XjIPGwafStTRf_8bPPaoi2EFjHVy10_rRJ0uvy6YcU"",""M:M"")=B18)*1, IMPORTRANGE(""17XjIPGwafStTRf_8bPPaoi2EFjHVy10_rRJ0uvy6YcU"",""X:X""), IMPORTRANGE(""17XjIPGwafStTRf_8bPPaoi2EFjHVy10_rRJ0uvy6YcU"",""AK:AK"")) - SUMPRODUCT((IMPORTR"&amp;"ANGE(""17XjIPGwafStTRf_8bPPaoi2EFjHVy10_rRJ0uvy6YcU"",""M:M"")=B18)*1, IMPORTRANGE(""17XjIPGwafStTRf_8bPPaoi2EFjHVy10_rRJ0uvy6YcU"",""X:X""), IMPORTRANGE(""17XjIPGwafStTRf_8bPPaoi2EFjHVy10_rRJ0uvy6YcU"",""AL:AL""))"),250626.0)</f>
        <v>250626</v>
      </c>
      <c r="D18" s="24">
        <f>IFERROR(__xludf.DUMMYFUNCTION("SUMPRODUCT((IMPORTRANGE(""17XjIPGwafStTRf_8bPPaoi2EFjHVy10_rRJ0uvy6YcU"",""M:M"")=B18)*1, IMPORTRANGE(""17XjIPGwafStTRf_8bPPaoi2EFjHVy10_rRJ0uvy6YcU"",""X:X""), IMPORTRANGE(""17XjIPGwafStTRf_8bPPaoi2EFjHVy10_rRJ0uvy6YcU"",""AA:AA"")) + SUMPRODUCT((IMPORTR"&amp;"ANGE(""17XjIPGwafStTRf_8bPPaoi2EFjHVy10_rRJ0uvy6YcU"",""M:M"")=B18)*1, IMPORTRANGE(""17XjIPGwafStTRf_8bPPaoi2EFjHVy10_rRJ0uvy6YcU"",""X:X""), IMPORTRANGE(""17XjIPGwafStTRf_8bPPaoi2EFjHVy10_rRJ0uvy6YcU"",""AE:AE"")) + SUMPRODUCT((IMPORTRANGE(""17XjIPGwafSt"&amp;"TRf_8bPPaoi2EFjHVy10_rRJ0uvy6YcU"",""M:M"")=B18)*1, IMPORTRANGE(""17XjIPGwafStTRf_8bPPaoi2EFjHVy10_rRJ0uvy6YcU"",""X:X""), IMPORTRANGE(""17XjIPGwafStTRf_8bPPaoi2EFjHVy10_rRJ0uvy6YcU"",""AF:AF""))"),144570.68888583573)</f>
        <v>144570.6889</v>
      </c>
      <c r="E18" s="24">
        <f>IFERROR(__xludf.DUMMYFUNCTION("SUMPRODUCT((IMPORTRANGE(""17XjIPGwafStTRf_8bPPaoi2EFjHVy10_rRJ0uvy6YcU"",""M:M"")=B18)*1, IMPORTRANGE(""17XjIPGwafStTRf_8bPPaoi2EFjHVy10_rRJ0uvy6YcU"",""X:X""), IMPORTRANGE(""17XjIPGwafStTRf_8bPPaoi2EFjHVy10_rRJ0uvy6YcU"",""AO:AO""))"),59652.80053518801)</f>
        <v>59652.80054</v>
      </c>
      <c r="F18" s="25">
        <f>IFERROR(__xludf.DUMMYFUNCTION("SUMPRODUCT((IMPORTRANGE(""17XjIPGwafStTRf_8bPPaoi2EFjHVy10_rRJ0uvy6YcU"",""M:M"")=B18)*1, IMPORTRANGE(""17XjIPGwafStTRf_8bPPaoi2EFjHVy10_rRJ0uvy6YcU"",""X:X""))"),67.0)</f>
        <v>67</v>
      </c>
      <c r="G18" s="26">
        <f>IFERROR(__xludf.DUMMYFUNCTION("COUNTIF(IMPORTRANGE(""17XjIPGwafStTRf_8bPPaoi2EFjHVy10_rRJ0uvy6YcU"",""M:M""), B18)"),39.0)</f>
        <v>39</v>
      </c>
      <c r="H18" s="27">
        <f t="shared" si="1"/>
        <v>1.717948718</v>
      </c>
      <c r="I18" s="28">
        <f t="shared" si="2"/>
        <v>0.238015212</v>
      </c>
      <c r="J18" s="29">
        <f t="shared" si="3"/>
        <v>0.4126202967</v>
      </c>
      <c r="K18" s="32"/>
      <c r="L18" s="31" t="str">
        <f t="shared" si="4"/>
        <v/>
      </c>
      <c r="M18" s="31" t="str">
        <f t="shared" si="5"/>
        <v/>
      </c>
      <c r="N18" s="4"/>
    </row>
    <row r="19">
      <c r="A19" s="1"/>
      <c r="B19" s="23">
        <f t="shared" si="6"/>
        <v>44665</v>
      </c>
      <c r="C19" s="24">
        <f>IFERROR(__xludf.DUMMYFUNCTION("SUMPRODUCT((IMPORTRANGE(""17XjIPGwafStTRf_8bPPaoi2EFjHVy10_rRJ0uvy6YcU"",""M:M"")=B19)*1, IMPORTRANGE(""17XjIPGwafStTRf_8bPPaoi2EFjHVy10_rRJ0uvy6YcU"",""X:X""), IMPORTRANGE(""17XjIPGwafStTRf_8bPPaoi2EFjHVy10_rRJ0uvy6YcU"",""AK:AK"")) - SUMPRODUCT((IMPORTR"&amp;"ANGE(""17XjIPGwafStTRf_8bPPaoi2EFjHVy10_rRJ0uvy6YcU"",""M:M"")=B19)*1, IMPORTRANGE(""17XjIPGwafStTRf_8bPPaoi2EFjHVy10_rRJ0uvy6YcU"",""X:X""), IMPORTRANGE(""17XjIPGwafStTRf_8bPPaoi2EFjHVy10_rRJ0uvy6YcU"",""AL:AL""))"),209493.0)</f>
        <v>209493</v>
      </c>
      <c r="D19" s="24">
        <f>IFERROR(__xludf.DUMMYFUNCTION("SUMPRODUCT((IMPORTRANGE(""17XjIPGwafStTRf_8bPPaoi2EFjHVy10_rRJ0uvy6YcU"",""M:M"")=B19)*1, IMPORTRANGE(""17XjIPGwafStTRf_8bPPaoi2EFjHVy10_rRJ0uvy6YcU"",""X:X""), IMPORTRANGE(""17XjIPGwafStTRf_8bPPaoi2EFjHVy10_rRJ0uvy6YcU"",""AA:AA"")) + SUMPRODUCT((IMPORTR"&amp;"ANGE(""17XjIPGwafStTRf_8bPPaoi2EFjHVy10_rRJ0uvy6YcU"",""M:M"")=B19)*1, IMPORTRANGE(""17XjIPGwafStTRf_8bPPaoi2EFjHVy10_rRJ0uvy6YcU"",""X:X""), IMPORTRANGE(""17XjIPGwafStTRf_8bPPaoi2EFjHVy10_rRJ0uvy6YcU"",""AE:AE"")) + SUMPRODUCT((IMPORTRANGE(""17XjIPGwafSt"&amp;"TRf_8bPPaoi2EFjHVy10_rRJ0uvy6YcU"",""M:M"")=B19)*1, IMPORTRANGE(""17XjIPGwafStTRf_8bPPaoi2EFjHVy10_rRJ0uvy6YcU"",""X:X""), IMPORTRANGE(""17XjIPGwafStTRf_8bPPaoi2EFjHVy10_rRJ0uvy6YcU"",""AF:AF""))"),131234.3398916539)</f>
        <v>131234.3399</v>
      </c>
      <c r="E19" s="24">
        <f>IFERROR(__xludf.DUMMYFUNCTION("SUMPRODUCT((IMPORTRANGE(""17XjIPGwafStTRf_8bPPaoi2EFjHVy10_rRJ0uvy6YcU"",""M:M"")=B19)*1, IMPORTRANGE(""17XjIPGwafStTRf_8bPPaoi2EFjHVy10_rRJ0uvy6YcU"",""X:X""), IMPORTRANGE(""17XjIPGwafStTRf_8bPPaoi2EFjHVy10_rRJ0uvy6YcU"",""AO:AO""))"),37134.06010834611)</f>
        <v>37134.06011</v>
      </c>
      <c r="F19" s="25">
        <f>IFERROR(__xludf.DUMMYFUNCTION("SUMPRODUCT((IMPORTRANGE(""17XjIPGwafStTRf_8bPPaoi2EFjHVy10_rRJ0uvy6YcU"",""M:M"")=B19)*1, IMPORTRANGE(""17XjIPGwafStTRf_8bPPaoi2EFjHVy10_rRJ0uvy6YcU"",""X:X""))"),44.0)</f>
        <v>44</v>
      </c>
      <c r="G19" s="26">
        <f>IFERROR(__xludf.DUMMYFUNCTION("COUNTIF(IMPORTRANGE(""17XjIPGwafStTRf_8bPPaoi2EFjHVy10_rRJ0uvy6YcU"",""M:M""), B19)"),27.0)</f>
        <v>27</v>
      </c>
      <c r="H19" s="27">
        <f t="shared" si="1"/>
        <v>1.62962963</v>
      </c>
      <c r="I19" s="28">
        <f t="shared" si="2"/>
        <v>0.1772568062</v>
      </c>
      <c r="J19" s="29">
        <f t="shared" si="3"/>
        <v>0.2829599337</v>
      </c>
      <c r="K19" s="32"/>
      <c r="L19" s="31" t="str">
        <f t="shared" si="4"/>
        <v/>
      </c>
      <c r="M19" s="31" t="str">
        <f t="shared" si="5"/>
        <v/>
      </c>
      <c r="N19" s="4"/>
    </row>
    <row r="20">
      <c r="A20" s="1"/>
      <c r="B20" s="23">
        <f t="shared" si="6"/>
        <v>44666</v>
      </c>
      <c r="C20" s="24">
        <f>IFERROR(__xludf.DUMMYFUNCTION("SUMPRODUCT((IMPORTRANGE(""17XjIPGwafStTRf_8bPPaoi2EFjHVy10_rRJ0uvy6YcU"",""M:M"")=B20)*1, IMPORTRANGE(""17XjIPGwafStTRf_8bPPaoi2EFjHVy10_rRJ0uvy6YcU"",""X:X""), IMPORTRANGE(""17XjIPGwafStTRf_8bPPaoi2EFjHVy10_rRJ0uvy6YcU"",""AK:AK"")) - SUMPRODUCT((IMPORTR"&amp;"ANGE(""17XjIPGwafStTRf_8bPPaoi2EFjHVy10_rRJ0uvy6YcU"",""M:M"")=B20)*1, IMPORTRANGE(""17XjIPGwafStTRf_8bPPaoi2EFjHVy10_rRJ0uvy6YcU"",""X:X""), IMPORTRANGE(""17XjIPGwafStTRf_8bPPaoi2EFjHVy10_rRJ0uvy6YcU"",""AL:AL""))"),445782.0)</f>
        <v>445782</v>
      </c>
      <c r="D20" s="24">
        <f>IFERROR(__xludf.DUMMYFUNCTION("SUMPRODUCT((IMPORTRANGE(""17XjIPGwafStTRf_8bPPaoi2EFjHVy10_rRJ0uvy6YcU"",""M:M"")=B20)*1, IMPORTRANGE(""17XjIPGwafStTRf_8bPPaoi2EFjHVy10_rRJ0uvy6YcU"",""X:X""), IMPORTRANGE(""17XjIPGwafStTRf_8bPPaoi2EFjHVy10_rRJ0uvy6YcU"",""AA:AA"")) + SUMPRODUCT((IMPORTR"&amp;"ANGE(""17XjIPGwafStTRf_8bPPaoi2EFjHVy10_rRJ0uvy6YcU"",""M:M"")=B20)*1, IMPORTRANGE(""17XjIPGwafStTRf_8bPPaoi2EFjHVy10_rRJ0uvy6YcU"",""X:X""), IMPORTRANGE(""17XjIPGwafStTRf_8bPPaoi2EFjHVy10_rRJ0uvy6YcU"",""AE:AE"")) + SUMPRODUCT((IMPORTRANGE(""17XjIPGwafSt"&amp;"TRf_8bPPaoi2EFjHVy10_rRJ0uvy6YcU"",""M:M"")=B20)*1, IMPORTRANGE(""17XjIPGwafStTRf_8bPPaoi2EFjHVy10_rRJ0uvy6YcU"",""X:X""), IMPORTRANGE(""17XjIPGwafStTRf_8bPPaoi2EFjHVy10_rRJ0uvy6YcU"",""AF:AF""))"),329141.75243248005)</f>
        <v>329141.7524</v>
      </c>
      <c r="E20" s="24">
        <f>IFERROR(__xludf.DUMMYFUNCTION("SUMPRODUCT((IMPORTRANGE(""17XjIPGwafStTRf_8bPPaoi2EFjHVy10_rRJ0uvy6YcU"",""M:M"")=B20)*1, IMPORTRANGE(""17XjIPGwafStTRf_8bPPaoi2EFjHVy10_rRJ0uvy6YcU"",""X:X""), IMPORTRANGE(""17XjIPGwafStTRf_8bPPaoi2EFjHVy10_rRJ0uvy6YcU"",""AO:AO""))"),48049.047567519956)</f>
        <v>48049.04757</v>
      </c>
      <c r="F20" s="25">
        <f>IFERROR(__xludf.DUMMYFUNCTION("SUMPRODUCT((IMPORTRANGE(""17XjIPGwafStTRf_8bPPaoi2EFjHVy10_rRJ0uvy6YcU"",""M:M"")=B20)*1, IMPORTRANGE(""17XjIPGwafStTRf_8bPPaoi2EFjHVy10_rRJ0uvy6YcU"",""X:X""))"),98.0)</f>
        <v>98</v>
      </c>
      <c r="G20" s="26">
        <f>IFERROR(__xludf.DUMMYFUNCTION("COUNTIF(IMPORTRANGE(""17XjIPGwafStTRf_8bPPaoi2EFjHVy10_rRJ0uvy6YcU"",""M:M""), B20)"),33.0)</f>
        <v>33</v>
      </c>
      <c r="H20" s="27">
        <f t="shared" si="1"/>
        <v>2.96969697</v>
      </c>
      <c r="I20" s="28">
        <f t="shared" si="2"/>
        <v>0.1077859751</v>
      </c>
      <c r="J20" s="29">
        <f t="shared" si="3"/>
        <v>0.1459828393</v>
      </c>
      <c r="K20" s="32"/>
      <c r="L20" s="31" t="str">
        <f t="shared" si="4"/>
        <v/>
      </c>
      <c r="M20" s="31" t="str">
        <f t="shared" si="5"/>
        <v/>
      </c>
      <c r="N20" s="4"/>
    </row>
    <row r="21">
      <c r="A21" s="1"/>
      <c r="B21" s="23">
        <f t="shared" si="6"/>
        <v>44667</v>
      </c>
      <c r="C21" s="24">
        <f>IFERROR(__xludf.DUMMYFUNCTION("SUMPRODUCT((IMPORTRANGE(""17XjIPGwafStTRf_8bPPaoi2EFjHVy10_rRJ0uvy6YcU"",""M:M"")=B21)*1, IMPORTRANGE(""17XjIPGwafStTRf_8bPPaoi2EFjHVy10_rRJ0uvy6YcU"",""X:X""), IMPORTRANGE(""17XjIPGwafStTRf_8bPPaoi2EFjHVy10_rRJ0uvy6YcU"",""AK:AK"")) - SUMPRODUCT((IMPORTR"&amp;"ANGE(""17XjIPGwafStTRf_8bPPaoi2EFjHVy10_rRJ0uvy6YcU"",""M:M"")=B21)*1, IMPORTRANGE(""17XjIPGwafStTRf_8bPPaoi2EFjHVy10_rRJ0uvy6YcU"",""X:X""), IMPORTRANGE(""17XjIPGwafStTRf_8bPPaoi2EFjHVy10_rRJ0uvy6YcU"",""AL:AL""))"),417207.0)</f>
        <v>417207</v>
      </c>
      <c r="D21" s="24">
        <f>IFERROR(__xludf.DUMMYFUNCTION("SUMPRODUCT((IMPORTRANGE(""17XjIPGwafStTRf_8bPPaoi2EFjHVy10_rRJ0uvy6YcU"",""M:M"")=B21)*1, IMPORTRANGE(""17XjIPGwafStTRf_8bPPaoi2EFjHVy10_rRJ0uvy6YcU"",""X:X""), IMPORTRANGE(""17XjIPGwafStTRf_8bPPaoi2EFjHVy10_rRJ0uvy6YcU"",""AA:AA"")) + SUMPRODUCT((IMPORTR"&amp;"ANGE(""17XjIPGwafStTRf_8bPPaoi2EFjHVy10_rRJ0uvy6YcU"",""M:M"")=B21)*1, IMPORTRANGE(""17XjIPGwafStTRf_8bPPaoi2EFjHVy10_rRJ0uvy6YcU"",""X:X""), IMPORTRANGE(""17XjIPGwafStTRf_8bPPaoi2EFjHVy10_rRJ0uvy6YcU"",""AE:AE"")) + SUMPRODUCT((IMPORTRANGE(""17XjIPGwafSt"&amp;"TRf_8bPPaoi2EFjHVy10_rRJ0uvy6YcU"",""M:M"")=B21)*1, IMPORTRANGE(""17XjIPGwafStTRf_8bPPaoi2EFjHVy10_rRJ0uvy6YcU"",""X:X""), IMPORTRANGE(""17XjIPGwafStTRf_8bPPaoi2EFjHVy10_rRJ0uvy6YcU"",""AF:AF""))"),237646.75942108178)</f>
        <v>237646.7594</v>
      </c>
      <c r="E21" s="24">
        <f>IFERROR(__xludf.DUMMYFUNCTION("SUMPRODUCT((IMPORTRANGE(""17XjIPGwafStTRf_8bPPaoi2EFjHVy10_rRJ0uvy6YcU"",""M:M"")=B21)*1, IMPORTRANGE(""17XjIPGwafStTRf_8bPPaoi2EFjHVy10_rRJ0uvy6YcU"",""X:X""), IMPORTRANGE(""17XjIPGwafStTRf_8bPPaoi2EFjHVy10_rRJ0uvy6YcU"",""AO:AO""))"),109160.04057891821)</f>
        <v>109160.0406</v>
      </c>
      <c r="F21" s="25">
        <f>IFERROR(__xludf.DUMMYFUNCTION("SUMPRODUCT((IMPORTRANGE(""17XjIPGwafStTRf_8bPPaoi2EFjHVy10_rRJ0uvy6YcU"",""M:M"")=B21)*1, IMPORTRANGE(""17XjIPGwafStTRf_8bPPaoi2EFjHVy10_rRJ0uvy6YcU"",""X:X""))"),75.0)</f>
        <v>75</v>
      </c>
      <c r="G21" s="26">
        <f>IFERROR(__xludf.DUMMYFUNCTION("COUNTIF(IMPORTRANGE(""17XjIPGwafStTRf_8bPPaoi2EFjHVy10_rRJ0uvy6YcU"",""M:M""), B21)"),43.0)</f>
        <v>43</v>
      </c>
      <c r="H21" s="27">
        <f t="shared" si="1"/>
        <v>1.744186047</v>
      </c>
      <c r="I21" s="28">
        <f t="shared" si="2"/>
        <v>0.2616447964</v>
      </c>
      <c r="J21" s="29">
        <f t="shared" si="3"/>
        <v>0.4593373831</v>
      </c>
      <c r="K21" s="32"/>
      <c r="L21" s="31" t="str">
        <f t="shared" si="4"/>
        <v/>
      </c>
      <c r="M21" s="31" t="str">
        <f t="shared" si="5"/>
        <v/>
      </c>
      <c r="N21" s="4"/>
    </row>
    <row r="22">
      <c r="A22" s="1"/>
      <c r="B22" s="23">
        <f t="shared" si="6"/>
        <v>44668</v>
      </c>
      <c r="C22" s="24">
        <f>IFERROR(__xludf.DUMMYFUNCTION("SUMPRODUCT((IMPORTRANGE(""17XjIPGwafStTRf_8bPPaoi2EFjHVy10_rRJ0uvy6YcU"",""M:M"")=B22)*1, IMPORTRANGE(""17XjIPGwafStTRf_8bPPaoi2EFjHVy10_rRJ0uvy6YcU"",""X:X""), IMPORTRANGE(""17XjIPGwafStTRf_8bPPaoi2EFjHVy10_rRJ0uvy6YcU"",""AK:AK"")) - SUMPRODUCT((IMPORTR"&amp;"ANGE(""17XjIPGwafStTRf_8bPPaoi2EFjHVy10_rRJ0uvy6YcU"",""M:M"")=B22)*1, IMPORTRANGE(""17XjIPGwafStTRf_8bPPaoi2EFjHVy10_rRJ0uvy6YcU"",""X:X""), IMPORTRANGE(""17XjIPGwafStTRf_8bPPaoi2EFjHVy10_rRJ0uvy6YcU"",""AL:AL""))"),310821.0)</f>
        <v>310821</v>
      </c>
      <c r="D22" s="24">
        <f>IFERROR(__xludf.DUMMYFUNCTION("SUMPRODUCT((IMPORTRANGE(""17XjIPGwafStTRf_8bPPaoi2EFjHVy10_rRJ0uvy6YcU"",""M:M"")=B22)*1, IMPORTRANGE(""17XjIPGwafStTRf_8bPPaoi2EFjHVy10_rRJ0uvy6YcU"",""X:X""), IMPORTRANGE(""17XjIPGwafStTRf_8bPPaoi2EFjHVy10_rRJ0uvy6YcU"",""AA:AA"")) + SUMPRODUCT((IMPORTR"&amp;"ANGE(""17XjIPGwafStTRf_8bPPaoi2EFjHVy10_rRJ0uvy6YcU"",""M:M"")=B22)*1, IMPORTRANGE(""17XjIPGwafStTRf_8bPPaoi2EFjHVy10_rRJ0uvy6YcU"",""X:X""), IMPORTRANGE(""17XjIPGwafStTRf_8bPPaoi2EFjHVy10_rRJ0uvy6YcU"",""AE:AE"")) + SUMPRODUCT((IMPORTRANGE(""17XjIPGwafSt"&amp;"TRf_8bPPaoi2EFjHVy10_rRJ0uvy6YcU"",""M:M"")=B22)*1, IMPORTRANGE(""17XjIPGwafStTRf_8bPPaoi2EFjHVy10_rRJ0uvy6YcU"",""X:X""), IMPORTRANGE(""17XjIPGwafStTRf_8bPPaoi2EFjHVy10_rRJ0uvy6YcU"",""AF:AF""))"),211238.24668119976)</f>
        <v>211238.2467</v>
      </c>
      <c r="E22" s="24">
        <f>IFERROR(__xludf.DUMMYFUNCTION("SUMPRODUCT((IMPORTRANGE(""17XjIPGwafStTRf_8bPPaoi2EFjHVy10_rRJ0uvy6YcU"",""M:M"")=B22)*1, IMPORTRANGE(""17XjIPGwafStTRf_8bPPaoi2EFjHVy10_rRJ0uvy6YcU"",""X:X""), IMPORTRANGE(""17XjIPGwafStTRf_8bPPaoi2EFjHVy10_rRJ0uvy6YcU"",""AO:AO""))"),50427.75331880018)</f>
        <v>50427.75332</v>
      </c>
      <c r="F22" s="25">
        <f>IFERROR(__xludf.DUMMYFUNCTION("SUMPRODUCT((IMPORTRANGE(""17XjIPGwafStTRf_8bPPaoi2EFjHVy10_rRJ0uvy6YcU"",""M:M"")=B22)*1, IMPORTRANGE(""17XjIPGwafStTRf_8bPPaoi2EFjHVy10_rRJ0uvy6YcU"",""X:X""))"),73.0)</f>
        <v>73</v>
      </c>
      <c r="G22" s="26">
        <f>IFERROR(__xludf.DUMMYFUNCTION("COUNTIF(IMPORTRANGE(""17XjIPGwafStTRf_8bPPaoi2EFjHVy10_rRJ0uvy6YcU"",""M:M""), B22)"),28.0)</f>
        <v>28</v>
      </c>
      <c r="H22" s="27">
        <f t="shared" si="1"/>
        <v>2.607142857</v>
      </c>
      <c r="I22" s="28">
        <f t="shared" si="2"/>
        <v>0.1622404964</v>
      </c>
      <c r="J22" s="29">
        <f t="shared" si="3"/>
        <v>0.2387245402</v>
      </c>
      <c r="K22" s="32"/>
      <c r="L22" s="31" t="str">
        <f t="shared" si="4"/>
        <v/>
      </c>
      <c r="M22" s="31" t="str">
        <f t="shared" si="5"/>
        <v/>
      </c>
      <c r="N22" s="4"/>
    </row>
    <row r="23">
      <c r="A23" s="1"/>
      <c r="B23" s="23">
        <f t="shared" si="6"/>
        <v>44669</v>
      </c>
      <c r="C23" s="24">
        <f>IFERROR(__xludf.DUMMYFUNCTION("SUMPRODUCT((IMPORTRANGE(""17XjIPGwafStTRf_8bPPaoi2EFjHVy10_rRJ0uvy6YcU"",""M:M"")=B23)*1, IMPORTRANGE(""17XjIPGwafStTRf_8bPPaoi2EFjHVy10_rRJ0uvy6YcU"",""X:X""), IMPORTRANGE(""17XjIPGwafStTRf_8bPPaoi2EFjHVy10_rRJ0uvy6YcU"",""AK:AK"")) - SUMPRODUCT((IMPORTR"&amp;"ANGE(""17XjIPGwafStTRf_8bPPaoi2EFjHVy10_rRJ0uvy6YcU"",""M:M"")=B23)*1, IMPORTRANGE(""17XjIPGwafStTRf_8bPPaoi2EFjHVy10_rRJ0uvy6YcU"",""X:X""), IMPORTRANGE(""17XjIPGwafStTRf_8bPPaoi2EFjHVy10_rRJ0uvy6YcU"",""AL:AL""))"),626356.0)</f>
        <v>626356</v>
      </c>
      <c r="D23" s="24">
        <f>IFERROR(__xludf.DUMMYFUNCTION("SUMPRODUCT((IMPORTRANGE(""17XjIPGwafStTRf_8bPPaoi2EFjHVy10_rRJ0uvy6YcU"",""M:M"")=B23)*1, IMPORTRANGE(""17XjIPGwafStTRf_8bPPaoi2EFjHVy10_rRJ0uvy6YcU"",""X:X""), IMPORTRANGE(""17XjIPGwafStTRf_8bPPaoi2EFjHVy10_rRJ0uvy6YcU"",""AA:AA"")) + SUMPRODUCT((IMPORTR"&amp;"ANGE(""17XjIPGwafStTRf_8bPPaoi2EFjHVy10_rRJ0uvy6YcU"",""M:M"")=B23)*1, IMPORTRANGE(""17XjIPGwafStTRf_8bPPaoi2EFjHVy10_rRJ0uvy6YcU"",""X:X""), IMPORTRANGE(""17XjIPGwafStTRf_8bPPaoi2EFjHVy10_rRJ0uvy6YcU"",""AE:AE"")) + SUMPRODUCT((IMPORTRANGE(""17XjIPGwafSt"&amp;"TRf_8bPPaoi2EFjHVy10_rRJ0uvy6YcU"",""M:M"")=B23)*1, IMPORTRANGE(""17XjIPGwafStTRf_8bPPaoi2EFjHVy10_rRJ0uvy6YcU"",""X:X""), IMPORTRANGE(""17XjIPGwafStTRf_8bPPaoi2EFjHVy10_rRJ0uvy6YcU"",""AF:AF""))"),406378.1147980896)</f>
        <v>406378.1148</v>
      </c>
      <c r="E23" s="24">
        <f>IFERROR(__xludf.DUMMYFUNCTION("SUMPRODUCT((IMPORTRANGE(""17XjIPGwafStTRf_8bPPaoi2EFjHVy10_rRJ0uvy6YcU"",""M:M"")=B23)*1, IMPORTRANGE(""17XjIPGwafStTRf_8bPPaoi2EFjHVy10_rRJ0uvy6YcU"",""X:X""), IMPORTRANGE(""17XjIPGwafStTRf_8bPPaoi2EFjHVy10_rRJ0uvy6YcU"",""AO:AO""))"),117948.57578631453)</f>
        <v>117948.5758</v>
      </c>
      <c r="F23" s="25">
        <f>IFERROR(__xludf.DUMMYFUNCTION("SUMPRODUCT((IMPORTRANGE(""17XjIPGwafStTRf_8bPPaoi2EFjHVy10_rRJ0uvy6YcU"",""M:M"")=B23)*1, IMPORTRANGE(""17XjIPGwafStTRf_8bPPaoi2EFjHVy10_rRJ0uvy6YcU"",""X:X""))"),92.0)</f>
        <v>92</v>
      </c>
      <c r="G23" s="26">
        <f>IFERROR(__xludf.DUMMYFUNCTION("COUNTIF(IMPORTRANGE(""17XjIPGwafStTRf_8bPPaoi2EFjHVy10_rRJ0uvy6YcU"",""M:M""), B23)"),20.0)</f>
        <v>20</v>
      </c>
      <c r="H23" s="27">
        <f t="shared" si="1"/>
        <v>4.6</v>
      </c>
      <c r="I23" s="28">
        <f t="shared" si="2"/>
        <v>0.1883091657</v>
      </c>
      <c r="J23" s="29">
        <f t="shared" si="3"/>
        <v>0.2902434248</v>
      </c>
      <c r="K23" s="32"/>
      <c r="L23" s="31" t="str">
        <f t="shared" si="4"/>
        <v/>
      </c>
      <c r="M23" s="31" t="str">
        <f t="shared" si="5"/>
        <v/>
      </c>
      <c r="N23" s="4"/>
    </row>
    <row r="24">
      <c r="A24" s="1"/>
      <c r="B24" s="23">
        <f t="shared" si="6"/>
        <v>44670</v>
      </c>
      <c r="C24" s="24">
        <f>IFERROR(__xludf.DUMMYFUNCTION("SUMPRODUCT((IMPORTRANGE(""17XjIPGwafStTRf_8bPPaoi2EFjHVy10_rRJ0uvy6YcU"",""M:M"")=B24)*1, IMPORTRANGE(""17XjIPGwafStTRf_8bPPaoi2EFjHVy10_rRJ0uvy6YcU"",""X:X""), IMPORTRANGE(""17XjIPGwafStTRf_8bPPaoi2EFjHVy10_rRJ0uvy6YcU"",""AK:AK"")) - SUMPRODUCT((IMPORTR"&amp;"ANGE(""17XjIPGwafStTRf_8bPPaoi2EFjHVy10_rRJ0uvy6YcU"",""M:M"")=B24)*1, IMPORTRANGE(""17XjIPGwafStTRf_8bPPaoi2EFjHVy10_rRJ0uvy6YcU"",""X:X""), IMPORTRANGE(""17XjIPGwafStTRf_8bPPaoi2EFjHVy10_rRJ0uvy6YcU"",""AL:AL""))"),244030.0)</f>
        <v>244030</v>
      </c>
      <c r="D24" s="24">
        <f>IFERROR(__xludf.DUMMYFUNCTION("SUMPRODUCT((IMPORTRANGE(""17XjIPGwafStTRf_8bPPaoi2EFjHVy10_rRJ0uvy6YcU"",""M:M"")=B24)*1, IMPORTRANGE(""17XjIPGwafStTRf_8bPPaoi2EFjHVy10_rRJ0uvy6YcU"",""X:X""), IMPORTRANGE(""17XjIPGwafStTRf_8bPPaoi2EFjHVy10_rRJ0uvy6YcU"",""AA:AA"")) + SUMPRODUCT((IMPORTR"&amp;"ANGE(""17XjIPGwafStTRf_8bPPaoi2EFjHVy10_rRJ0uvy6YcU"",""M:M"")=B24)*1, IMPORTRANGE(""17XjIPGwafStTRf_8bPPaoi2EFjHVy10_rRJ0uvy6YcU"",""X:X""), IMPORTRANGE(""17XjIPGwafStTRf_8bPPaoi2EFjHVy10_rRJ0uvy6YcU"",""AE:AE"")) + SUMPRODUCT((IMPORTRANGE(""17XjIPGwafSt"&amp;"TRf_8bPPaoi2EFjHVy10_rRJ0uvy6YcU"",""M:M"")=B24)*1, IMPORTRANGE(""17XjIPGwafStTRf_8bPPaoi2EFjHVy10_rRJ0uvy6YcU"",""X:X""), IMPORTRANGE(""17XjIPGwafStTRf_8bPPaoi2EFjHVy10_rRJ0uvy6YcU"",""AF:AF""))"),171226.9937715233)</f>
        <v>171226.9938</v>
      </c>
      <c r="E24" s="24">
        <f>IFERROR(__xludf.DUMMYFUNCTION("SUMPRODUCT((IMPORTRANGE(""17XjIPGwafStTRf_8bPPaoi2EFjHVy10_rRJ0uvy6YcU"",""M:M"")=B24)*1, IMPORTRANGE(""17XjIPGwafStTRf_8bPPaoi2EFjHVy10_rRJ0uvy6YcU"",""X:X""), IMPORTRANGE(""17XjIPGwafStTRf_8bPPaoi2EFjHVy10_rRJ0uvy6YcU"",""AO:AO""))"),30086.506228476734)</f>
        <v>30086.50623</v>
      </c>
      <c r="F24" s="25">
        <f>IFERROR(__xludf.DUMMYFUNCTION("SUMPRODUCT((IMPORTRANGE(""17XjIPGwafStTRf_8bPPaoi2EFjHVy10_rRJ0uvy6YcU"",""M:M"")=B24)*1, IMPORTRANGE(""17XjIPGwafStTRf_8bPPaoi2EFjHVy10_rRJ0uvy6YcU"",""X:X""))"),49.0)</f>
        <v>49</v>
      </c>
      <c r="G24" s="26">
        <f>IFERROR(__xludf.DUMMYFUNCTION("COUNTIF(IMPORTRANGE(""17XjIPGwafStTRf_8bPPaoi2EFjHVy10_rRJ0uvy6YcU"",""M:M""), B24)"),27.0)</f>
        <v>27</v>
      </c>
      <c r="H24" s="27">
        <f t="shared" si="1"/>
        <v>1.814814815</v>
      </c>
      <c r="I24" s="28">
        <f t="shared" si="2"/>
        <v>0.1232901948</v>
      </c>
      <c r="J24" s="29">
        <f t="shared" si="3"/>
        <v>0.1757112332</v>
      </c>
      <c r="K24" s="30"/>
      <c r="L24" s="31" t="str">
        <f t="shared" si="4"/>
        <v/>
      </c>
      <c r="M24" s="31" t="str">
        <f t="shared" si="5"/>
        <v/>
      </c>
      <c r="N24" s="4"/>
    </row>
    <row r="25">
      <c r="A25" s="1"/>
      <c r="B25" s="23">
        <f t="shared" si="6"/>
        <v>44671</v>
      </c>
      <c r="C25" s="24">
        <f>IFERROR(__xludf.DUMMYFUNCTION("SUMPRODUCT((IMPORTRANGE(""17XjIPGwafStTRf_8bPPaoi2EFjHVy10_rRJ0uvy6YcU"",""M:M"")=B25)*1, IMPORTRANGE(""17XjIPGwafStTRf_8bPPaoi2EFjHVy10_rRJ0uvy6YcU"",""X:X""), IMPORTRANGE(""17XjIPGwafStTRf_8bPPaoi2EFjHVy10_rRJ0uvy6YcU"",""AK:AK"")) - SUMPRODUCT((IMPORTR"&amp;"ANGE(""17XjIPGwafStTRf_8bPPaoi2EFjHVy10_rRJ0uvy6YcU"",""M:M"")=B25)*1, IMPORTRANGE(""17XjIPGwafStTRf_8bPPaoi2EFjHVy10_rRJ0uvy6YcU"",""X:X""), IMPORTRANGE(""17XjIPGwafStTRf_8bPPaoi2EFjHVy10_rRJ0uvy6YcU"",""AL:AL""))"),3283650.0)</f>
        <v>3283650</v>
      </c>
      <c r="D25" s="24">
        <f>IFERROR(__xludf.DUMMYFUNCTION("SUMPRODUCT((IMPORTRANGE(""17XjIPGwafStTRf_8bPPaoi2EFjHVy10_rRJ0uvy6YcU"",""M:M"")=B25)*1, IMPORTRANGE(""17XjIPGwafStTRf_8bPPaoi2EFjHVy10_rRJ0uvy6YcU"",""X:X""), IMPORTRANGE(""17XjIPGwafStTRf_8bPPaoi2EFjHVy10_rRJ0uvy6YcU"",""AA:AA"")) + SUMPRODUCT((IMPORTR"&amp;"ANGE(""17XjIPGwafStTRf_8bPPaoi2EFjHVy10_rRJ0uvy6YcU"",""M:M"")=B25)*1, IMPORTRANGE(""17XjIPGwafStTRf_8bPPaoi2EFjHVy10_rRJ0uvy6YcU"",""X:X""), IMPORTRANGE(""17XjIPGwafStTRf_8bPPaoi2EFjHVy10_rRJ0uvy6YcU"",""AE:AE"")) + SUMPRODUCT((IMPORTRANGE(""17XjIPGwafSt"&amp;"TRf_8bPPaoi2EFjHVy10_rRJ0uvy6YcU"",""M:M"")=B25)*1, IMPORTRANGE(""17XjIPGwafStTRf_8bPPaoi2EFjHVy10_rRJ0uvy6YcU"",""X:X""), IMPORTRANGE(""17XjIPGwafStTRf_8bPPaoi2EFjHVy10_rRJ0uvy6YcU"",""AF:AF""))"),575885.3980386808)</f>
        <v>575885.398</v>
      </c>
      <c r="E25" s="24">
        <f>IFERROR(__xludf.DUMMYFUNCTION("SUMPRODUCT((IMPORTRANGE(""17XjIPGwafStTRf_8bPPaoi2EFjHVy10_rRJ0uvy6YcU"",""M:M"")=B25)*1, IMPORTRANGE(""17XjIPGwafStTRf_8bPPaoi2EFjHVy10_rRJ0uvy6YcU"",""X:X""), IMPORTRANGE(""17XjIPGwafStTRf_8bPPaoi2EFjHVy10_rRJ0uvy6YcU"",""AO:AO""))"),404165.90950100176)</f>
        <v>404165.9095</v>
      </c>
      <c r="F25" s="25">
        <f>IFERROR(__xludf.DUMMYFUNCTION("SUMPRODUCT((IMPORTRANGE(""17XjIPGwafStTRf_8bPPaoi2EFjHVy10_rRJ0uvy6YcU"",""M:M"")=B25)*1, IMPORTRANGE(""17XjIPGwafStTRf_8bPPaoi2EFjHVy10_rRJ0uvy6YcU"",""X:X""))"),658.0)</f>
        <v>658</v>
      </c>
      <c r="G25" s="26">
        <f>IFERROR(__xludf.DUMMYFUNCTION("COUNTIF(IMPORTRANGE(""17XjIPGwafStTRf_8bPPaoi2EFjHVy10_rRJ0uvy6YcU"",""M:M""), B25)"),48.0)</f>
        <v>48</v>
      </c>
      <c r="H25" s="27">
        <f t="shared" si="1"/>
        <v>13.70833333</v>
      </c>
      <c r="I25" s="28">
        <f t="shared" si="2"/>
        <v>0.123084345</v>
      </c>
      <c r="J25" s="29">
        <f t="shared" si="3"/>
        <v>0.7018165609</v>
      </c>
      <c r="K25" s="32"/>
      <c r="L25" s="31" t="str">
        <f t="shared" si="4"/>
        <v/>
      </c>
      <c r="M25" s="31" t="str">
        <f t="shared" si="5"/>
        <v/>
      </c>
      <c r="N25" s="4"/>
    </row>
    <row r="26">
      <c r="A26" s="1"/>
      <c r="B26" s="23">
        <f t="shared" si="6"/>
        <v>44672</v>
      </c>
      <c r="C26" s="24">
        <f>IFERROR(__xludf.DUMMYFUNCTION("SUMPRODUCT((IMPORTRANGE(""17XjIPGwafStTRf_8bPPaoi2EFjHVy10_rRJ0uvy6YcU"",""M:M"")=B26)*1, IMPORTRANGE(""17XjIPGwafStTRf_8bPPaoi2EFjHVy10_rRJ0uvy6YcU"",""X:X""), IMPORTRANGE(""17XjIPGwafStTRf_8bPPaoi2EFjHVy10_rRJ0uvy6YcU"",""AK:AK"")) - SUMPRODUCT((IMPORTR"&amp;"ANGE(""17XjIPGwafStTRf_8bPPaoi2EFjHVy10_rRJ0uvy6YcU"",""M:M"")=B26)*1, IMPORTRANGE(""17XjIPGwafStTRf_8bPPaoi2EFjHVy10_rRJ0uvy6YcU"",""X:X""), IMPORTRANGE(""17XjIPGwafStTRf_8bPPaoi2EFjHVy10_rRJ0uvy6YcU"",""AL:AL""))"),273717.0)</f>
        <v>273717</v>
      </c>
      <c r="D26" s="24">
        <f>IFERROR(__xludf.DUMMYFUNCTION("SUMPRODUCT((IMPORTRANGE(""17XjIPGwafStTRf_8bPPaoi2EFjHVy10_rRJ0uvy6YcU"",""M:M"")=B26)*1, IMPORTRANGE(""17XjIPGwafStTRf_8bPPaoi2EFjHVy10_rRJ0uvy6YcU"",""X:X""), IMPORTRANGE(""17XjIPGwafStTRf_8bPPaoi2EFjHVy10_rRJ0uvy6YcU"",""AA:AA"")) + SUMPRODUCT((IMPORTR"&amp;"ANGE(""17XjIPGwafStTRf_8bPPaoi2EFjHVy10_rRJ0uvy6YcU"",""M:M"")=B26)*1, IMPORTRANGE(""17XjIPGwafStTRf_8bPPaoi2EFjHVy10_rRJ0uvy6YcU"",""X:X""), IMPORTRANGE(""17XjIPGwafStTRf_8bPPaoi2EFjHVy10_rRJ0uvy6YcU"",""AE:AE"")) + SUMPRODUCT((IMPORTRANGE(""17XjIPGwafSt"&amp;"TRf_8bPPaoi2EFjHVy10_rRJ0uvy6YcU"",""M:M"")=B26)*1, IMPORTRANGE(""17XjIPGwafStTRf_8bPPaoi2EFjHVy10_rRJ0uvy6YcU"",""X:X""), IMPORTRANGE(""17XjIPGwafStTRf_8bPPaoi2EFjHVy10_rRJ0uvy6YcU"",""AF:AF""))"),147921.6565547405)</f>
        <v>147921.6566</v>
      </c>
      <c r="E26" s="24">
        <f>IFERROR(__xludf.DUMMYFUNCTION("SUMPRODUCT((IMPORTRANGE(""17XjIPGwafStTRf_8bPPaoi2EFjHVy10_rRJ0uvy6YcU"",""M:M"")=B26)*1, IMPORTRANGE(""17XjIPGwafStTRf_8bPPaoi2EFjHVy10_rRJ0uvy6YcU"",""X:X""), IMPORTRANGE(""17XjIPGwafStTRf_8bPPaoi2EFjHVy10_rRJ0uvy6YcU"",""AO:AO""))"),77550.99344525946)</f>
        <v>77550.99345</v>
      </c>
      <c r="F26" s="25">
        <f>IFERROR(__xludf.DUMMYFUNCTION("SUMPRODUCT((IMPORTRANGE(""17XjIPGwafStTRf_8bPPaoi2EFjHVy10_rRJ0uvy6YcU"",""M:M"")=B26)*1, IMPORTRANGE(""17XjIPGwafStTRf_8bPPaoi2EFjHVy10_rRJ0uvy6YcU"",""X:X""))"),60.0)</f>
        <v>60</v>
      </c>
      <c r="G26" s="26">
        <f>IFERROR(__xludf.DUMMYFUNCTION("COUNTIF(IMPORTRANGE(""17XjIPGwafStTRf_8bPPaoi2EFjHVy10_rRJ0uvy6YcU"",""M:M""), B26)"),28.0)</f>
        <v>28</v>
      </c>
      <c r="H26" s="27">
        <f t="shared" si="1"/>
        <v>2.142857143</v>
      </c>
      <c r="I26" s="28">
        <f t="shared" si="2"/>
        <v>0.2833254546</v>
      </c>
      <c r="J26" s="29">
        <f t="shared" si="3"/>
        <v>0.5242707204</v>
      </c>
      <c r="K26" s="30"/>
      <c r="L26" s="31" t="str">
        <f t="shared" si="4"/>
        <v/>
      </c>
      <c r="M26" s="31" t="str">
        <f t="shared" si="5"/>
        <v/>
      </c>
      <c r="N26" s="4"/>
    </row>
    <row r="27">
      <c r="A27" s="1"/>
      <c r="B27" s="23">
        <f t="shared" si="6"/>
        <v>44673</v>
      </c>
      <c r="C27" s="24">
        <f>IFERROR(__xludf.DUMMYFUNCTION("SUMPRODUCT((IMPORTRANGE(""17XjIPGwafStTRf_8bPPaoi2EFjHVy10_rRJ0uvy6YcU"",""M:M"")=B27)*1, IMPORTRANGE(""17XjIPGwafStTRf_8bPPaoi2EFjHVy10_rRJ0uvy6YcU"",""X:X""), IMPORTRANGE(""17XjIPGwafStTRf_8bPPaoi2EFjHVy10_rRJ0uvy6YcU"",""AK:AK"")) - SUMPRODUCT((IMPORTR"&amp;"ANGE(""17XjIPGwafStTRf_8bPPaoi2EFjHVy10_rRJ0uvy6YcU"",""M:M"")=B27)*1, IMPORTRANGE(""17XjIPGwafStTRf_8bPPaoi2EFjHVy10_rRJ0uvy6YcU"",""X:X""), IMPORTRANGE(""17XjIPGwafStTRf_8bPPaoi2EFjHVy10_rRJ0uvy6YcU"",""AL:AL""))"),1911631.0)</f>
        <v>1911631</v>
      </c>
      <c r="D27" s="24">
        <f>IFERROR(__xludf.DUMMYFUNCTION("SUMPRODUCT((IMPORTRANGE(""17XjIPGwafStTRf_8bPPaoi2EFjHVy10_rRJ0uvy6YcU"",""M:M"")=B27)*1, IMPORTRANGE(""17XjIPGwafStTRf_8bPPaoi2EFjHVy10_rRJ0uvy6YcU"",""X:X""), IMPORTRANGE(""17XjIPGwafStTRf_8bPPaoi2EFjHVy10_rRJ0uvy6YcU"",""AA:AA"")) + SUMPRODUCT((IMPORTR"&amp;"ANGE(""17XjIPGwafStTRf_8bPPaoi2EFjHVy10_rRJ0uvy6YcU"",""M:M"")=B27)*1, IMPORTRANGE(""17XjIPGwafStTRf_8bPPaoi2EFjHVy10_rRJ0uvy6YcU"",""X:X""), IMPORTRANGE(""17XjIPGwafStTRf_8bPPaoi2EFjHVy10_rRJ0uvy6YcU"",""AE:AE"")) + SUMPRODUCT((IMPORTRANGE(""17XjIPGwafSt"&amp;"TRf_8bPPaoi2EFjHVy10_rRJ0uvy6YcU"",""M:M"")=B27)*1, IMPORTRANGE(""17XjIPGwafStTRf_8bPPaoi2EFjHVy10_rRJ0uvy6YcU"",""X:X""), IMPORTRANGE(""17XjIPGwafStTRf_8bPPaoi2EFjHVy10_rRJ0uvy6YcU"",""AF:AF""))"),1228812.1584712698)</f>
        <v>1228812.158</v>
      </c>
      <c r="E27" s="24">
        <f>IFERROR(__xludf.DUMMYFUNCTION("SUMPRODUCT((IMPORTRANGE(""17XjIPGwafStTRf_8bPPaoi2EFjHVy10_rRJ0uvy6YcU"",""M:M"")=B27)*1, IMPORTRANGE(""17XjIPGwafStTRf_8bPPaoi2EFjHVy10_rRJ0uvy6YcU"",""X:X""), IMPORTRANGE(""17XjIPGwafStTRf_8bPPaoi2EFjHVy10_rRJ0uvy6YcU"",""AO:AO""))"),286819.5415287302)</f>
        <v>286819.5415</v>
      </c>
      <c r="F27" s="25">
        <f>IFERROR(__xludf.DUMMYFUNCTION("SUMPRODUCT((IMPORTRANGE(""17XjIPGwafStTRf_8bPPaoi2EFjHVy10_rRJ0uvy6YcU"",""M:M"")=B27)*1, IMPORTRANGE(""17XjIPGwafStTRf_8bPPaoi2EFjHVy10_rRJ0uvy6YcU"",""X:X""))"),448.0)</f>
        <v>448</v>
      </c>
      <c r="G27" s="26">
        <f>IFERROR(__xludf.DUMMYFUNCTION("COUNTIF(IMPORTRANGE(""17XjIPGwafStTRf_8bPPaoi2EFjHVy10_rRJ0uvy6YcU"",""M:M""), B27)"),44.0)</f>
        <v>44</v>
      </c>
      <c r="H27" s="27">
        <f t="shared" si="1"/>
        <v>10.18181818</v>
      </c>
      <c r="I27" s="28">
        <f t="shared" si="2"/>
        <v>0.1500391768</v>
      </c>
      <c r="J27" s="29">
        <f t="shared" si="3"/>
        <v>0.2334120309</v>
      </c>
      <c r="K27" s="32"/>
      <c r="L27" s="31" t="str">
        <f t="shared" si="4"/>
        <v/>
      </c>
      <c r="M27" s="31" t="str">
        <f t="shared" si="5"/>
        <v/>
      </c>
      <c r="N27" s="4"/>
    </row>
    <row r="28">
      <c r="A28" s="1"/>
      <c r="B28" s="23">
        <f t="shared" si="6"/>
        <v>44674</v>
      </c>
      <c r="C28" s="24">
        <f>IFERROR(__xludf.DUMMYFUNCTION("SUMPRODUCT((IMPORTRANGE(""17XjIPGwafStTRf_8bPPaoi2EFjHVy10_rRJ0uvy6YcU"",""M:M"")=B28)*1, IMPORTRANGE(""17XjIPGwafStTRf_8bPPaoi2EFjHVy10_rRJ0uvy6YcU"",""X:X""), IMPORTRANGE(""17XjIPGwafStTRf_8bPPaoi2EFjHVy10_rRJ0uvy6YcU"",""AK:AK"")) - SUMPRODUCT((IMPORTR"&amp;"ANGE(""17XjIPGwafStTRf_8bPPaoi2EFjHVy10_rRJ0uvy6YcU"",""M:M"")=B28)*1, IMPORTRANGE(""17XjIPGwafStTRf_8bPPaoi2EFjHVy10_rRJ0uvy6YcU"",""X:X""), IMPORTRANGE(""17XjIPGwafStTRf_8bPPaoi2EFjHVy10_rRJ0uvy6YcU"",""AL:AL""))"),250828.0)</f>
        <v>250828</v>
      </c>
      <c r="D28" s="24">
        <f>IFERROR(__xludf.DUMMYFUNCTION("SUMPRODUCT((IMPORTRANGE(""17XjIPGwafStTRf_8bPPaoi2EFjHVy10_rRJ0uvy6YcU"",""M:M"")=B28)*1, IMPORTRANGE(""17XjIPGwafStTRf_8bPPaoi2EFjHVy10_rRJ0uvy6YcU"",""X:X""), IMPORTRANGE(""17XjIPGwafStTRf_8bPPaoi2EFjHVy10_rRJ0uvy6YcU"",""AA:AA"")) + SUMPRODUCT((IMPORTR"&amp;"ANGE(""17XjIPGwafStTRf_8bPPaoi2EFjHVy10_rRJ0uvy6YcU"",""M:M"")=B28)*1, IMPORTRANGE(""17XjIPGwafStTRf_8bPPaoi2EFjHVy10_rRJ0uvy6YcU"",""X:X""), IMPORTRANGE(""17XjIPGwafStTRf_8bPPaoi2EFjHVy10_rRJ0uvy6YcU"",""AE:AE"")) + SUMPRODUCT((IMPORTRANGE(""17XjIPGwafSt"&amp;"TRf_8bPPaoi2EFjHVy10_rRJ0uvy6YcU"",""M:M"")=B28)*1, IMPORTRANGE(""17XjIPGwafStTRf_8bPPaoi2EFjHVy10_rRJ0uvy6YcU"",""X:X""), IMPORTRANGE(""17XjIPGwafStTRf_8bPPaoi2EFjHVy10_rRJ0uvy6YcU"",""AF:AF""))"),159250.15809633047)</f>
        <v>159250.1581</v>
      </c>
      <c r="E28" s="24">
        <f>IFERROR(__xludf.DUMMYFUNCTION("SUMPRODUCT((IMPORTRANGE(""17XjIPGwafStTRf_8bPPaoi2EFjHVy10_rRJ0uvy6YcU"",""M:M"")=B28)*1, IMPORTRANGE(""17XjIPGwafStTRf_8bPPaoi2EFjHVy10_rRJ0uvy6YcU"",""X:X""), IMPORTRANGE(""17XjIPGwafStTRf_8bPPaoi2EFjHVy10_rRJ0uvy6YcU"",""AO:AO""))"),44035.94190366953)</f>
        <v>44035.9419</v>
      </c>
      <c r="F28" s="25">
        <f>IFERROR(__xludf.DUMMYFUNCTION("SUMPRODUCT((IMPORTRANGE(""17XjIPGwafStTRf_8bPPaoi2EFjHVy10_rRJ0uvy6YcU"",""M:M"")=B28)*1, IMPORTRANGE(""17XjIPGwafStTRf_8bPPaoi2EFjHVy10_rRJ0uvy6YcU"",""X:X""))"),51.0)</f>
        <v>51</v>
      </c>
      <c r="G28" s="26">
        <f>IFERROR(__xludf.DUMMYFUNCTION("COUNTIF(IMPORTRANGE(""17XjIPGwafStTRf_8bPPaoi2EFjHVy10_rRJ0uvy6YcU"",""M:M""), B28)"),20.0)</f>
        <v>20</v>
      </c>
      <c r="H28" s="27">
        <f t="shared" si="1"/>
        <v>2.55</v>
      </c>
      <c r="I28" s="28">
        <f t="shared" si="2"/>
        <v>0.1755623053</v>
      </c>
      <c r="J28" s="29">
        <f t="shared" si="3"/>
        <v>0.2765205538</v>
      </c>
      <c r="K28" s="32"/>
      <c r="L28" s="31" t="str">
        <f t="shared" si="4"/>
        <v/>
      </c>
      <c r="M28" s="31" t="str">
        <f t="shared" si="5"/>
        <v/>
      </c>
      <c r="N28" s="4"/>
    </row>
    <row r="29">
      <c r="A29" s="1"/>
      <c r="B29" s="23">
        <f t="shared" si="6"/>
        <v>44675</v>
      </c>
      <c r="C29" s="24">
        <f>IFERROR(__xludf.DUMMYFUNCTION("SUMPRODUCT((IMPORTRANGE(""17XjIPGwafStTRf_8bPPaoi2EFjHVy10_rRJ0uvy6YcU"",""M:M"")=B29)*1, IMPORTRANGE(""17XjIPGwafStTRf_8bPPaoi2EFjHVy10_rRJ0uvy6YcU"",""X:X""), IMPORTRANGE(""17XjIPGwafStTRf_8bPPaoi2EFjHVy10_rRJ0uvy6YcU"",""AK:AK"")) - SUMPRODUCT((IMPORTR"&amp;"ANGE(""17XjIPGwafStTRf_8bPPaoi2EFjHVy10_rRJ0uvy6YcU"",""M:M"")=B29)*1, IMPORTRANGE(""17XjIPGwafStTRf_8bPPaoi2EFjHVy10_rRJ0uvy6YcU"",""X:X""), IMPORTRANGE(""17XjIPGwafStTRf_8bPPaoi2EFjHVy10_rRJ0uvy6YcU"",""AL:AL""))"),505392.0)</f>
        <v>505392</v>
      </c>
      <c r="D29" s="24">
        <f>IFERROR(__xludf.DUMMYFUNCTION("SUMPRODUCT((IMPORTRANGE(""17XjIPGwafStTRf_8bPPaoi2EFjHVy10_rRJ0uvy6YcU"",""M:M"")=B29)*1, IMPORTRANGE(""17XjIPGwafStTRf_8bPPaoi2EFjHVy10_rRJ0uvy6YcU"",""X:X""), IMPORTRANGE(""17XjIPGwafStTRf_8bPPaoi2EFjHVy10_rRJ0uvy6YcU"",""AA:AA"")) + SUMPRODUCT((IMPORTR"&amp;"ANGE(""17XjIPGwafStTRf_8bPPaoi2EFjHVy10_rRJ0uvy6YcU"",""M:M"")=B29)*1, IMPORTRANGE(""17XjIPGwafStTRf_8bPPaoi2EFjHVy10_rRJ0uvy6YcU"",""X:X""), IMPORTRANGE(""17XjIPGwafStTRf_8bPPaoi2EFjHVy10_rRJ0uvy6YcU"",""AE:AE"")) + SUMPRODUCT((IMPORTRANGE(""17XjIPGwafSt"&amp;"TRf_8bPPaoi2EFjHVy10_rRJ0uvy6YcU"",""M:M"")=B29)*1, IMPORTRANGE(""17XjIPGwafStTRf_8bPPaoi2EFjHVy10_rRJ0uvy6YcU"",""X:X""), IMPORTRANGE(""17XjIPGwafStTRf_8bPPaoi2EFjHVy10_rRJ0uvy6YcU"",""AF:AF""))"),327792.35828933946)</f>
        <v>327792.3583</v>
      </c>
      <c r="E29" s="24">
        <f>IFERROR(__xludf.DUMMYFUNCTION("SUMPRODUCT((IMPORTRANGE(""17XjIPGwafStTRf_8bPPaoi2EFjHVy10_rRJ0uvy6YcU"",""M:M"")=B29)*1, IMPORTRANGE(""17XjIPGwafStTRf_8bPPaoi2EFjHVy10_rRJ0uvy6YcU"",""X:X""), IMPORTRANGE(""17XjIPGwafStTRf_8bPPaoi2EFjHVy10_rRJ0uvy6YcU"",""AO:AO""))"),92247.76240576323)</f>
        <v>92247.76241</v>
      </c>
      <c r="F29" s="25">
        <f>IFERROR(__xludf.DUMMYFUNCTION("SUMPRODUCT((IMPORTRANGE(""17XjIPGwafStTRf_8bPPaoi2EFjHVy10_rRJ0uvy6YcU"",""M:M"")=B29)*1, IMPORTRANGE(""17XjIPGwafStTRf_8bPPaoi2EFjHVy10_rRJ0uvy6YcU"",""X:X""))"),83.0)</f>
        <v>83</v>
      </c>
      <c r="G29" s="26">
        <f>IFERROR(__xludf.DUMMYFUNCTION("COUNTIF(IMPORTRANGE(""17XjIPGwafStTRf_8bPPaoi2EFjHVy10_rRJ0uvy6YcU"",""M:M""), B29)"),28.0)</f>
        <v>28</v>
      </c>
      <c r="H29" s="27">
        <f t="shared" si="1"/>
        <v>2.964285714</v>
      </c>
      <c r="I29" s="28">
        <f t="shared" si="2"/>
        <v>0.182527152</v>
      </c>
      <c r="J29" s="29">
        <f t="shared" si="3"/>
        <v>0.281421333</v>
      </c>
      <c r="K29" s="32"/>
      <c r="L29" s="31" t="str">
        <f t="shared" si="4"/>
        <v/>
      </c>
      <c r="M29" s="31" t="str">
        <f t="shared" si="5"/>
        <v/>
      </c>
      <c r="N29" s="4"/>
    </row>
    <row r="30">
      <c r="A30" s="1"/>
      <c r="B30" s="23">
        <f t="shared" si="6"/>
        <v>44676</v>
      </c>
      <c r="C30" s="24">
        <f>IFERROR(__xludf.DUMMYFUNCTION("SUMPRODUCT((IMPORTRANGE(""17XjIPGwafStTRf_8bPPaoi2EFjHVy10_rRJ0uvy6YcU"",""M:M"")=B30)*1, IMPORTRANGE(""17XjIPGwafStTRf_8bPPaoi2EFjHVy10_rRJ0uvy6YcU"",""X:X""), IMPORTRANGE(""17XjIPGwafStTRf_8bPPaoi2EFjHVy10_rRJ0uvy6YcU"",""AK:AK"")) - SUMPRODUCT((IMPORTR"&amp;"ANGE(""17XjIPGwafStTRf_8bPPaoi2EFjHVy10_rRJ0uvy6YcU"",""M:M"")=B30)*1, IMPORTRANGE(""17XjIPGwafStTRf_8bPPaoi2EFjHVy10_rRJ0uvy6YcU"",""X:X""), IMPORTRANGE(""17XjIPGwafStTRf_8bPPaoi2EFjHVy10_rRJ0uvy6YcU"",""AL:AL""))"),215355.0)</f>
        <v>215355</v>
      </c>
      <c r="D30" s="24">
        <f>IFERROR(__xludf.DUMMYFUNCTION("SUMPRODUCT((IMPORTRANGE(""17XjIPGwafStTRf_8bPPaoi2EFjHVy10_rRJ0uvy6YcU"",""M:M"")=B30)*1, IMPORTRANGE(""17XjIPGwafStTRf_8bPPaoi2EFjHVy10_rRJ0uvy6YcU"",""X:X""), IMPORTRANGE(""17XjIPGwafStTRf_8bPPaoi2EFjHVy10_rRJ0uvy6YcU"",""AA:AA"")) + SUMPRODUCT((IMPORTR"&amp;"ANGE(""17XjIPGwafStTRf_8bPPaoi2EFjHVy10_rRJ0uvy6YcU"",""M:M"")=B30)*1, IMPORTRANGE(""17XjIPGwafStTRf_8bPPaoi2EFjHVy10_rRJ0uvy6YcU"",""X:X""), IMPORTRANGE(""17XjIPGwafStTRf_8bPPaoi2EFjHVy10_rRJ0uvy6YcU"",""AE:AE"")) + SUMPRODUCT((IMPORTRANGE(""17XjIPGwafSt"&amp;"TRf_8bPPaoi2EFjHVy10_rRJ0uvy6YcU"",""M:M"")=B30)*1, IMPORTRANGE(""17XjIPGwafStTRf_8bPPaoi2EFjHVy10_rRJ0uvy6YcU"",""X:X""), IMPORTRANGE(""17XjIPGwafStTRf_8bPPaoi2EFjHVy10_rRJ0uvy6YcU"",""AF:AF""))"),139224.05142512225)</f>
        <v>139224.0514</v>
      </c>
      <c r="E30" s="24">
        <f>IFERROR(__xludf.DUMMYFUNCTION("SUMPRODUCT((IMPORTRANGE(""17XjIPGwafStTRf_8bPPaoi2EFjHVy10_rRJ0uvy6YcU"",""M:M"")=B30)*1, IMPORTRANGE(""17XjIPGwafStTRf_8bPPaoi2EFjHVy10_rRJ0uvy6YcU"",""X:X""), IMPORTRANGE(""17XjIPGwafStTRf_8bPPaoi2EFjHVy10_rRJ0uvy6YcU"",""AO:AO""))"),33823.94857487773)</f>
        <v>33823.94857</v>
      </c>
      <c r="F30" s="25">
        <f>IFERROR(__xludf.DUMMYFUNCTION("SUMPRODUCT((IMPORTRANGE(""17XjIPGwafStTRf_8bPPaoi2EFjHVy10_rRJ0uvy6YcU"",""M:M"")=B30)*1, IMPORTRANGE(""17XjIPGwafStTRf_8bPPaoi2EFjHVy10_rRJ0uvy6YcU"",""X:X""))"),44.0)</f>
        <v>44</v>
      </c>
      <c r="G30" s="26">
        <f>IFERROR(__xludf.DUMMYFUNCTION("COUNTIF(IMPORTRANGE(""17XjIPGwafStTRf_8bPPaoi2EFjHVy10_rRJ0uvy6YcU"",""M:M""), B30)"),21.0)</f>
        <v>21</v>
      </c>
      <c r="H30" s="27">
        <f t="shared" si="1"/>
        <v>2.095238095</v>
      </c>
      <c r="I30" s="28">
        <f t="shared" si="2"/>
        <v>0.1570613572</v>
      </c>
      <c r="J30" s="29">
        <f t="shared" si="3"/>
        <v>0.2429461593</v>
      </c>
      <c r="K30" s="30"/>
      <c r="L30" s="31" t="str">
        <f t="shared" si="4"/>
        <v/>
      </c>
      <c r="M30" s="31" t="str">
        <f t="shared" si="5"/>
        <v/>
      </c>
      <c r="N30" s="4"/>
    </row>
    <row r="31">
      <c r="A31" s="1"/>
      <c r="B31" s="23">
        <f t="shared" si="6"/>
        <v>44677</v>
      </c>
      <c r="C31" s="24">
        <f>IFERROR(__xludf.DUMMYFUNCTION("SUMPRODUCT((IMPORTRANGE(""17XjIPGwafStTRf_8bPPaoi2EFjHVy10_rRJ0uvy6YcU"",""M:M"")=B31)*1, IMPORTRANGE(""17XjIPGwafStTRf_8bPPaoi2EFjHVy10_rRJ0uvy6YcU"",""X:X""), IMPORTRANGE(""17XjIPGwafStTRf_8bPPaoi2EFjHVy10_rRJ0uvy6YcU"",""AK:AK"")) - SUMPRODUCT((IMPORTR"&amp;"ANGE(""17XjIPGwafStTRf_8bPPaoi2EFjHVy10_rRJ0uvy6YcU"",""M:M"")=B31)*1, IMPORTRANGE(""17XjIPGwafStTRf_8bPPaoi2EFjHVy10_rRJ0uvy6YcU"",""X:X""), IMPORTRANGE(""17XjIPGwafStTRf_8bPPaoi2EFjHVy10_rRJ0uvy6YcU"",""AL:AL""))"),554378.0)</f>
        <v>554378</v>
      </c>
      <c r="D31" s="24">
        <f>IFERROR(__xludf.DUMMYFUNCTION("SUMPRODUCT((IMPORTRANGE(""17XjIPGwafStTRf_8bPPaoi2EFjHVy10_rRJ0uvy6YcU"",""M:M"")=B31)*1, IMPORTRANGE(""17XjIPGwafStTRf_8bPPaoi2EFjHVy10_rRJ0uvy6YcU"",""X:X""), IMPORTRANGE(""17XjIPGwafStTRf_8bPPaoi2EFjHVy10_rRJ0uvy6YcU"",""AA:AA"")) + SUMPRODUCT((IMPORTR"&amp;"ANGE(""17XjIPGwafStTRf_8bPPaoi2EFjHVy10_rRJ0uvy6YcU"",""M:M"")=B31)*1, IMPORTRANGE(""17XjIPGwafStTRf_8bPPaoi2EFjHVy10_rRJ0uvy6YcU"",""X:X""), IMPORTRANGE(""17XjIPGwafStTRf_8bPPaoi2EFjHVy10_rRJ0uvy6YcU"",""AE:AE"")) + SUMPRODUCT((IMPORTRANGE(""17XjIPGwafSt"&amp;"TRf_8bPPaoi2EFjHVy10_rRJ0uvy6YcU"",""M:M"")=B31)*1, IMPORTRANGE(""17XjIPGwafStTRf_8bPPaoi2EFjHVy10_rRJ0uvy6YcU"",""X:X""), IMPORTRANGE(""17XjIPGwafStTRf_8bPPaoi2EFjHVy10_rRJ0uvy6YcU"",""AF:AF""))"),371981.2898920266)</f>
        <v>371981.2899</v>
      </c>
      <c r="E31" s="24">
        <f>IFERROR(__xludf.DUMMYFUNCTION("SUMPRODUCT((IMPORTRANGE(""17XjIPGwafStTRf_8bPPaoi2EFjHVy10_rRJ0uvy6YcU"",""M:M"")=B31)*1, IMPORTRANGE(""17XjIPGwafStTRf_8bPPaoi2EFjHVy10_rRJ0uvy6YcU"",""X:X""), IMPORTRANGE(""17XjIPGwafStTRf_8bPPaoi2EFjHVy10_rRJ0uvy6YcU"",""AO:AO""))"),94918.79968613725)</f>
        <v>94918.79969</v>
      </c>
      <c r="F31" s="25">
        <f>IFERROR(__xludf.DUMMYFUNCTION("SUMPRODUCT((IMPORTRANGE(""17XjIPGwafStTRf_8bPPaoi2EFjHVy10_rRJ0uvy6YcU"",""M:M"")=B31)*1, IMPORTRANGE(""17XjIPGwafStTRf_8bPPaoi2EFjHVy10_rRJ0uvy6YcU"",""X:X""))"),58.0)</f>
        <v>58</v>
      </c>
      <c r="G31" s="26">
        <f>IFERROR(__xludf.DUMMYFUNCTION("COUNTIF(IMPORTRANGE(""17XjIPGwafStTRf_8bPPaoi2EFjHVy10_rRJ0uvy6YcU"",""M:M""), B31)"),33.0)</f>
        <v>33</v>
      </c>
      <c r="H31" s="27">
        <f t="shared" si="1"/>
        <v>1.757575758</v>
      </c>
      <c r="I31" s="28">
        <f t="shared" si="2"/>
        <v>0.1712167505</v>
      </c>
      <c r="J31" s="29">
        <f t="shared" si="3"/>
        <v>0.2551708977</v>
      </c>
      <c r="K31" s="30"/>
      <c r="L31" s="31" t="str">
        <f t="shared" si="4"/>
        <v/>
      </c>
      <c r="M31" s="31" t="str">
        <f t="shared" si="5"/>
        <v/>
      </c>
      <c r="N31" s="4"/>
    </row>
    <row r="32">
      <c r="A32" s="1"/>
      <c r="B32" s="23">
        <f t="shared" si="6"/>
        <v>44678</v>
      </c>
      <c r="C32" s="24">
        <f>IFERROR(__xludf.DUMMYFUNCTION("SUMPRODUCT((IMPORTRANGE(""17XjIPGwafStTRf_8bPPaoi2EFjHVy10_rRJ0uvy6YcU"",""M:M"")=B32)*1, IMPORTRANGE(""17XjIPGwafStTRf_8bPPaoi2EFjHVy10_rRJ0uvy6YcU"",""X:X""), IMPORTRANGE(""17XjIPGwafStTRf_8bPPaoi2EFjHVy10_rRJ0uvy6YcU"",""AK:AK"")) - SUMPRODUCT((IMPORTR"&amp;"ANGE(""17XjIPGwafStTRf_8bPPaoi2EFjHVy10_rRJ0uvy6YcU"",""M:M"")=B32)*1, IMPORTRANGE(""17XjIPGwafStTRf_8bPPaoi2EFjHVy10_rRJ0uvy6YcU"",""X:X""), IMPORTRANGE(""17XjIPGwafStTRf_8bPPaoi2EFjHVy10_rRJ0uvy6YcU"",""AL:AL""))"),260466.0)</f>
        <v>260466</v>
      </c>
      <c r="D32" s="24">
        <f>IFERROR(__xludf.DUMMYFUNCTION("SUMPRODUCT((IMPORTRANGE(""17XjIPGwafStTRf_8bPPaoi2EFjHVy10_rRJ0uvy6YcU"",""M:M"")=B32)*1, IMPORTRANGE(""17XjIPGwafStTRf_8bPPaoi2EFjHVy10_rRJ0uvy6YcU"",""X:X""), IMPORTRANGE(""17XjIPGwafStTRf_8bPPaoi2EFjHVy10_rRJ0uvy6YcU"",""AA:AA"")) + SUMPRODUCT((IMPORTR"&amp;"ANGE(""17XjIPGwafStTRf_8bPPaoi2EFjHVy10_rRJ0uvy6YcU"",""M:M"")=B32)*1, IMPORTRANGE(""17XjIPGwafStTRf_8bPPaoi2EFjHVy10_rRJ0uvy6YcU"",""X:X""), IMPORTRANGE(""17XjIPGwafStTRf_8bPPaoi2EFjHVy10_rRJ0uvy6YcU"",""AE:AE"")) + SUMPRODUCT((IMPORTRANGE(""17XjIPGwafSt"&amp;"TRf_8bPPaoi2EFjHVy10_rRJ0uvy6YcU"",""M:M"")=B32)*1, IMPORTRANGE(""17XjIPGwafStTRf_8bPPaoi2EFjHVy10_rRJ0uvy6YcU"",""X:X""), IMPORTRANGE(""17XjIPGwafStTRf_8bPPaoi2EFjHVy10_rRJ0uvy6YcU"",""AF:AF""))"),160515.1342593156)</f>
        <v>160515.1343</v>
      </c>
      <c r="E32" s="24">
        <f>IFERROR(__xludf.DUMMYFUNCTION("SUMPRODUCT((IMPORTRANGE(""17XjIPGwafStTRf_8bPPaoi2EFjHVy10_rRJ0uvy6YcU"",""M:M"")=B32)*1, IMPORTRANGE(""17XjIPGwafStTRf_8bPPaoi2EFjHVy10_rRJ0uvy6YcU"",""X:X""), IMPORTRANGE(""17XjIPGwafStTRf_8bPPaoi2EFjHVy10_rRJ0uvy6YcU"",""AO:AO""))"),50608.16082749205)</f>
        <v>50608.16083</v>
      </c>
      <c r="F32" s="25">
        <f>IFERROR(__xludf.DUMMYFUNCTION("SUMPRODUCT((IMPORTRANGE(""17XjIPGwafStTRf_8bPPaoi2EFjHVy10_rRJ0uvy6YcU"",""M:M"")=B32)*1, IMPORTRANGE(""17XjIPGwafStTRf_8bPPaoi2EFjHVy10_rRJ0uvy6YcU"",""X:X""))"),45.0)</f>
        <v>45</v>
      </c>
      <c r="G32" s="26">
        <f>IFERROR(__xludf.DUMMYFUNCTION("COUNTIF(IMPORTRANGE(""17XjIPGwafStTRf_8bPPaoi2EFjHVy10_rRJ0uvy6YcU"",""M:M""), B32)"),31.0)</f>
        <v>31</v>
      </c>
      <c r="H32" s="27">
        <f t="shared" si="1"/>
        <v>1.451612903</v>
      </c>
      <c r="I32" s="28">
        <f t="shared" si="2"/>
        <v>0.1942985297</v>
      </c>
      <c r="J32" s="29">
        <f t="shared" si="3"/>
        <v>0.3152859141</v>
      </c>
      <c r="K32" s="32"/>
      <c r="L32" s="31" t="str">
        <f t="shared" si="4"/>
        <v/>
      </c>
      <c r="M32" s="31" t="str">
        <f t="shared" si="5"/>
        <v/>
      </c>
      <c r="N32" s="4"/>
    </row>
    <row r="33">
      <c r="A33" s="1"/>
      <c r="B33" s="23">
        <f t="shared" si="6"/>
        <v>44679</v>
      </c>
      <c r="C33" s="24">
        <f>IFERROR(__xludf.DUMMYFUNCTION("SUMPRODUCT((IMPORTRANGE(""17XjIPGwafStTRf_8bPPaoi2EFjHVy10_rRJ0uvy6YcU"",""M:M"")=B33)*1, IMPORTRANGE(""17XjIPGwafStTRf_8bPPaoi2EFjHVy10_rRJ0uvy6YcU"",""X:X""), IMPORTRANGE(""17XjIPGwafStTRf_8bPPaoi2EFjHVy10_rRJ0uvy6YcU"",""AK:AK"")) - SUMPRODUCT((IMPORTR"&amp;"ANGE(""17XjIPGwafStTRf_8bPPaoi2EFjHVy10_rRJ0uvy6YcU"",""M:M"")=B33)*1, IMPORTRANGE(""17XjIPGwafStTRf_8bPPaoi2EFjHVy10_rRJ0uvy6YcU"",""X:X""), IMPORTRANGE(""17XjIPGwafStTRf_8bPPaoi2EFjHVy10_rRJ0uvy6YcU"",""AL:AL""))"),84792.0)</f>
        <v>84792</v>
      </c>
      <c r="D33" s="24">
        <f>IFERROR(__xludf.DUMMYFUNCTION("SUMPRODUCT((IMPORTRANGE(""17XjIPGwafStTRf_8bPPaoi2EFjHVy10_rRJ0uvy6YcU"",""M:M"")=B33)*1, IMPORTRANGE(""17XjIPGwafStTRf_8bPPaoi2EFjHVy10_rRJ0uvy6YcU"",""X:X""), IMPORTRANGE(""17XjIPGwafStTRf_8bPPaoi2EFjHVy10_rRJ0uvy6YcU"",""AA:AA"")) + SUMPRODUCT((IMPORTR"&amp;"ANGE(""17XjIPGwafStTRf_8bPPaoi2EFjHVy10_rRJ0uvy6YcU"",""M:M"")=B33)*1, IMPORTRANGE(""17XjIPGwafStTRf_8bPPaoi2EFjHVy10_rRJ0uvy6YcU"",""X:X""), IMPORTRANGE(""17XjIPGwafStTRf_8bPPaoi2EFjHVy10_rRJ0uvy6YcU"",""AE:AE"")) + SUMPRODUCT((IMPORTRANGE(""17XjIPGwafSt"&amp;"TRf_8bPPaoi2EFjHVy10_rRJ0uvy6YcU"",""M:M"")=B33)*1, IMPORTRANGE(""17XjIPGwafStTRf_8bPPaoi2EFjHVy10_rRJ0uvy6YcU"",""X:X""), IMPORTRANGE(""17XjIPGwafStTRf_8bPPaoi2EFjHVy10_rRJ0uvy6YcU"",""AF:AF""))"),51337.69042408201)</f>
        <v>51337.69042</v>
      </c>
      <c r="E33" s="24">
        <f>IFERROR(__xludf.DUMMYFUNCTION("SUMPRODUCT((IMPORTRANGE(""17XjIPGwafStTRf_8bPPaoi2EFjHVy10_rRJ0uvy6YcU"",""M:M"")=B33)*1, IMPORTRANGE(""17XjIPGwafStTRf_8bPPaoi2EFjHVy10_rRJ0uvy6YcU"",""X:X""), IMPORTRANGE(""17XjIPGwafStTRf_8bPPaoi2EFjHVy10_rRJ0uvy6YcU"",""AO:AO""))"),17383.309575917985)</f>
        <v>17383.30958</v>
      </c>
      <c r="F33" s="25">
        <f>IFERROR(__xludf.DUMMYFUNCTION("SUMPRODUCT((IMPORTRANGE(""17XjIPGwafStTRf_8bPPaoi2EFjHVy10_rRJ0uvy6YcU"",""M:M"")=B33)*1, IMPORTRANGE(""17XjIPGwafStTRf_8bPPaoi2EFjHVy10_rRJ0uvy6YcU"",""X:X""))"),14.0)</f>
        <v>14</v>
      </c>
      <c r="G33" s="26">
        <f>IFERROR(__xludf.DUMMYFUNCTION("COUNTIF(IMPORTRANGE(""17XjIPGwafStTRf_8bPPaoi2EFjHVy10_rRJ0uvy6YcU"",""M:M""), B33)"),10.0)</f>
        <v>10</v>
      </c>
      <c r="H33" s="27">
        <f t="shared" si="1"/>
        <v>1.4</v>
      </c>
      <c r="I33" s="28">
        <f t="shared" si="2"/>
        <v>0.2050111989</v>
      </c>
      <c r="J33" s="29">
        <f t="shared" si="3"/>
        <v>0.3386071604</v>
      </c>
      <c r="K33" s="30"/>
      <c r="L33" s="31" t="str">
        <f t="shared" si="4"/>
        <v/>
      </c>
      <c r="M33" s="31" t="str">
        <f t="shared" si="5"/>
        <v/>
      </c>
      <c r="N33" s="4"/>
    </row>
    <row r="34">
      <c r="A34" s="1"/>
      <c r="B34" s="23">
        <f t="shared" ref="B34:B36" si="7">IFERROR(IF(MONTH(B33)=MONTH(B33+1),B33+1,"--"),"--")</f>
        <v>44680</v>
      </c>
      <c r="C34" s="24">
        <f>IFERROR(__xludf.DUMMYFUNCTION("SUMPRODUCT((IMPORTRANGE(""17XjIPGwafStTRf_8bPPaoi2EFjHVy10_rRJ0uvy6YcU"",""M:M"")=B34)*1, IMPORTRANGE(""17XjIPGwafStTRf_8bPPaoi2EFjHVy10_rRJ0uvy6YcU"",""X:X""), IMPORTRANGE(""17XjIPGwafStTRf_8bPPaoi2EFjHVy10_rRJ0uvy6YcU"",""AK:AK"")) - SUMPRODUCT((IMPORTR"&amp;"ANGE(""17XjIPGwafStTRf_8bPPaoi2EFjHVy10_rRJ0uvy6YcU"",""M:M"")=B34)*1, IMPORTRANGE(""17XjIPGwafStTRf_8bPPaoi2EFjHVy10_rRJ0uvy6YcU"",""X:X""), IMPORTRANGE(""17XjIPGwafStTRf_8bPPaoi2EFjHVy10_rRJ0uvy6YcU"",""AL:AL""))"),236542.0)</f>
        <v>236542</v>
      </c>
      <c r="D34" s="24">
        <f>IFERROR(__xludf.DUMMYFUNCTION("SUMPRODUCT((IMPORTRANGE(""17XjIPGwafStTRf_8bPPaoi2EFjHVy10_rRJ0uvy6YcU"",""M:M"")=B34)*1, IMPORTRANGE(""17XjIPGwafStTRf_8bPPaoi2EFjHVy10_rRJ0uvy6YcU"",""X:X""), IMPORTRANGE(""17XjIPGwafStTRf_8bPPaoi2EFjHVy10_rRJ0uvy6YcU"",""AA:AA"")) + SUMPRODUCT((IMPORTR"&amp;"ANGE(""17XjIPGwafStTRf_8bPPaoi2EFjHVy10_rRJ0uvy6YcU"",""M:M"")=B34)*1, IMPORTRANGE(""17XjIPGwafStTRf_8bPPaoi2EFjHVy10_rRJ0uvy6YcU"",""X:X""), IMPORTRANGE(""17XjIPGwafStTRf_8bPPaoi2EFjHVy10_rRJ0uvy6YcU"",""AE:AE"")) + SUMPRODUCT((IMPORTRANGE(""17XjIPGwafSt"&amp;"TRf_8bPPaoi2EFjHVy10_rRJ0uvy6YcU"",""M:M"")=B34)*1, IMPORTRANGE(""17XjIPGwafStTRf_8bPPaoi2EFjHVy10_rRJ0uvy6YcU"",""X:X""), IMPORTRANGE(""17XjIPGwafStTRf_8bPPaoi2EFjHVy10_rRJ0uvy6YcU"",""AF:AF""))"),148746.0871731606)</f>
        <v>148746.0872</v>
      </c>
      <c r="E34" s="24">
        <f>IFERROR(__xludf.DUMMYFUNCTION("SUMPRODUCT((IMPORTRANGE(""17XjIPGwafStTRf_8bPPaoi2EFjHVy10_rRJ0uvy6YcU"",""M:M"")=B34)*1, IMPORTRANGE(""17XjIPGwafStTRf_8bPPaoi2EFjHVy10_rRJ0uvy6YcU"",""X:X""), IMPORTRANGE(""17XjIPGwafStTRf_8bPPaoi2EFjHVy10_rRJ0uvy6YcU"",""AO:AO""))"),38690.428054356424)</f>
        <v>38690.42805</v>
      </c>
      <c r="F34" s="25">
        <f>IFERROR(__xludf.DUMMYFUNCTION("SUMPRODUCT((IMPORTRANGE(""17XjIPGwafStTRf_8bPPaoi2EFjHVy10_rRJ0uvy6YcU"",""M:M"")=B34)*1, IMPORTRANGE(""17XjIPGwafStTRf_8bPPaoi2EFjHVy10_rRJ0uvy6YcU"",""X:X""))"),53.0)</f>
        <v>53</v>
      </c>
      <c r="G34" s="26">
        <f>IFERROR(__xludf.DUMMYFUNCTION("COUNTIF(IMPORTRANGE(""17XjIPGwafStTRf_8bPPaoi2EFjHVy10_rRJ0uvy6YcU"",""M:M""), B34)"),38.0)</f>
        <v>38</v>
      </c>
      <c r="H34" s="27">
        <f t="shared" si="1"/>
        <v>1.394736842</v>
      </c>
      <c r="I34" s="28">
        <f t="shared" si="2"/>
        <v>0.1635668425</v>
      </c>
      <c r="J34" s="29">
        <f t="shared" si="3"/>
        <v>0.2601105601</v>
      </c>
      <c r="K34" s="30"/>
      <c r="L34" s="31" t="str">
        <f t="shared" si="4"/>
        <v/>
      </c>
      <c r="M34" s="31" t="str">
        <f t="shared" si="5"/>
        <v/>
      </c>
      <c r="N34" s="4"/>
    </row>
    <row r="35">
      <c r="A35" s="1"/>
      <c r="B35" s="23">
        <f t="shared" si="7"/>
        <v>44681</v>
      </c>
      <c r="C35" s="24">
        <f>IFERROR(__xludf.DUMMYFUNCTION("SUMPRODUCT((IMPORTRANGE(""17XjIPGwafStTRf_8bPPaoi2EFjHVy10_rRJ0uvy6YcU"",""M:M"")=B35)*1, IMPORTRANGE(""17XjIPGwafStTRf_8bPPaoi2EFjHVy10_rRJ0uvy6YcU"",""X:X""), IMPORTRANGE(""17XjIPGwafStTRf_8bPPaoi2EFjHVy10_rRJ0uvy6YcU"",""AK:AK"")) - SUMPRODUCT((IMPORTR"&amp;"ANGE(""17XjIPGwafStTRf_8bPPaoi2EFjHVy10_rRJ0uvy6YcU"",""M:M"")=B35)*1, IMPORTRANGE(""17XjIPGwafStTRf_8bPPaoi2EFjHVy10_rRJ0uvy6YcU"",""X:X""), IMPORTRANGE(""17XjIPGwafStTRf_8bPPaoi2EFjHVy10_rRJ0uvy6YcU"",""AL:AL""))"),0.0)</f>
        <v>0</v>
      </c>
      <c r="D35" s="24">
        <f>IFERROR(__xludf.DUMMYFUNCTION("SUMPRODUCT((IMPORTRANGE(""17XjIPGwafStTRf_8bPPaoi2EFjHVy10_rRJ0uvy6YcU"",""M:M"")=B35)*1, IMPORTRANGE(""17XjIPGwafStTRf_8bPPaoi2EFjHVy10_rRJ0uvy6YcU"",""X:X""), IMPORTRANGE(""17XjIPGwafStTRf_8bPPaoi2EFjHVy10_rRJ0uvy6YcU"",""AA:AA"")) + SUMPRODUCT((IMPORTR"&amp;"ANGE(""17XjIPGwafStTRf_8bPPaoi2EFjHVy10_rRJ0uvy6YcU"",""M:M"")=B35)*1, IMPORTRANGE(""17XjIPGwafStTRf_8bPPaoi2EFjHVy10_rRJ0uvy6YcU"",""X:X""), IMPORTRANGE(""17XjIPGwafStTRf_8bPPaoi2EFjHVy10_rRJ0uvy6YcU"",""AE:AE"")) + SUMPRODUCT((IMPORTRANGE(""17XjIPGwafSt"&amp;"TRf_8bPPaoi2EFjHVy10_rRJ0uvy6YcU"",""M:M"")=B35)*1, IMPORTRANGE(""17XjIPGwafStTRf_8bPPaoi2EFjHVy10_rRJ0uvy6YcU"",""X:X""), IMPORTRANGE(""17XjIPGwafStTRf_8bPPaoi2EFjHVy10_rRJ0uvy6YcU"",""AF:AF""))"),0.0)</f>
        <v>0</v>
      </c>
      <c r="E35" s="24">
        <f>IFERROR(__xludf.DUMMYFUNCTION("SUMPRODUCT((IMPORTRANGE(""17XjIPGwafStTRf_8bPPaoi2EFjHVy10_rRJ0uvy6YcU"",""M:M"")=B35)*1, IMPORTRANGE(""17XjIPGwafStTRf_8bPPaoi2EFjHVy10_rRJ0uvy6YcU"",""X:X""), IMPORTRANGE(""17XjIPGwafStTRf_8bPPaoi2EFjHVy10_rRJ0uvy6YcU"",""AO:AO""))"),0.0)</f>
        <v>0</v>
      </c>
      <c r="F35" s="25">
        <f>IFERROR(__xludf.DUMMYFUNCTION("SUMPRODUCT((IMPORTRANGE(""17XjIPGwafStTRf_8bPPaoi2EFjHVy10_rRJ0uvy6YcU"",""M:M"")=B35)*1, IMPORTRANGE(""17XjIPGwafStTRf_8bPPaoi2EFjHVy10_rRJ0uvy6YcU"",""X:X""))"),0.0)</f>
        <v>0</v>
      </c>
      <c r="G35" s="26">
        <f>IFERROR(__xludf.DUMMYFUNCTION("COUNTIF(IMPORTRANGE(""17XjIPGwafStTRf_8bPPaoi2EFjHVy10_rRJ0uvy6YcU"",""M:M""), B35)"),0.0)</f>
        <v>0</v>
      </c>
      <c r="H35" s="27" t="str">
        <f t="shared" si="1"/>
        <v/>
      </c>
      <c r="I35" s="28" t="str">
        <f t="shared" si="2"/>
        <v/>
      </c>
      <c r="J35" s="29" t="str">
        <f t="shared" si="3"/>
        <v/>
      </c>
      <c r="K35" s="32"/>
      <c r="L35" s="31" t="str">
        <f t="shared" si="4"/>
        <v/>
      </c>
      <c r="M35" s="31" t="str">
        <f t="shared" si="5"/>
        <v/>
      </c>
      <c r="N35" s="4"/>
    </row>
    <row r="36">
      <c r="A36" s="1"/>
      <c r="B36" s="23" t="str">
        <f t="shared" si="7"/>
        <v>--</v>
      </c>
      <c r="C36" s="24">
        <f>IFERROR(__xludf.DUMMYFUNCTION("SUMPRODUCT((IMPORTRANGE(""17XjIPGwafStTRf_8bPPaoi2EFjHVy10_rRJ0uvy6YcU"",""M:M"")=B36)*1, IMPORTRANGE(""17XjIPGwafStTRf_8bPPaoi2EFjHVy10_rRJ0uvy6YcU"",""X:X""), IMPORTRANGE(""17XjIPGwafStTRf_8bPPaoi2EFjHVy10_rRJ0uvy6YcU"",""AK:AK"")) - SUMPRODUCT((IMPORTR"&amp;"ANGE(""17XjIPGwafStTRf_8bPPaoi2EFjHVy10_rRJ0uvy6YcU"",""M:M"")=B36)*1, IMPORTRANGE(""17XjIPGwafStTRf_8bPPaoi2EFjHVy10_rRJ0uvy6YcU"",""X:X""), IMPORTRANGE(""17XjIPGwafStTRf_8bPPaoi2EFjHVy10_rRJ0uvy6YcU"",""AL:AL""))"),0.0)</f>
        <v>0</v>
      </c>
      <c r="D36" s="24">
        <f>IFERROR(__xludf.DUMMYFUNCTION("SUMPRODUCT((IMPORTRANGE(""17XjIPGwafStTRf_8bPPaoi2EFjHVy10_rRJ0uvy6YcU"",""M:M"")=B36)*1, IMPORTRANGE(""17XjIPGwafStTRf_8bPPaoi2EFjHVy10_rRJ0uvy6YcU"",""X:X""), IMPORTRANGE(""17XjIPGwafStTRf_8bPPaoi2EFjHVy10_rRJ0uvy6YcU"",""AA:AA"")) + SUMPRODUCT((IMPORTR"&amp;"ANGE(""17XjIPGwafStTRf_8bPPaoi2EFjHVy10_rRJ0uvy6YcU"",""M:M"")=B36)*1, IMPORTRANGE(""17XjIPGwafStTRf_8bPPaoi2EFjHVy10_rRJ0uvy6YcU"",""X:X""), IMPORTRANGE(""17XjIPGwafStTRf_8bPPaoi2EFjHVy10_rRJ0uvy6YcU"",""AE:AE"")) + SUMPRODUCT((IMPORTRANGE(""17XjIPGwafSt"&amp;"TRf_8bPPaoi2EFjHVy10_rRJ0uvy6YcU"",""M:M"")=B36)*1, IMPORTRANGE(""17XjIPGwafStTRf_8bPPaoi2EFjHVy10_rRJ0uvy6YcU"",""X:X""), IMPORTRANGE(""17XjIPGwafStTRf_8bPPaoi2EFjHVy10_rRJ0uvy6YcU"",""AF:AF""))"),0.0)</f>
        <v>0</v>
      </c>
      <c r="E36" s="24">
        <f>IFERROR(__xludf.DUMMYFUNCTION("SUMPRODUCT((IMPORTRANGE(""17XjIPGwafStTRf_8bPPaoi2EFjHVy10_rRJ0uvy6YcU"",""M:M"")=B36)*1, IMPORTRANGE(""17XjIPGwafStTRf_8bPPaoi2EFjHVy10_rRJ0uvy6YcU"",""X:X""), IMPORTRANGE(""17XjIPGwafStTRf_8bPPaoi2EFjHVy10_rRJ0uvy6YcU"",""AO:AO""))"),0.0)</f>
        <v>0</v>
      </c>
      <c r="F36" s="25">
        <f>IFERROR(__xludf.DUMMYFUNCTION("SUMPRODUCT((IMPORTRANGE(""17XjIPGwafStTRf_8bPPaoi2EFjHVy10_rRJ0uvy6YcU"",""M:M"")=B36)*1, IMPORTRANGE(""17XjIPGwafStTRf_8bPPaoi2EFjHVy10_rRJ0uvy6YcU"",""X:X""))"),0.0)</f>
        <v>0</v>
      </c>
      <c r="G36" s="26">
        <f>IFERROR(__xludf.DUMMYFUNCTION("COUNTIF(IMPORTRANGE(""17XjIPGwafStTRf_8bPPaoi2EFjHVy10_rRJ0uvy6YcU"",""M:M""), B36)"),0.0)</f>
        <v>0</v>
      </c>
      <c r="H36" s="27" t="str">
        <f t="shared" si="1"/>
        <v/>
      </c>
      <c r="I36" s="28" t="str">
        <f t="shared" si="2"/>
        <v/>
      </c>
      <c r="J36" s="29" t="str">
        <f t="shared" si="3"/>
        <v/>
      </c>
      <c r="K36" s="30"/>
      <c r="L36" s="31" t="str">
        <f>if(B36="","",IF(K36="","",E36/K36))</f>
        <v/>
      </c>
      <c r="M36" s="31" t="str">
        <f>if(B36="","",IF(K36="","",D36/K36))</f>
        <v/>
      </c>
      <c r="N36" s="4"/>
    </row>
    <row r="37">
      <c r="A37" s="4"/>
      <c r="B37" s="33" t="s">
        <v>16</v>
      </c>
      <c r="C37" s="34">
        <f t="shared" ref="C37:H37" si="8">SUM(C6:C36)</f>
        <v>14802645</v>
      </c>
      <c r="D37" s="34">
        <f t="shared" si="8"/>
        <v>7802948.539</v>
      </c>
      <c r="E37" s="34">
        <f t="shared" si="8"/>
        <v>2504580.455</v>
      </c>
      <c r="F37" s="34">
        <f t="shared" si="8"/>
        <v>3152</v>
      </c>
      <c r="G37" s="34">
        <f t="shared" si="8"/>
        <v>841</v>
      </c>
      <c r="H37" s="34">
        <f t="shared" si="8"/>
        <v>104.0581825</v>
      </c>
      <c r="I37" s="35">
        <f t="shared" si="2"/>
        <v>0.1691981707</v>
      </c>
      <c r="J37" s="35">
        <f t="shared" si="3"/>
        <v>0.3209787227</v>
      </c>
      <c r="K37" s="33">
        <f>SUM(K6:K36)</f>
        <v>0</v>
      </c>
      <c r="L37" s="34" t="str">
        <f>iferror(IF(K37="","",E37/K37),"")</f>
        <v/>
      </c>
      <c r="M37" s="34" t="str">
        <f>iferror(IF(K37="","",D37/K37),"")</f>
        <v/>
      </c>
      <c r="N37" s="4"/>
    </row>
    <row r="38">
      <c r="A38" s="4"/>
      <c r="B38" s="4"/>
      <c r="C38" s="4"/>
      <c r="D38" s="36" t="s">
        <v>17</v>
      </c>
      <c r="E38" s="4"/>
      <c r="F38" s="4"/>
      <c r="G38" s="4"/>
      <c r="H38" s="4"/>
      <c r="I38" s="4"/>
      <c r="J38" s="4"/>
      <c r="K38" s="4"/>
      <c r="L38" s="4"/>
      <c r="M38" s="4"/>
      <c r="N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.25"/>
    <col customWidth="1" min="2" max="2" width="7.38"/>
    <col customWidth="1" min="3" max="5" width="11.38"/>
    <col customWidth="1" min="6" max="8" width="5.75"/>
    <col customWidth="1" min="9" max="11" width="8.88"/>
    <col customWidth="1" min="12" max="13" width="11.38"/>
    <col customWidth="1" min="14" max="14" width="2.38"/>
  </cols>
  <sheetData>
    <row r="1" ht="7.5" customHeight="1">
      <c r="A1" s="1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</row>
    <row r="2">
      <c r="A2" s="1"/>
      <c r="B2" s="5">
        <v>44621.0</v>
      </c>
      <c r="C2" s="6"/>
      <c r="D2" s="3"/>
      <c r="E2" s="4"/>
      <c r="F2" s="4"/>
      <c r="G2" s="4"/>
      <c r="H2" s="4"/>
      <c r="I2" s="4"/>
      <c r="J2" s="4"/>
      <c r="K2" s="4"/>
      <c r="L2" s="7" t="s">
        <v>0</v>
      </c>
      <c r="M2" s="8">
        <v>1.5</v>
      </c>
      <c r="N2" s="4"/>
    </row>
    <row r="3">
      <c r="A3" s="4"/>
      <c r="B3" s="9" t="s">
        <v>1</v>
      </c>
      <c r="C3" s="10">
        <f>iferror((E3*M2)/I37,"")</f>
        <v>14787157.84</v>
      </c>
      <c r="D3" s="11" t="s">
        <v>2</v>
      </c>
      <c r="E3" s="12">
        <v>2000000.0</v>
      </c>
      <c r="F3" s="13"/>
      <c r="G3" s="4"/>
      <c r="H3" s="4"/>
      <c r="I3" s="4"/>
      <c r="J3" s="4"/>
      <c r="K3" s="4"/>
      <c r="L3" s="14"/>
      <c r="M3" s="15"/>
      <c r="N3" s="13"/>
    </row>
    <row r="4">
      <c r="A4" s="4"/>
      <c r="B4" s="9" t="s">
        <v>3</v>
      </c>
      <c r="C4" s="16">
        <f>iferror(C37/C3,"")</f>
        <v>1.064494352</v>
      </c>
      <c r="D4" s="9"/>
      <c r="E4" s="16"/>
      <c r="F4" s="4"/>
      <c r="G4" s="4"/>
      <c r="H4" s="4"/>
      <c r="I4" s="4"/>
      <c r="J4" s="4"/>
      <c r="K4" s="17"/>
      <c r="L4" s="4"/>
      <c r="M4" s="4"/>
      <c r="N4" s="4"/>
    </row>
    <row r="5" ht="28.5" customHeight="1">
      <c r="A5" s="18"/>
      <c r="B5" s="19" t="s">
        <v>4</v>
      </c>
      <c r="C5" s="20" t="s">
        <v>5</v>
      </c>
      <c r="D5" s="20" t="s">
        <v>6</v>
      </c>
      <c r="E5" s="20" t="s">
        <v>7</v>
      </c>
      <c r="F5" s="21" t="s">
        <v>8</v>
      </c>
      <c r="G5" s="22" t="s">
        <v>9</v>
      </c>
      <c r="H5" s="22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18"/>
    </row>
    <row r="6">
      <c r="A6" s="1"/>
      <c r="B6" s="23">
        <f>B2</f>
        <v>44621</v>
      </c>
      <c r="C6" s="24">
        <f>IFERROR(__xludf.DUMMYFUNCTION("SUMPRODUCT((IMPORTRANGE(""17XjIPGwafStTRf_8bPPaoi2EFjHVy10_rRJ0uvy6YcU"",""M:M"")=B6)*1, IMPORTRANGE(""17XjIPGwafStTRf_8bPPaoi2EFjHVy10_rRJ0uvy6YcU"",""X:X""), IMPORTRANGE(""17XjIPGwafStTRf_8bPPaoi2EFjHVy10_rRJ0uvy6YcU"",""AK:AK"")) - SUMPRODUCT((IMPORTRA"&amp;"NGE(""17XjIPGwafStTRf_8bPPaoi2EFjHVy10_rRJ0uvy6YcU"",""M:M"")=B6)*1, IMPORTRANGE(""17XjIPGwafStTRf_8bPPaoi2EFjHVy10_rRJ0uvy6YcU"",""X:X""), IMPORTRANGE(""17XjIPGwafStTRf_8bPPaoi2EFjHVy10_rRJ0uvy6YcU"",""AL:AL""))"),0.0)</f>
        <v>0</v>
      </c>
      <c r="D6" s="24">
        <f>IFERROR(__xludf.DUMMYFUNCTION("SUMPRODUCT((IMPORTRANGE(""17XjIPGwafStTRf_8bPPaoi2EFjHVy10_rRJ0uvy6YcU"",""M:M"")=B6)*1, IMPORTRANGE(""17XjIPGwafStTRf_8bPPaoi2EFjHVy10_rRJ0uvy6YcU"",""X:X""), IMPORTRANGE(""17XjIPGwafStTRf_8bPPaoi2EFjHVy10_rRJ0uvy6YcU"",""AA:AA"")) + SUMPRODUCT((IMPORTRA"&amp;"NGE(""17XjIPGwafStTRf_8bPPaoi2EFjHVy10_rRJ0uvy6YcU"",""M:M"")=B6)*1, IMPORTRANGE(""17XjIPGwafStTRf_8bPPaoi2EFjHVy10_rRJ0uvy6YcU"",""X:X""), IMPORTRANGE(""17XjIPGwafStTRf_8bPPaoi2EFjHVy10_rRJ0uvy6YcU"",""AE:AE"")) + SUMPRODUCT((IMPORTRANGE(""17XjIPGwafStTR"&amp;"f_8bPPaoi2EFjHVy10_rRJ0uvy6YcU"",""M:M"")=B6)*1, IMPORTRANGE(""17XjIPGwafStTRf_8bPPaoi2EFjHVy10_rRJ0uvy6YcU"",""X:X""), IMPORTRANGE(""17XjIPGwafStTRf_8bPPaoi2EFjHVy10_rRJ0uvy6YcU"",""AF:AF""))"),0.0)</f>
        <v>0</v>
      </c>
      <c r="E6" s="24">
        <f>IFERROR(__xludf.DUMMYFUNCTION("SUMPRODUCT((IMPORTRANGE(""17XjIPGwafStTRf_8bPPaoi2EFjHVy10_rRJ0uvy6YcU"",""M:M"")=B6)*1, IMPORTRANGE(""17XjIPGwafStTRf_8bPPaoi2EFjHVy10_rRJ0uvy6YcU"",""X:X""), IMPORTRANGE(""17XjIPGwafStTRf_8bPPaoi2EFjHVy10_rRJ0uvy6YcU"",""AO:AO""))"),0.0)</f>
        <v>0</v>
      </c>
      <c r="F6" s="25">
        <f>IFERROR(__xludf.DUMMYFUNCTION("SUMPRODUCT((IMPORTRANGE(""17XjIPGwafStTRf_8bPPaoi2EFjHVy10_rRJ0uvy6YcU"",""M:M"")=B6)*1, IMPORTRANGE(""17XjIPGwafStTRf_8bPPaoi2EFjHVy10_rRJ0uvy6YcU"",""X:X""))"),0.0)</f>
        <v>0</v>
      </c>
      <c r="G6" s="26">
        <f>IFERROR(__xludf.DUMMYFUNCTION("COUNTIF(IMPORTRANGE(""17XjIPGwafStTRf_8bPPaoi2EFjHVy10_rRJ0uvy6YcU"",""M:M""), B6)"),0.0)</f>
        <v>0</v>
      </c>
      <c r="H6" s="27" t="str">
        <f t="shared" ref="H6:H36" si="1">IF(F6=0,"",F6/G6)</f>
        <v/>
      </c>
      <c r="I6" s="28" t="str">
        <f t="shared" ref="I6:I37" si="2">IF(C6=0,"",E6/C6)</f>
        <v/>
      </c>
      <c r="J6" s="29" t="str">
        <f t="shared" ref="J6:J37" si="3">IF(D6=0,"",E6/D6)</f>
        <v/>
      </c>
      <c r="K6" s="30"/>
      <c r="L6" s="31" t="str">
        <f t="shared" ref="L6:L35" si="4">IF(K6="","",E6/K6)</f>
        <v/>
      </c>
      <c r="M6" s="31" t="str">
        <f t="shared" ref="M6:M35" si="5">IF(K6="","",D6/K6)</f>
        <v/>
      </c>
      <c r="N6" s="4"/>
    </row>
    <row r="7">
      <c r="A7" s="1"/>
      <c r="B7" s="23">
        <f t="shared" ref="B7:B33" si="6">B6+1</f>
        <v>44622</v>
      </c>
      <c r="C7" s="24">
        <f>IFERROR(__xludf.DUMMYFUNCTION("SUMPRODUCT((IMPORTRANGE(""17XjIPGwafStTRf_8bPPaoi2EFjHVy10_rRJ0uvy6YcU"",""M:M"")=B7)*1, IMPORTRANGE(""17XjIPGwafStTRf_8bPPaoi2EFjHVy10_rRJ0uvy6YcU"",""X:X""), IMPORTRANGE(""17XjIPGwafStTRf_8bPPaoi2EFjHVy10_rRJ0uvy6YcU"",""AK:AK"")) - SUMPRODUCT((IMPORTRA"&amp;"NGE(""17XjIPGwafStTRf_8bPPaoi2EFjHVy10_rRJ0uvy6YcU"",""M:M"")=B7)*1, IMPORTRANGE(""17XjIPGwafStTRf_8bPPaoi2EFjHVy10_rRJ0uvy6YcU"",""X:X""), IMPORTRANGE(""17XjIPGwafStTRf_8bPPaoi2EFjHVy10_rRJ0uvy6YcU"",""AL:AL""))"),0.0)</f>
        <v>0</v>
      </c>
      <c r="D7" s="24">
        <f>IFERROR(__xludf.DUMMYFUNCTION("SUMPRODUCT((IMPORTRANGE(""17XjIPGwafStTRf_8bPPaoi2EFjHVy10_rRJ0uvy6YcU"",""M:M"")=B7)*1, IMPORTRANGE(""17XjIPGwafStTRf_8bPPaoi2EFjHVy10_rRJ0uvy6YcU"",""X:X""), IMPORTRANGE(""17XjIPGwafStTRf_8bPPaoi2EFjHVy10_rRJ0uvy6YcU"",""AA:AA"")) + SUMPRODUCT((IMPORTRA"&amp;"NGE(""17XjIPGwafStTRf_8bPPaoi2EFjHVy10_rRJ0uvy6YcU"",""M:M"")=B7)*1, IMPORTRANGE(""17XjIPGwafStTRf_8bPPaoi2EFjHVy10_rRJ0uvy6YcU"",""X:X""), IMPORTRANGE(""17XjIPGwafStTRf_8bPPaoi2EFjHVy10_rRJ0uvy6YcU"",""AE:AE"")) + SUMPRODUCT((IMPORTRANGE(""17XjIPGwafStTR"&amp;"f_8bPPaoi2EFjHVy10_rRJ0uvy6YcU"",""M:M"")=B7)*1, IMPORTRANGE(""17XjIPGwafStTRf_8bPPaoi2EFjHVy10_rRJ0uvy6YcU"",""X:X""), IMPORTRANGE(""17XjIPGwafStTRf_8bPPaoi2EFjHVy10_rRJ0uvy6YcU"",""AF:AF""))"),0.0)</f>
        <v>0</v>
      </c>
      <c r="E7" s="24">
        <f>IFERROR(__xludf.DUMMYFUNCTION("SUMPRODUCT((IMPORTRANGE(""17XjIPGwafStTRf_8bPPaoi2EFjHVy10_rRJ0uvy6YcU"",""M:M"")=B7)*1, IMPORTRANGE(""17XjIPGwafStTRf_8bPPaoi2EFjHVy10_rRJ0uvy6YcU"",""X:X""), IMPORTRANGE(""17XjIPGwafStTRf_8bPPaoi2EFjHVy10_rRJ0uvy6YcU"",""AO:AO""))"),0.0)</f>
        <v>0</v>
      </c>
      <c r="F7" s="25">
        <f>IFERROR(__xludf.DUMMYFUNCTION("SUMPRODUCT((IMPORTRANGE(""17XjIPGwafStTRf_8bPPaoi2EFjHVy10_rRJ0uvy6YcU"",""M:M"")=B7)*1, IMPORTRANGE(""17XjIPGwafStTRf_8bPPaoi2EFjHVy10_rRJ0uvy6YcU"",""X:X""))"),0.0)</f>
        <v>0</v>
      </c>
      <c r="G7" s="26">
        <f>IFERROR(__xludf.DUMMYFUNCTION("COUNTIF(IMPORTRANGE(""17XjIPGwafStTRf_8bPPaoi2EFjHVy10_rRJ0uvy6YcU"",""M:M""), B7)"),0.0)</f>
        <v>0</v>
      </c>
      <c r="H7" s="27" t="str">
        <f t="shared" si="1"/>
        <v/>
      </c>
      <c r="I7" s="28" t="str">
        <f t="shared" si="2"/>
        <v/>
      </c>
      <c r="J7" s="29" t="str">
        <f t="shared" si="3"/>
        <v/>
      </c>
      <c r="K7" s="30"/>
      <c r="L7" s="31" t="str">
        <f t="shared" si="4"/>
        <v/>
      </c>
      <c r="M7" s="31" t="str">
        <f t="shared" si="5"/>
        <v/>
      </c>
      <c r="N7" s="4"/>
    </row>
    <row r="8">
      <c r="A8" s="1"/>
      <c r="B8" s="23">
        <f t="shared" si="6"/>
        <v>44623</v>
      </c>
      <c r="C8" s="24">
        <f>IFERROR(__xludf.DUMMYFUNCTION("SUMPRODUCT((IMPORTRANGE(""17XjIPGwafStTRf_8bPPaoi2EFjHVy10_rRJ0uvy6YcU"",""M:M"")=B8)*1, IMPORTRANGE(""17XjIPGwafStTRf_8bPPaoi2EFjHVy10_rRJ0uvy6YcU"",""X:X""), IMPORTRANGE(""17XjIPGwafStTRf_8bPPaoi2EFjHVy10_rRJ0uvy6YcU"",""AK:AK"")) - SUMPRODUCT((IMPORTRA"&amp;"NGE(""17XjIPGwafStTRf_8bPPaoi2EFjHVy10_rRJ0uvy6YcU"",""M:M"")=B8)*1, IMPORTRANGE(""17XjIPGwafStTRf_8bPPaoi2EFjHVy10_rRJ0uvy6YcU"",""X:X""), IMPORTRANGE(""17XjIPGwafStTRf_8bPPaoi2EFjHVy10_rRJ0uvy6YcU"",""AL:AL""))"),1401751.0)</f>
        <v>1401751</v>
      </c>
      <c r="D8" s="24">
        <f>IFERROR(__xludf.DUMMYFUNCTION("SUMPRODUCT((IMPORTRANGE(""17XjIPGwafStTRf_8bPPaoi2EFjHVy10_rRJ0uvy6YcU"",""M:M"")=B8)*1, IMPORTRANGE(""17XjIPGwafStTRf_8bPPaoi2EFjHVy10_rRJ0uvy6YcU"",""X:X""), IMPORTRANGE(""17XjIPGwafStTRf_8bPPaoi2EFjHVy10_rRJ0uvy6YcU"",""AA:AA"")) + SUMPRODUCT((IMPORTRA"&amp;"NGE(""17XjIPGwafStTRf_8bPPaoi2EFjHVy10_rRJ0uvy6YcU"",""M:M"")=B8)*1, IMPORTRANGE(""17XjIPGwafStTRf_8bPPaoi2EFjHVy10_rRJ0uvy6YcU"",""X:X""), IMPORTRANGE(""17XjIPGwafStTRf_8bPPaoi2EFjHVy10_rRJ0uvy6YcU"",""AE:AE"")) + SUMPRODUCT((IMPORTRANGE(""17XjIPGwafStTR"&amp;"f_8bPPaoi2EFjHVy10_rRJ0uvy6YcU"",""M:M"")=B8)*1, IMPORTRANGE(""17XjIPGwafStTRf_8bPPaoi2EFjHVy10_rRJ0uvy6YcU"",""X:X""), IMPORTRANGE(""17XjIPGwafStTRf_8bPPaoi2EFjHVy10_rRJ0uvy6YcU"",""AF:AF""))"),905278.7045646062)</f>
        <v>905278.7046</v>
      </c>
      <c r="E8" s="24">
        <f>IFERROR(__xludf.DUMMYFUNCTION("SUMPRODUCT((IMPORTRANGE(""17XjIPGwafStTRf_8bPPaoi2EFjHVy10_rRJ0uvy6YcU"",""M:M"")=B8)*1, IMPORTRANGE(""17XjIPGwafStTRf_8bPPaoi2EFjHVy10_rRJ0uvy6YcU"",""X:X""), IMPORTRANGE(""17XjIPGwafStTRf_8bPPaoi2EFjHVy10_rRJ0uvy6YcU"",""AO:AO""))"),278397.1272576953)</f>
        <v>278397.1273</v>
      </c>
      <c r="F8" s="25">
        <f>IFERROR(__xludf.DUMMYFUNCTION("SUMPRODUCT((IMPORTRANGE(""17XjIPGwafStTRf_8bPPaoi2EFjHVy10_rRJ0uvy6YcU"",""M:M"")=B8)*1, IMPORTRANGE(""17XjIPGwafStTRf_8bPPaoi2EFjHVy10_rRJ0uvy6YcU"",""X:X""))"),213.0)</f>
        <v>213</v>
      </c>
      <c r="G8" s="26">
        <f>IFERROR(__xludf.DUMMYFUNCTION("COUNTIF(IMPORTRANGE(""17XjIPGwafStTRf_8bPPaoi2EFjHVy10_rRJ0uvy6YcU"",""M:M""), B8)"),76.0)</f>
        <v>76</v>
      </c>
      <c r="H8" s="27">
        <f t="shared" si="1"/>
        <v>2.802631579</v>
      </c>
      <c r="I8" s="28">
        <f t="shared" si="2"/>
        <v>0.1986066907</v>
      </c>
      <c r="J8" s="29">
        <f t="shared" si="3"/>
        <v>0.307526429</v>
      </c>
      <c r="K8" s="30"/>
      <c r="L8" s="31" t="str">
        <f t="shared" si="4"/>
        <v/>
      </c>
      <c r="M8" s="31" t="str">
        <f t="shared" si="5"/>
        <v/>
      </c>
      <c r="N8" s="4"/>
    </row>
    <row r="9">
      <c r="A9" s="1"/>
      <c r="B9" s="23">
        <f t="shared" si="6"/>
        <v>44624</v>
      </c>
      <c r="C9" s="24">
        <f>IFERROR(__xludf.DUMMYFUNCTION("SUMPRODUCT((IMPORTRANGE(""17XjIPGwafStTRf_8bPPaoi2EFjHVy10_rRJ0uvy6YcU"",""M:M"")=B9)*1, IMPORTRANGE(""17XjIPGwafStTRf_8bPPaoi2EFjHVy10_rRJ0uvy6YcU"",""X:X""), IMPORTRANGE(""17XjIPGwafStTRf_8bPPaoi2EFjHVy10_rRJ0uvy6YcU"",""AK:AK"")) - SUMPRODUCT((IMPORTRA"&amp;"NGE(""17XjIPGwafStTRf_8bPPaoi2EFjHVy10_rRJ0uvy6YcU"",""M:M"")=B9)*1, IMPORTRANGE(""17XjIPGwafStTRf_8bPPaoi2EFjHVy10_rRJ0uvy6YcU"",""X:X""), IMPORTRANGE(""17XjIPGwafStTRf_8bPPaoi2EFjHVy10_rRJ0uvy6YcU"",""AL:AL""))"),627125.0)</f>
        <v>627125</v>
      </c>
      <c r="D9" s="24">
        <f>IFERROR(__xludf.DUMMYFUNCTION("SUMPRODUCT((IMPORTRANGE(""17XjIPGwafStTRf_8bPPaoi2EFjHVy10_rRJ0uvy6YcU"",""M:M"")=B9)*1, IMPORTRANGE(""17XjIPGwafStTRf_8bPPaoi2EFjHVy10_rRJ0uvy6YcU"",""X:X""), IMPORTRANGE(""17XjIPGwafStTRf_8bPPaoi2EFjHVy10_rRJ0uvy6YcU"",""AA:AA"")) + SUMPRODUCT((IMPORTRA"&amp;"NGE(""17XjIPGwafStTRf_8bPPaoi2EFjHVy10_rRJ0uvy6YcU"",""M:M"")=B9)*1, IMPORTRANGE(""17XjIPGwafStTRf_8bPPaoi2EFjHVy10_rRJ0uvy6YcU"",""X:X""), IMPORTRANGE(""17XjIPGwafStTRf_8bPPaoi2EFjHVy10_rRJ0uvy6YcU"",""AE:AE"")) + SUMPRODUCT((IMPORTRANGE(""17XjIPGwafStTR"&amp;"f_8bPPaoi2EFjHVy10_rRJ0uvy6YcU"",""M:M"")=B9)*1, IMPORTRANGE(""17XjIPGwafStTRf_8bPPaoi2EFjHVy10_rRJ0uvy6YcU"",""X:X""), IMPORTRANGE(""17XjIPGwafStTRf_8bPPaoi2EFjHVy10_rRJ0uvy6YcU"",""AF:AF""))"),572963.7773021623)</f>
        <v>572963.7773</v>
      </c>
      <c r="E9" s="24">
        <f>IFERROR(__xludf.DUMMYFUNCTION("SUMPRODUCT((IMPORTRANGE(""17XjIPGwafStTRf_8bPPaoi2EFjHVy10_rRJ0uvy6YcU"",""M:M"")=B9)*1, IMPORTRANGE(""17XjIPGwafStTRf_8bPPaoi2EFjHVy10_rRJ0uvy6YcU"",""X:X""), IMPORTRANGE(""17XjIPGwafStTRf_8bPPaoi2EFjHVy10_rRJ0uvy6YcU"",""AO:AO""))"),150518.35121331897)</f>
        <v>150518.3512</v>
      </c>
      <c r="F9" s="25">
        <f>IFERROR(__xludf.DUMMYFUNCTION("SUMPRODUCT((IMPORTRANGE(""17XjIPGwafStTRf_8bPPaoi2EFjHVy10_rRJ0uvy6YcU"",""M:M"")=B9)*1, IMPORTRANGE(""17XjIPGwafStTRf_8bPPaoi2EFjHVy10_rRJ0uvy6YcU"",""X:X""))"),138.0)</f>
        <v>138</v>
      </c>
      <c r="G9" s="26">
        <f>IFERROR(__xludf.DUMMYFUNCTION("COUNTIF(IMPORTRANGE(""17XjIPGwafStTRf_8bPPaoi2EFjHVy10_rRJ0uvy6YcU"",""M:M""), B9)"),27.0)</f>
        <v>27</v>
      </c>
      <c r="H9" s="27">
        <f t="shared" si="1"/>
        <v>5.111111111</v>
      </c>
      <c r="I9" s="28">
        <f t="shared" si="2"/>
        <v>0.2400133167</v>
      </c>
      <c r="J9" s="29">
        <f t="shared" si="3"/>
        <v>0.2627013385</v>
      </c>
      <c r="K9" s="32"/>
      <c r="L9" s="31" t="str">
        <f t="shared" si="4"/>
        <v/>
      </c>
      <c r="M9" s="31" t="str">
        <f t="shared" si="5"/>
        <v/>
      </c>
      <c r="N9" s="4"/>
    </row>
    <row r="10">
      <c r="A10" s="1"/>
      <c r="B10" s="23">
        <f t="shared" si="6"/>
        <v>44625</v>
      </c>
      <c r="C10" s="24">
        <f>IFERROR(__xludf.DUMMYFUNCTION("SUMPRODUCT((IMPORTRANGE(""17XjIPGwafStTRf_8bPPaoi2EFjHVy10_rRJ0uvy6YcU"",""M:M"")=B10)*1, IMPORTRANGE(""17XjIPGwafStTRf_8bPPaoi2EFjHVy10_rRJ0uvy6YcU"",""X:X""), IMPORTRANGE(""17XjIPGwafStTRf_8bPPaoi2EFjHVy10_rRJ0uvy6YcU"",""AK:AK"")) - SUMPRODUCT((IMPORTR"&amp;"ANGE(""17XjIPGwafStTRf_8bPPaoi2EFjHVy10_rRJ0uvy6YcU"",""M:M"")=B10)*1, IMPORTRANGE(""17XjIPGwafStTRf_8bPPaoi2EFjHVy10_rRJ0uvy6YcU"",""X:X""), IMPORTRANGE(""17XjIPGwafStTRf_8bPPaoi2EFjHVy10_rRJ0uvy6YcU"",""AL:AL""))"),0.0)</f>
        <v>0</v>
      </c>
      <c r="D10" s="24">
        <f>IFERROR(__xludf.DUMMYFUNCTION("SUMPRODUCT((IMPORTRANGE(""17XjIPGwafStTRf_8bPPaoi2EFjHVy10_rRJ0uvy6YcU"",""M:M"")=B10)*1, IMPORTRANGE(""17XjIPGwafStTRf_8bPPaoi2EFjHVy10_rRJ0uvy6YcU"",""X:X""), IMPORTRANGE(""17XjIPGwafStTRf_8bPPaoi2EFjHVy10_rRJ0uvy6YcU"",""AA:AA"")) + SUMPRODUCT((IMPORTR"&amp;"ANGE(""17XjIPGwafStTRf_8bPPaoi2EFjHVy10_rRJ0uvy6YcU"",""M:M"")=B10)*1, IMPORTRANGE(""17XjIPGwafStTRf_8bPPaoi2EFjHVy10_rRJ0uvy6YcU"",""X:X""), IMPORTRANGE(""17XjIPGwafStTRf_8bPPaoi2EFjHVy10_rRJ0uvy6YcU"",""AE:AE"")) + SUMPRODUCT((IMPORTRANGE(""17XjIPGwafSt"&amp;"TRf_8bPPaoi2EFjHVy10_rRJ0uvy6YcU"",""M:M"")=B10)*1, IMPORTRANGE(""17XjIPGwafStTRf_8bPPaoi2EFjHVy10_rRJ0uvy6YcU"",""X:X""), IMPORTRANGE(""17XjIPGwafStTRf_8bPPaoi2EFjHVy10_rRJ0uvy6YcU"",""AF:AF""))"),0.0)</f>
        <v>0</v>
      </c>
      <c r="E10" s="24">
        <f>IFERROR(__xludf.DUMMYFUNCTION("SUMPRODUCT((IMPORTRANGE(""17XjIPGwafStTRf_8bPPaoi2EFjHVy10_rRJ0uvy6YcU"",""M:M"")=B10)*1, IMPORTRANGE(""17XjIPGwafStTRf_8bPPaoi2EFjHVy10_rRJ0uvy6YcU"",""X:X""), IMPORTRANGE(""17XjIPGwafStTRf_8bPPaoi2EFjHVy10_rRJ0uvy6YcU"",""AO:AO""))"),0.0)</f>
        <v>0</v>
      </c>
      <c r="F10" s="25">
        <f>IFERROR(__xludf.DUMMYFUNCTION("SUMPRODUCT((IMPORTRANGE(""17XjIPGwafStTRf_8bPPaoi2EFjHVy10_rRJ0uvy6YcU"",""M:M"")=B10)*1, IMPORTRANGE(""17XjIPGwafStTRf_8bPPaoi2EFjHVy10_rRJ0uvy6YcU"",""X:X""))"),0.0)</f>
        <v>0</v>
      </c>
      <c r="G10" s="26">
        <f>IFERROR(__xludf.DUMMYFUNCTION("COUNTIF(IMPORTRANGE(""17XjIPGwafStTRf_8bPPaoi2EFjHVy10_rRJ0uvy6YcU"",""M:M""), B10)"),0.0)</f>
        <v>0</v>
      </c>
      <c r="H10" s="27" t="str">
        <f t="shared" si="1"/>
        <v/>
      </c>
      <c r="I10" s="28" t="str">
        <f t="shared" si="2"/>
        <v/>
      </c>
      <c r="J10" s="29" t="str">
        <f t="shared" si="3"/>
        <v/>
      </c>
      <c r="K10" s="32"/>
      <c r="L10" s="31" t="str">
        <f t="shared" si="4"/>
        <v/>
      </c>
      <c r="M10" s="31" t="str">
        <f t="shared" si="5"/>
        <v/>
      </c>
      <c r="N10" s="4"/>
    </row>
    <row r="11">
      <c r="A11" s="1"/>
      <c r="B11" s="23">
        <f t="shared" si="6"/>
        <v>44626</v>
      </c>
      <c r="C11" s="24">
        <f>IFERROR(__xludf.DUMMYFUNCTION("SUMPRODUCT((IMPORTRANGE(""17XjIPGwafStTRf_8bPPaoi2EFjHVy10_rRJ0uvy6YcU"",""M:M"")=B11)*1, IMPORTRANGE(""17XjIPGwafStTRf_8bPPaoi2EFjHVy10_rRJ0uvy6YcU"",""X:X""), IMPORTRANGE(""17XjIPGwafStTRf_8bPPaoi2EFjHVy10_rRJ0uvy6YcU"",""AK:AK"")) - SUMPRODUCT((IMPORTR"&amp;"ANGE(""17XjIPGwafStTRf_8bPPaoi2EFjHVy10_rRJ0uvy6YcU"",""M:M"")=B11)*1, IMPORTRANGE(""17XjIPGwafStTRf_8bPPaoi2EFjHVy10_rRJ0uvy6YcU"",""X:X""), IMPORTRANGE(""17XjIPGwafStTRf_8bPPaoi2EFjHVy10_rRJ0uvy6YcU"",""AL:AL""))"),697666.0)</f>
        <v>697666</v>
      </c>
      <c r="D11" s="24">
        <f>IFERROR(__xludf.DUMMYFUNCTION("SUMPRODUCT((IMPORTRANGE(""17XjIPGwafStTRf_8bPPaoi2EFjHVy10_rRJ0uvy6YcU"",""M:M"")=B11)*1, IMPORTRANGE(""17XjIPGwafStTRf_8bPPaoi2EFjHVy10_rRJ0uvy6YcU"",""X:X""), IMPORTRANGE(""17XjIPGwafStTRf_8bPPaoi2EFjHVy10_rRJ0uvy6YcU"",""AA:AA"")) + SUMPRODUCT((IMPORTR"&amp;"ANGE(""17XjIPGwafStTRf_8bPPaoi2EFjHVy10_rRJ0uvy6YcU"",""M:M"")=B11)*1, IMPORTRANGE(""17XjIPGwafStTRf_8bPPaoi2EFjHVy10_rRJ0uvy6YcU"",""X:X""), IMPORTRANGE(""17XjIPGwafStTRf_8bPPaoi2EFjHVy10_rRJ0uvy6YcU"",""AE:AE"")) + SUMPRODUCT((IMPORTRANGE(""17XjIPGwafSt"&amp;"TRf_8bPPaoi2EFjHVy10_rRJ0uvy6YcU"",""M:M"")=B11)*1, IMPORTRANGE(""17XjIPGwafStTRf_8bPPaoi2EFjHVy10_rRJ0uvy6YcU"",""X:X""), IMPORTRANGE(""17XjIPGwafStTRf_8bPPaoi2EFjHVy10_rRJ0uvy6YcU"",""AF:AF""))"),480431.6130915204)</f>
        <v>480431.6131</v>
      </c>
      <c r="E11" s="24">
        <f>IFERROR(__xludf.DUMMYFUNCTION("SUMPRODUCT((IMPORTRANGE(""17XjIPGwafStTRf_8bPPaoi2EFjHVy10_rRJ0uvy6YcU"",""M:M"")=B11)*1, IMPORTRANGE(""17XjIPGwafStTRf_8bPPaoi2EFjHVy10_rRJ0uvy6YcU"",""X:X""), IMPORTRANGE(""17XjIPGwafStTRf_8bPPaoi2EFjHVy10_rRJ0uvy6YcU"",""AO:AO""))"),113052.2851847793)</f>
        <v>113052.2852</v>
      </c>
      <c r="F11" s="25">
        <f>IFERROR(__xludf.DUMMYFUNCTION("SUMPRODUCT((IMPORTRANGE(""17XjIPGwafStTRf_8bPPaoi2EFjHVy10_rRJ0uvy6YcU"",""M:M"")=B11)*1, IMPORTRANGE(""17XjIPGwafStTRf_8bPPaoi2EFjHVy10_rRJ0uvy6YcU"",""X:X""))"),93.0)</f>
        <v>93</v>
      </c>
      <c r="G11" s="26">
        <f>IFERROR(__xludf.DUMMYFUNCTION("COUNTIF(IMPORTRANGE(""17XjIPGwafStTRf_8bPPaoi2EFjHVy10_rRJ0uvy6YcU"",""M:M""), B11)"),46.0)</f>
        <v>46</v>
      </c>
      <c r="H11" s="27">
        <f t="shared" si="1"/>
        <v>2.02173913</v>
      </c>
      <c r="I11" s="28">
        <f t="shared" si="2"/>
        <v>0.1620435641</v>
      </c>
      <c r="J11" s="29">
        <f t="shared" si="3"/>
        <v>0.2353140012</v>
      </c>
      <c r="K11" s="30"/>
      <c r="L11" s="31" t="str">
        <f t="shared" si="4"/>
        <v/>
      </c>
      <c r="M11" s="31" t="str">
        <f t="shared" si="5"/>
        <v/>
      </c>
      <c r="N11" s="4"/>
    </row>
    <row r="12">
      <c r="A12" s="1"/>
      <c r="B12" s="23">
        <f t="shared" si="6"/>
        <v>44627</v>
      </c>
      <c r="C12" s="24">
        <f>IFERROR(__xludf.DUMMYFUNCTION("SUMPRODUCT((IMPORTRANGE(""17XjIPGwafStTRf_8bPPaoi2EFjHVy10_rRJ0uvy6YcU"",""M:M"")=B12)*1, IMPORTRANGE(""17XjIPGwafStTRf_8bPPaoi2EFjHVy10_rRJ0uvy6YcU"",""X:X""), IMPORTRANGE(""17XjIPGwafStTRf_8bPPaoi2EFjHVy10_rRJ0uvy6YcU"",""AK:AK"")) - SUMPRODUCT((IMPORTR"&amp;"ANGE(""17XjIPGwafStTRf_8bPPaoi2EFjHVy10_rRJ0uvy6YcU"",""M:M"")=B12)*1, IMPORTRANGE(""17XjIPGwafStTRf_8bPPaoi2EFjHVy10_rRJ0uvy6YcU"",""X:X""), IMPORTRANGE(""17XjIPGwafStTRf_8bPPaoi2EFjHVy10_rRJ0uvy6YcU"",""AL:AL""))"),249600.0)</f>
        <v>249600</v>
      </c>
      <c r="D12" s="24">
        <f>IFERROR(__xludf.DUMMYFUNCTION("SUMPRODUCT((IMPORTRANGE(""17XjIPGwafStTRf_8bPPaoi2EFjHVy10_rRJ0uvy6YcU"",""M:M"")=B12)*1, IMPORTRANGE(""17XjIPGwafStTRf_8bPPaoi2EFjHVy10_rRJ0uvy6YcU"",""X:X""), IMPORTRANGE(""17XjIPGwafStTRf_8bPPaoi2EFjHVy10_rRJ0uvy6YcU"",""AA:AA"")) + SUMPRODUCT((IMPORTR"&amp;"ANGE(""17XjIPGwafStTRf_8bPPaoi2EFjHVy10_rRJ0uvy6YcU"",""M:M"")=B12)*1, IMPORTRANGE(""17XjIPGwafStTRf_8bPPaoi2EFjHVy10_rRJ0uvy6YcU"",""X:X""), IMPORTRANGE(""17XjIPGwafStTRf_8bPPaoi2EFjHVy10_rRJ0uvy6YcU"",""AE:AE"")) + SUMPRODUCT((IMPORTRANGE(""17XjIPGwafSt"&amp;"TRf_8bPPaoi2EFjHVy10_rRJ0uvy6YcU"",""M:M"")=B12)*1, IMPORTRANGE(""17XjIPGwafStTRf_8bPPaoi2EFjHVy10_rRJ0uvy6YcU"",""X:X""), IMPORTRANGE(""17XjIPGwafStTRf_8bPPaoi2EFjHVy10_rRJ0uvy6YcU"",""AF:AF""))"),162678.40235299518)</f>
        <v>162678.4024</v>
      </c>
      <c r="E12" s="24">
        <f>IFERROR(__xludf.DUMMYFUNCTION("SUMPRODUCT((IMPORTRANGE(""17XjIPGwafStTRf_8bPPaoi2EFjHVy10_rRJ0uvy6YcU"",""M:M"")=B12)*1, IMPORTRANGE(""17XjIPGwafStTRf_8bPPaoi2EFjHVy10_rRJ0uvy6YcU"",""X:X""), IMPORTRANGE(""17XjIPGwafStTRf_8bPPaoi2EFjHVy10_rRJ0uvy6YcU"",""AO:AO""))"),67916.09764700482)</f>
        <v>67916.09765</v>
      </c>
      <c r="F12" s="25">
        <f>IFERROR(__xludf.DUMMYFUNCTION("SUMPRODUCT((IMPORTRANGE(""17XjIPGwafStTRf_8bPPaoi2EFjHVy10_rRJ0uvy6YcU"",""M:M"")=B12)*1, IMPORTRANGE(""17XjIPGwafStTRf_8bPPaoi2EFjHVy10_rRJ0uvy6YcU"",""X:X""))"),54.0)</f>
        <v>54</v>
      </c>
      <c r="G12" s="26">
        <f>IFERROR(__xludf.DUMMYFUNCTION("COUNTIF(IMPORTRANGE(""17XjIPGwafStTRf_8bPPaoi2EFjHVy10_rRJ0uvy6YcU"",""M:M""), B12)"),17.0)</f>
        <v>17</v>
      </c>
      <c r="H12" s="27">
        <f t="shared" si="1"/>
        <v>3.176470588</v>
      </c>
      <c r="I12" s="28">
        <f t="shared" si="2"/>
        <v>0.2720997502</v>
      </c>
      <c r="J12" s="29">
        <f t="shared" si="3"/>
        <v>0.4174868739</v>
      </c>
      <c r="K12" s="32"/>
      <c r="L12" s="31" t="str">
        <f t="shared" si="4"/>
        <v/>
      </c>
      <c r="M12" s="31" t="str">
        <f t="shared" si="5"/>
        <v/>
      </c>
      <c r="N12" s="4"/>
    </row>
    <row r="13">
      <c r="A13" s="1"/>
      <c r="B13" s="23">
        <f t="shared" si="6"/>
        <v>44628</v>
      </c>
      <c r="C13" s="24">
        <f>IFERROR(__xludf.DUMMYFUNCTION("SUMPRODUCT((IMPORTRANGE(""17XjIPGwafStTRf_8bPPaoi2EFjHVy10_rRJ0uvy6YcU"",""M:M"")=B13)*1, IMPORTRANGE(""17XjIPGwafStTRf_8bPPaoi2EFjHVy10_rRJ0uvy6YcU"",""X:X""), IMPORTRANGE(""17XjIPGwafStTRf_8bPPaoi2EFjHVy10_rRJ0uvy6YcU"",""AK:AK"")) - SUMPRODUCT((IMPORTR"&amp;"ANGE(""17XjIPGwafStTRf_8bPPaoi2EFjHVy10_rRJ0uvy6YcU"",""M:M"")=B13)*1, IMPORTRANGE(""17XjIPGwafStTRf_8bPPaoi2EFjHVy10_rRJ0uvy6YcU"",""X:X""), IMPORTRANGE(""17XjIPGwafStTRf_8bPPaoi2EFjHVy10_rRJ0uvy6YcU"",""AL:AL""))"),2261813.0)</f>
        <v>2261813</v>
      </c>
      <c r="D13" s="24">
        <f>IFERROR(__xludf.DUMMYFUNCTION("SUMPRODUCT((IMPORTRANGE(""17XjIPGwafStTRf_8bPPaoi2EFjHVy10_rRJ0uvy6YcU"",""M:M"")=B13)*1, IMPORTRANGE(""17XjIPGwafStTRf_8bPPaoi2EFjHVy10_rRJ0uvy6YcU"",""X:X""), IMPORTRANGE(""17XjIPGwafStTRf_8bPPaoi2EFjHVy10_rRJ0uvy6YcU"",""AA:AA"")) + SUMPRODUCT((IMPORTR"&amp;"ANGE(""17XjIPGwafStTRf_8bPPaoi2EFjHVy10_rRJ0uvy6YcU"",""M:M"")=B13)*1, IMPORTRANGE(""17XjIPGwafStTRf_8bPPaoi2EFjHVy10_rRJ0uvy6YcU"",""X:X""), IMPORTRANGE(""17XjIPGwafStTRf_8bPPaoi2EFjHVy10_rRJ0uvy6YcU"",""AE:AE"")) + SUMPRODUCT((IMPORTRANGE(""17XjIPGwafSt"&amp;"TRf_8bPPaoi2EFjHVy10_rRJ0uvy6YcU"",""M:M"")=B13)*1, IMPORTRANGE(""17XjIPGwafStTRf_8bPPaoi2EFjHVy10_rRJ0uvy6YcU"",""X:X""), IMPORTRANGE(""17XjIPGwafStTRf_8bPPaoi2EFjHVy10_rRJ0uvy6YcU"",""AF:AF""))"),1394720.7763229)</f>
        <v>1394720.776</v>
      </c>
      <c r="E13" s="24">
        <f>IFERROR(__xludf.DUMMYFUNCTION("SUMPRODUCT((IMPORTRANGE(""17XjIPGwafStTRf_8bPPaoi2EFjHVy10_rRJ0uvy6YcU"",""M:M"")=B13)*1, IMPORTRANGE(""17XjIPGwafStTRf_8bPPaoi2EFjHVy10_rRJ0uvy6YcU"",""X:X""), IMPORTRANGE(""17XjIPGwafStTRf_8bPPaoi2EFjHVy10_rRJ0uvy6YcU"",""AO:AO""))"),514129.92434615694)</f>
        <v>514129.9243</v>
      </c>
      <c r="F13" s="25">
        <f>IFERROR(__xludf.DUMMYFUNCTION("SUMPRODUCT((IMPORTRANGE(""17XjIPGwafStTRf_8bPPaoi2EFjHVy10_rRJ0uvy6YcU"",""M:M"")=B13)*1, IMPORTRANGE(""17XjIPGwafStTRf_8bPPaoi2EFjHVy10_rRJ0uvy6YcU"",""X:X""))"),364.0)</f>
        <v>364</v>
      </c>
      <c r="G13" s="26">
        <f>IFERROR(__xludf.DUMMYFUNCTION("COUNTIF(IMPORTRANGE(""17XjIPGwafStTRf_8bPPaoi2EFjHVy10_rRJ0uvy6YcU"",""M:M""), B13)"),57.0)</f>
        <v>57</v>
      </c>
      <c r="H13" s="27">
        <f t="shared" si="1"/>
        <v>6.385964912</v>
      </c>
      <c r="I13" s="28">
        <f t="shared" si="2"/>
        <v>0.2273087671</v>
      </c>
      <c r="J13" s="29">
        <f t="shared" si="3"/>
        <v>0.3686257013</v>
      </c>
      <c r="K13" s="32"/>
      <c r="L13" s="31" t="str">
        <f t="shared" si="4"/>
        <v/>
      </c>
      <c r="M13" s="31" t="str">
        <f t="shared" si="5"/>
        <v/>
      </c>
      <c r="N13" s="4"/>
    </row>
    <row r="14">
      <c r="A14" s="1"/>
      <c r="B14" s="23">
        <f t="shared" si="6"/>
        <v>44629</v>
      </c>
      <c r="C14" s="24">
        <f>IFERROR(__xludf.DUMMYFUNCTION("SUMPRODUCT((IMPORTRANGE(""17XjIPGwafStTRf_8bPPaoi2EFjHVy10_rRJ0uvy6YcU"",""M:M"")=B14)*1, IMPORTRANGE(""17XjIPGwafStTRf_8bPPaoi2EFjHVy10_rRJ0uvy6YcU"",""X:X""), IMPORTRANGE(""17XjIPGwafStTRf_8bPPaoi2EFjHVy10_rRJ0uvy6YcU"",""AK:AK"")) - SUMPRODUCT((IMPORTR"&amp;"ANGE(""17XjIPGwafStTRf_8bPPaoi2EFjHVy10_rRJ0uvy6YcU"",""M:M"")=B14)*1, IMPORTRANGE(""17XjIPGwafStTRf_8bPPaoi2EFjHVy10_rRJ0uvy6YcU"",""X:X""), IMPORTRANGE(""17XjIPGwafStTRf_8bPPaoi2EFjHVy10_rRJ0uvy6YcU"",""AL:AL""))"),210501.0)</f>
        <v>210501</v>
      </c>
      <c r="D14" s="24">
        <f>IFERROR(__xludf.DUMMYFUNCTION("SUMPRODUCT((IMPORTRANGE(""17XjIPGwafStTRf_8bPPaoi2EFjHVy10_rRJ0uvy6YcU"",""M:M"")=B14)*1, IMPORTRANGE(""17XjIPGwafStTRf_8bPPaoi2EFjHVy10_rRJ0uvy6YcU"",""X:X""), IMPORTRANGE(""17XjIPGwafStTRf_8bPPaoi2EFjHVy10_rRJ0uvy6YcU"",""AA:AA"")) + SUMPRODUCT((IMPORTR"&amp;"ANGE(""17XjIPGwafStTRf_8bPPaoi2EFjHVy10_rRJ0uvy6YcU"",""M:M"")=B14)*1, IMPORTRANGE(""17XjIPGwafStTRf_8bPPaoi2EFjHVy10_rRJ0uvy6YcU"",""X:X""), IMPORTRANGE(""17XjIPGwafStTRf_8bPPaoi2EFjHVy10_rRJ0uvy6YcU"",""AE:AE"")) + SUMPRODUCT((IMPORTRANGE(""17XjIPGwafSt"&amp;"TRf_8bPPaoi2EFjHVy10_rRJ0uvy6YcU"",""M:M"")=B14)*1, IMPORTRANGE(""17XjIPGwafStTRf_8bPPaoi2EFjHVy10_rRJ0uvy6YcU"",""X:X""), IMPORTRANGE(""17XjIPGwafStTRf_8bPPaoi2EFjHVy10_rRJ0uvy6YcU"",""AF:AF""))"),120670.77583369517)</f>
        <v>120670.7758</v>
      </c>
      <c r="E14" s="24">
        <f>IFERROR(__xludf.DUMMYFUNCTION("SUMPRODUCT((IMPORTRANGE(""17XjIPGwafStTRf_8bPPaoi2EFjHVy10_rRJ0uvy6YcU"",""M:M"")=B14)*1, IMPORTRANGE(""17XjIPGwafStTRf_8bPPaoi2EFjHVy10_rRJ0uvy6YcU"",""X:X""), IMPORTRANGE(""17XjIPGwafStTRf_8bPPaoi2EFjHVy10_rRJ0uvy6YcU"",""AO:AO""))"),48757.724166304826)</f>
        <v>48757.72417</v>
      </c>
      <c r="F14" s="25">
        <f>IFERROR(__xludf.DUMMYFUNCTION("SUMPRODUCT((IMPORTRANGE(""17XjIPGwafStTRf_8bPPaoi2EFjHVy10_rRJ0uvy6YcU"",""M:M"")=B14)*1, IMPORTRANGE(""17XjIPGwafStTRf_8bPPaoi2EFjHVy10_rRJ0uvy6YcU"",""X:X""))"),43.0)</f>
        <v>43</v>
      </c>
      <c r="G14" s="26">
        <f>IFERROR(__xludf.DUMMYFUNCTION("COUNTIF(IMPORTRANGE(""17XjIPGwafStTRf_8bPPaoi2EFjHVy10_rRJ0uvy6YcU"",""M:M""), B14)"),16.0)</f>
        <v>16</v>
      </c>
      <c r="H14" s="27">
        <f t="shared" si="1"/>
        <v>2.6875</v>
      </c>
      <c r="I14" s="28">
        <f t="shared" si="2"/>
        <v>0.2316270429</v>
      </c>
      <c r="J14" s="29">
        <f t="shared" si="3"/>
        <v>0.4040557776</v>
      </c>
      <c r="K14" s="32"/>
      <c r="L14" s="31" t="str">
        <f t="shared" si="4"/>
        <v/>
      </c>
      <c r="M14" s="31" t="str">
        <f t="shared" si="5"/>
        <v/>
      </c>
      <c r="N14" s="4"/>
    </row>
    <row r="15">
      <c r="A15" s="1"/>
      <c r="B15" s="23">
        <f t="shared" si="6"/>
        <v>44630</v>
      </c>
      <c r="C15" s="24">
        <f>IFERROR(__xludf.DUMMYFUNCTION("SUMPRODUCT((IMPORTRANGE(""17XjIPGwafStTRf_8bPPaoi2EFjHVy10_rRJ0uvy6YcU"",""M:M"")=B15)*1, IMPORTRANGE(""17XjIPGwafStTRf_8bPPaoi2EFjHVy10_rRJ0uvy6YcU"",""X:X""), IMPORTRANGE(""17XjIPGwafStTRf_8bPPaoi2EFjHVy10_rRJ0uvy6YcU"",""AK:AK"")) - SUMPRODUCT((IMPORTR"&amp;"ANGE(""17XjIPGwafStTRf_8bPPaoi2EFjHVy10_rRJ0uvy6YcU"",""M:M"")=B15)*1, IMPORTRANGE(""17XjIPGwafStTRf_8bPPaoi2EFjHVy10_rRJ0uvy6YcU"",""X:X""), IMPORTRANGE(""17XjIPGwafStTRf_8bPPaoi2EFjHVy10_rRJ0uvy6YcU"",""AL:AL""))"),481614.0)</f>
        <v>481614</v>
      </c>
      <c r="D15" s="24">
        <f>IFERROR(__xludf.DUMMYFUNCTION("SUMPRODUCT((IMPORTRANGE(""17XjIPGwafStTRf_8bPPaoi2EFjHVy10_rRJ0uvy6YcU"",""M:M"")=B15)*1, IMPORTRANGE(""17XjIPGwafStTRf_8bPPaoi2EFjHVy10_rRJ0uvy6YcU"",""X:X""), IMPORTRANGE(""17XjIPGwafStTRf_8bPPaoi2EFjHVy10_rRJ0uvy6YcU"",""AA:AA"")) + SUMPRODUCT((IMPORTR"&amp;"ANGE(""17XjIPGwafStTRf_8bPPaoi2EFjHVy10_rRJ0uvy6YcU"",""M:M"")=B15)*1, IMPORTRANGE(""17XjIPGwafStTRf_8bPPaoi2EFjHVy10_rRJ0uvy6YcU"",""X:X""), IMPORTRANGE(""17XjIPGwafStTRf_8bPPaoi2EFjHVy10_rRJ0uvy6YcU"",""AE:AE"")) + SUMPRODUCT((IMPORTRANGE(""17XjIPGwafSt"&amp;"TRf_8bPPaoi2EFjHVy10_rRJ0uvy6YcU"",""M:M"")=B15)*1, IMPORTRANGE(""17XjIPGwafStTRf_8bPPaoi2EFjHVy10_rRJ0uvy6YcU"",""X:X""), IMPORTRANGE(""17XjIPGwafStTRf_8bPPaoi2EFjHVy10_rRJ0uvy6YcU"",""AF:AF""))"),291415.6415141707)</f>
        <v>291415.6415</v>
      </c>
      <c r="E15" s="24">
        <f>IFERROR(__xludf.DUMMYFUNCTION("SUMPRODUCT((IMPORTRANGE(""17XjIPGwafStTRf_8bPPaoi2EFjHVy10_rRJ0uvy6YcU"",""M:M"")=B15)*1, IMPORTRANGE(""17XjIPGwafStTRf_8bPPaoi2EFjHVy10_rRJ0uvy6YcU"",""X:X""), IMPORTRANGE(""17XjIPGwafStTRf_8bPPaoi2EFjHVy10_rRJ0uvy6YcU"",""AO:AO""))"),82190.25848582946)</f>
        <v>82190.25849</v>
      </c>
      <c r="F15" s="25">
        <f>IFERROR(__xludf.DUMMYFUNCTION("SUMPRODUCT((IMPORTRANGE(""17XjIPGwafStTRf_8bPPaoi2EFjHVy10_rRJ0uvy6YcU"",""M:M"")=B15)*1, IMPORTRANGE(""17XjIPGwafStTRf_8bPPaoi2EFjHVy10_rRJ0uvy6YcU"",""X:X""))"),161.0)</f>
        <v>161</v>
      </c>
      <c r="G15" s="26">
        <f>IFERROR(__xludf.DUMMYFUNCTION("COUNTIF(IMPORTRANGE(""17XjIPGwafStTRf_8bPPaoi2EFjHVy10_rRJ0uvy6YcU"",""M:M""), B15)"),27.0)</f>
        <v>27</v>
      </c>
      <c r="H15" s="27">
        <f t="shared" si="1"/>
        <v>5.962962963</v>
      </c>
      <c r="I15" s="28">
        <f t="shared" si="2"/>
        <v>0.1706558748</v>
      </c>
      <c r="J15" s="29">
        <f t="shared" si="3"/>
        <v>0.28203791</v>
      </c>
      <c r="K15" s="30"/>
      <c r="L15" s="31" t="str">
        <f t="shared" si="4"/>
        <v/>
      </c>
      <c r="M15" s="31" t="str">
        <f t="shared" si="5"/>
        <v/>
      </c>
      <c r="N15" s="4"/>
    </row>
    <row r="16">
      <c r="A16" s="1"/>
      <c r="B16" s="23">
        <f t="shared" si="6"/>
        <v>44631</v>
      </c>
      <c r="C16" s="24">
        <f>IFERROR(__xludf.DUMMYFUNCTION("SUMPRODUCT((IMPORTRANGE(""17XjIPGwafStTRf_8bPPaoi2EFjHVy10_rRJ0uvy6YcU"",""M:M"")=B16)*1, IMPORTRANGE(""17XjIPGwafStTRf_8bPPaoi2EFjHVy10_rRJ0uvy6YcU"",""X:X""), IMPORTRANGE(""17XjIPGwafStTRf_8bPPaoi2EFjHVy10_rRJ0uvy6YcU"",""AK:AK"")) - SUMPRODUCT((IMPORTR"&amp;"ANGE(""17XjIPGwafStTRf_8bPPaoi2EFjHVy10_rRJ0uvy6YcU"",""M:M"")=B16)*1, IMPORTRANGE(""17XjIPGwafStTRf_8bPPaoi2EFjHVy10_rRJ0uvy6YcU"",""X:X""), IMPORTRANGE(""17XjIPGwafStTRf_8bPPaoi2EFjHVy10_rRJ0uvy6YcU"",""AL:AL""))"),322864.0)</f>
        <v>322864</v>
      </c>
      <c r="D16" s="24">
        <f>IFERROR(__xludf.DUMMYFUNCTION("SUMPRODUCT((IMPORTRANGE(""17XjIPGwafStTRf_8bPPaoi2EFjHVy10_rRJ0uvy6YcU"",""M:M"")=B16)*1, IMPORTRANGE(""17XjIPGwafStTRf_8bPPaoi2EFjHVy10_rRJ0uvy6YcU"",""X:X""), IMPORTRANGE(""17XjIPGwafStTRf_8bPPaoi2EFjHVy10_rRJ0uvy6YcU"",""AA:AA"")) + SUMPRODUCT((IMPORTR"&amp;"ANGE(""17XjIPGwafStTRf_8bPPaoi2EFjHVy10_rRJ0uvy6YcU"",""M:M"")=B16)*1, IMPORTRANGE(""17XjIPGwafStTRf_8bPPaoi2EFjHVy10_rRJ0uvy6YcU"",""X:X""), IMPORTRANGE(""17XjIPGwafStTRf_8bPPaoi2EFjHVy10_rRJ0uvy6YcU"",""AE:AE"")) + SUMPRODUCT((IMPORTRANGE(""17XjIPGwafSt"&amp;"TRf_8bPPaoi2EFjHVy10_rRJ0uvy6YcU"",""M:M"")=B16)*1, IMPORTRANGE(""17XjIPGwafStTRf_8bPPaoi2EFjHVy10_rRJ0uvy6YcU"",""X:X""), IMPORTRANGE(""17XjIPGwafStTRf_8bPPaoi2EFjHVy10_rRJ0uvy6YcU"",""AF:AF""))"),203989.23047202686)</f>
        <v>203989.2305</v>
      </c>
      <c r="E16" s="24">
        <f>IFERROR(__xludf.DUMMYFUNCTION("SUMPRODUCT((IMPORTRANGE(""17XjIPGwafStTRf_8bPPaoi2EFjHVy10_rRJ0uvy6YcU"",""M:M"")=B16)*1, IMPORTRANGE(""17XjIPGwafStTRf_8bPPaoi2EFjHVy10_rRJ0uvy6YcU"",""X:X""), IMPORTRANGE(""17XjIPGwafStTRf_8bPPaoi2EFjHVy10_rRJ0uvy6YcU"",""AO:AO""))"),59357.16952797318)</f>
        <v>59357.16953</v>
      </c>
      <c r="F16" s="25">
        <f>IFERROR(__xludf.DUMMYFUNCTION("SUMPRODUCT((IMPORTRANGE(""17XjIPGwafStTRf_8bPPaoi2EFjHVy10_rRJ0uvy6YcU"",""M:M"")=B16)*1, IMPORTRANGE(""17XjIPGwafStTRf_8bPPaoi2EFjHVy10_rRJ0uvy6YcU"",""X:X""))"),64.0)</f>
        <v>64</v>
      </c>
      <c r="G16" s="26">
        <f>IFERROR(__xludf.DUMMYFUNCTION("COUNTIF(IMPORTRANGE(""17XjIPGwafStTRf_8bPPaoi2EFjHVy10_rRJ0uvy6YcU"",""M:M""), B16)"),20.0)</f>
        <v>20</v>
      </c>
      <c r="H16" s="27">
        <f t="shared" si="1"/>
        <v>3.2</v>
      </c>
      <c r="I16" s="28">
        <f t="shared" si="2"/>
        <v>0.1838457354</v>
      </c>
      <c r="J16" s="29">
        <f t="shared" si="3"/>
        <v>0.2909818788</v>
      </c>
      <c r="K16" s="32"/>
      <c r="L16" s="31" t="str">
        <f t="shared" si="4"/>
        <v/>
      </c>
      <c r="M16" s="31" t="str">
        <f t="shared" si="5"/>
        <v/>
      </c>
      <c r="N16" s="4"/>
    </row>
    <row r="17">
      <c r="A17" s="1"/>
      <c r="B17" s="23">
        <f t="shared" si="6"/>
        <v>44632</v>
      </c>
      <c r="C17" s="24">
        <f>IFERROR(__xludf.DUMMYFUNCTION("SUMPRODUCT((IMPORTRANGE(""17XjIPGwafStTRf_8bPPaoi2EFjHVy10_rRJ0uvy6YcU"",""M:M"")=B17)*1, IMPORTRANGE(""17XjIPGwafStTRf_8bPPaoi2EFjHVy10_rRJ0uvy6YcU"",""X:X""), IMPORTRANGE(""17XjIPGwafStTRf_8bPPaoi2EFjHVy10_rRJ0uvy6YcU"",""AK:AK"")) - SUMPRODUCT((IMPORTR"&amp;"ANGE(""17XjIPGwafStTRf_8bPPaoi2EFjHVy10_rRJ0uvy6YcU"",""M:M"")=B17)*1, IMPORTRANGE(""17XjIPGwafStTRf_8bPPaoi2EFjHVy10_rRJ0uvy6YcU"",""X:X""), IMPORTRANGE(""17XjIPGwafStTRf_8bPPaoi2EFjHVy10_rRJ0uvy6YcU"",""AL:AL""))"),191873.0)</f>
        <v>191873</v>
      </c>
      <c r="D17" s="24">
        <f>IFERROR(__xludf.DUMMYFUNCTION("SUMPRODUCT((IMPORTRANGE(""17XjIPGwafStTRf_8bPPaoi2EFjHVy10_rRJ0uvy6YcU"",""M:M"")=B17)*1, IMPORTRANGE(""17XjIPGwafStTRf_8bPPaoi2EFjHVy10_rRJ0uvy6YcU"",""X:X""), IMPORTRANGE(""17XjIPGwafStTRf_8bPPaoi2EFjHVy10_rRJ0uvy6YcU"",""AA:AA"")) + SUMPRODUCT((IMPORTR"&amp;"ANGE(""17XjIPGwafStTRf_8bPPaoi2EFjHVy10_rRJ0uvy6YcU"",""M:M"")=B17)*1, IMPORTRANGE(""17XjIPGwafStTRf_8bPPaoi2EFjHVy10_rRJ0uvy6YcU"",""X:X""), IMPORTRANGE(""17XjIPGwafStTRf_8bPPaoi2EFjHVy10_rRJ0uvy6YcU"",""AE:AE"")) + SUMPRODUCT((IMPORTRANGE(""17XjIPGwafSt"&amp;"TRf_8bPPaoi2EFjHVy10_rRJ0uvy6YcU"",""M:M"")=B17)*1, IMPORTRANGE(""17XjIPGwafStTRf_8bPPaoi2EFjHVy10_rRJ0uvy6YcU"",""X:X""), IMPORTRANGE(""17XjIPGwafStTRf_8bPPaoi2EFjHVy10_rRJ0uvy6YcU"",""AF:AF""))"),136076.40677277307)</f>
        <v>136076.4068</v>
      </c>
      <c r="E17" s="24">
        <f>IFERROR(__xludf.DUMMYFUNCTION("SUMPRODUCT((IMPORTRANGE(""17XjIPGwafStTRf_8bPPaoi2EFjHVy10_rRJ0uvy6YcU"",""M:M"")=B17)*1, IMPORTRANGE(""17XjIPGwafStTRf_8bPPaoi2EFjHVy10_rRJ0uvy6YcU"",""X:X""), IMPORTRANGE(""17XjIPGwafStTRf_8bPPaoi2EFjHVy10_rRJ0uvy6YcU"",""AO:AO""))"),17967.1862430739)</f>
        <v>17967.18624</v>
      </c>
      <c r="F17" s="25">
        <f>IFERROR(__xludf.DUMMYFUNCTION("SUMPRODUCT((IMPORTRANGE(""17XjIPGwafStTRf_8bPPaoi2EFjHVy10_rRJ0uvy6YcU"",""M:M"")=B17)*1, IMPORTRANGE(""17XjIPGwafStTRf_8bPPaoi2EFjHVy10_rRJ0uvy6YcU"",""X:X""))"),35.0)</f>
        <v>35</v>
      </c>
      <c r="G17" s="26">
        <f>IFERROR(__xludf.DUMMYFUNCTION("COUNTIF(IMPORTRANGE(""17XjIPGwafStTRf_8bPPaoi2EFjHVy10_rRJ0uvy6YcU"",""M:M""), B17)"),15.0)</f>
        <v>15</v>
      </c>
      <c r="H17" s="27">
        <f t="shared" si="1"/>
        <v>2.333333333</v>
      </c>
      <c r="I17" s="28">
        <f t="shared" si="2"/>
        <v>0.09364103466</v>
      </c>
      <c r="J17" s="29">
        <f t="shared" si="3"/>
        <v>0.132037483</v>
      </c>
      <c r="K17" s="32"/>
      <c r="L17" s="31" t="str">
        <f t="shared" si="4"/>
        <v/>
      </c>
      <c r="M17" s="31" t="str">
        <f t="shared" si="5"/>
        <v/>
      </c>
      <c r="N17" s="4"/>
    </row>
    <row r="18">
      <c r="A18" s="1"/>
      <c r="B18" s="23">
        <f t="shared" si="6"/>
        <v>44633</v>
      </c>
      <c r="C18" s="24">
        <f>IFERROR(__xludf.DUMMYFUNCTION("SUMPRODUCT((IMPORTRANGE(""17XjIPGwafStTRf_8bPPaoi2EFjHVy10_rRJ0uvy6YcU"",""M:M"")=B18)*1, IMPORTRANGE(""17XjIPGwafStTRf_8bPPaoi2EFjHVy10_rRJ0uvy6YcU"",""X:X""), IMPORTRANGE(""17XjIPGwafStTRf_8bPPaoi2EFjHVy10_rRJ0uvy6YcU"",""AK:AK"")) - SUMPRODUCT((IMPORTR"&amp;"ANGE(""17XjIPGwafStTRf_8bPPaoi2EFjHVy10_rRJ0uvy6YcU"",""M:M"")=B18)*1, IMPORTRANGE(""17XjIPGwafStTRf_8bPPaoi2EFjHVy10_rRJ0uvy6YcU"",""X:X""), IMPORTRANGE(""17XjIPGwafStTRf_8bPPaoi2EFjHVy10_rRJ0uvy6YcU"",""AL:AL""))"),285469.0)</f>
        <v>285469</v>
      </c>
      <c r="D18" s="24">
        <f>IFERROR(__xludf.DUMMYFUNCTION("SUMPRODUCT((IMPORTRANGE(""17XjIPGwafStTRf_8bPPaoi2EFjHVy10_rRJ0uvy6YcU"",""M:M"")=B18)*1, IMPORTRANGE(""17XjIPGwafStTRf_8bPPaoi2EFjHVy10_rRJ0uvy6YcU"",""X:X""), IMPORTRANGE(""17XjIPGwafStTRf_8bPPaoi2EFjHVy10_rRJ0uvy6YcU"",""AA:AA"")) + SUMPRODUCT((IMPORTR"&amp;"ANGE(""17XjIPGwafStTRf_8bPPaoi2EFjHVy10_rRJ0uvy6YcU"",""M:M"")=B18)*1, IMPORTRANGE(""17XjIPGwafStTRf_8bPPaoi2EFjHVy10_rRJ0uvy6YcU"",""X:X""), IMPORTRANGE(""17XjIPGwafStTRf_8bPPaoi2EFjHVy10_rRJ0uvy6YcU"",""AE:AE"")) + SUMPRODUCT((IMPORTRANGE(""17XjIPGwafSt"&amp;"TRf_8bPPaoi2EFjHVy10_rRJ0uvy6YcU"",""M:M"")=B18)*1, IMPORTRANGE(""17XjIPGwafStTRf_8bPPaoi2EFjHVy10_rRJ0uvy6YcU"",""X:X""), IMPORTRANGE(""17XjIPGwafStTRf_8bPPaoi2EFjHVy10_rRJ0uvy6YcU"",""AF:AF""))"),174172.57295367136)</f>
        <v>174172.573</v>
      </c>
      <c r="E18" s="24">
        <f>IFERROR(__xludf.DUMMYFUNCTION("SUMPRODUCT((IMPORTRANGE(""17XjIPGwafStTRf_8bPPaoi2EFjHVy10_rRJ0uvy6YcU"",""M:M"")=B18)*1, IMPORTRANGE(""17XjIPGwafStTRf_8bPPaoi2EFjHVy10_rRJ0uvy6YcU"",""X:X""), IMPORTRANGE(""17XjIPGwafStTRf_8bPPaoi2EFjHVy10_rRJ0uvy6YcU"",""AO:AO""))"),65978.85359500117)</f>
        <v>65978.8536</v>
      </c>
      <c r="F18" s="25">
        <f>IFERROR(__xludf.DUMMYFUNCTION("SUMPRODUCT((IMPORTRANGE(""17XjIPGwafStTRf_8bPPaoi2EFjHVy10_rRJ0uvy6YcU"",""M:M"")=B18)*1, IMPORTRANGE(""17XjIPGwafStTRf_8bPPaoi2EFjHVy10_rRJ0uvy6YcU"",""X:X""))"),41.0)</f>
        <v>41</v>
      </c>
      <c r="G18" s="26">
        <f>IFERROR(__xludf.DUMMYFUNCTION("COUNTIF(IMPORTRANGE(""17XjIPGwafStTRf_8bPPaoi2EFjHVy10_rRJ0uvy6YcU"",""M:M""), B18)"),22.0)</f>
        <v>22</v>
      </c>
      <c r="H18" s="27">
        <f t="shared" si="1"/>
        <v>1.863636364</v>
      </c>
      <c r="I18" s="28">
        <f t="shared" si="2"/>
        <v>0.2311244079</v>
      </c>
      <c r="J18" s="29">
        <f t="shared" si="3"/>
        <v>0.3788131075</v>
      </c>
      <c r="K18" s="32"/>
      <c r="L18" s="31" t="str">
        <f t="shared" si="4"/>
        <v/>
      </c>
      <c r="M18" s="31" t="str">
        <f t="shared" si="5"/>
        <v/>
      </c>
      <c r="N18" s="4"/>
    </row>
    <row r="19">
      <c r="A19" s="1"/>
      <c r="B19" s="23">
        <f t="shared" si="6"/>
        <v>44634</v>
      </c>
      <c r="C19" s="24">
        <f>IFERROR(__xludf.DUMMYFUNCTION("SUMPRODUCT((IMPORTRANGE(""17XjIPGwafStTRf_8bPPaoi2EFjHVy10_rRJ0uvy6YcU"",""M:M"")=B19)*1, IMPORTRANGE(""17XjIPGwafStTRf_8bPPaoi2EFjHVy10_rRJ0uvy6YcU"",""X:X""), IMPORTRANGE(""17XjIPGwafStTRf_8bPPaoi2EFjHVy10_rRJ0uvy6YcU"",""AK:AK"")) - SUMPRODUCT((IMPORTR"&amp;"ANGE(""17XjIPGwafStTRf_8bPPaoi2EFjHVy10_rRJ0uvy6YcU"",""M:M"")=B19)*1, IMPORTRANGE(""17XjIPGwafStTRf_8bPPaoi2EFjHVy10_rRJ0uvy6YcU"",""X:X""), IMPORTRANGE(""17XjIPGwafStTRf_8bPPaoi2EFjHVy10_rRJ0uvy6YcU"",""AL:AL""))"),338376.0)</f>
        <v>338376</v>
      </c>
      <c r="D19" s="24">
        <f>IFERROR(__xludf.DUMMYFUNCTION("SUMPRODUCT((IMPORTRANGE(""17XjIPGwafStTRf_8bPPaoi2EFjHVy10_rRJ0uvy6YcU"",""M:M"")=B19)*1, IMPORTRANGE(""17XjIPGwafStTRf_8bPPaoi2EFjHVy10_rRJ0uvy6YcU"",""X:X""), IMPORTRANGE(""17XjIPGwafStTRf_8bPPaoi2EFjHVy10_rRJ0uvy6YcU"",""AA:AA"")) + SUMPRODUCT((IMPORTR"&amp;"ANGE(""17XjIPGwafStTRf_8bPPaoi2EFjHVy10_rRJ0uvy6YcU"",""M:M"")=B19)*1, IMPORTRANGE(""17XjIPGwafStTRf_8bPPaoi2EFjHVy10_rRJ0uvy6YcU"",""X:X""), IMPORTRANGE(""17XjIPGwafStTRf_8bPPaoi2EFjHVy10_rRJ0uvy6YcU"",""AE:AE"")) + SUMPRODUCT((IMPORTRANGE(""17XjIPGwafSt"&amp;"TRf_8bPPaoi2EFjHVy10_rRJ0uvy6YcU"",""M:M"")=B19)*1, IMPORTRANGE(""17XjIPGwafStTRf_8bPPaoi2EFjHVy10_rRJ0uvy6YcU"",""X:X""), IMPORTRANGE(""17XjIPGwafStTRf_8bPPaoi2EFjHVy10_rRJ0uvy6YcU"",""AF:AF""))"),231886.7698166669)</f>
        <v>231886.7698</v>
      </c>
      <c r="E19" s="24">
        <f>IFERROR(__xludf.DUMMYFUNCTION("SUMPRODUCT((IMPORTRANGE(""17XjIPGwafStTRf_8bPPaoi2EFjHVy10_rRJ0uvy6YcU"",""M:M"")=B19)*1, IMPORTRANGE(""17XjIPGwafStTRf_8bPPaoi2EFjHVy10_rRJ0uvy6YcU"",""X:X""), IMPORTRANGE(""17XjIPGwafStTRf_8bPPaoi2EFjHVy10_rRJ0uvy6YcU"",""AO:AO""))"),42195.364728787696)</f>
        <v>42195.36473</v>
      </c>
      <c r="F19" s="25">
        <f>IFERROR(__xludf.DUMMYFUNCTION("SUMPRODUCT((IMPORTRANGE(""17XjIPGwafStTRf_8bPPaoi2EFjHVy10_rRJ0uvy6YcU"",""M:M"")=B19)*1, IMPORTRANGE(""17XjIPGwafStTRf_8bPPaoi2EFjHVy10_rRJ0uvy6YcU"",""X:X""))"),63.0)</f>
        <v>63</v>
      </c>
      <c r="G19" s="26">
        <f>IFERROR(__xludf.DUMMYFUNCTION("COUNTIF(IMPORTRANGE(""17XjIPGwafStTRf_8bPPaoi2EFjHVy10_rRJ0uvy6YcU"",""M:M""), B19)"),23.0)</f>
        <v>23</v>
      </c>
      <c r="H19" s="27">
        <f t="shared" si="1"/>
        <v>2.739130435</v>
      </c>
      <c r="I19" s="28">
        <f t="shared" si="2"/>
        <v>0.1246996381</v>
      </c>
      <c r="J19" s="29">
        <f t="shared" si="3"/>
        <v>0.1819653823</v>
      </c>
      <c r="K19" s="32"/>
      <c r="L19" s="31" t="str">
        <f t="shared" si="4"/>
        <v/>
      </c>
      <c r="M19" s="31" t="str">
        <f t="shared" si="5"/>
        <v/>
      </c>
      <c r="N19" s="4"/>
    </row>
    <row r="20">
      <c r="A20" s="1"/>
      <c r="B20" s="23">
        <f t="shared" si="6"/>
        <v>44635</v>
      </c>
      <c r="C20" s="24">
        <f>IFERROR(__xludf.DUMMYFUNCTION("SUMPRODUCT((IMPORTRANGE(""17XjIPGwafStTRf_8bPPaoi2EFjHVy10_rRJ0uvy6YcU"",""M:M"")=B20)*1, IMPORTRANGE(""17XjIPGwafStTRf_8bPPaoi2EFjHVy10_rRJ0uvy6YcU"",""X:X""), IMPORTRANGE(""17XjIPGwafStTRf_8bPPaoi2EFjHVy10_rRJ0uvy6YcU"",""AK:AK"")) - SUMPRODUCT((IMPORTR"&amp;"ANGE(""17XjIPGwafStTRf_8bPPaoi2EFjHVy10_rRJ0uvy6YcU"",""M:M"")=B20)*1, IMPORTRANGE(""17XjIPGwafStTRf_8bPPaoi2EFjHVy10_rRJ0uvy6YcU"",""X:X""), IMPORTRANGE(""17XjIPGwafStTRf_8bPPaoi2EFjHVy10_rRJ0uvy6YcU"",""AL:AL""))"),530405.0)</f>
        <v>530405</v>
      </c>
      <c r="D20" s="24">
        <f>IFERROR(__xludf.DUMMYFUNCTION("SUMPRODUCT((IMPORTRANGE(""17XjIPGwafStTRf_8bPPaoi2EFjHVy10_rRJ0uvy6YcU"",""M:M"")=B20)*1, IMPORTRANGE(""17XjIPGwafStTRf_8bPPaoi2EFjHVy10_rRJ0uvy6YcU"",""X:X""), IMPORTRANGE(""17XjIPGwafStTRf_8bPPaoi2EFjHVy10_rRJ0uvy6YcU"",""AA:AA"")) + SUMPRODUCT((IMPORTR"&amp;"ANGE(""17XjIPGwafStTRf_8bPPaoi2EFjHVy10_rRJ0uvy6YcU"",""M:M"")=B20)*1, IMPORTRANGE(""17XjIPGwafStTRf_8bPPaoi2EFjHVy10_rRJ0uvy6YcU"",""X:X""), IMPORTRANGE(""17XjIPGwafStTRf_8bPPaoi2EFjHVy10_rRJ0uvy6YcU"",""AE:AE"")) + SUMPRODUCT((IMPORTRANGE(""17XjIPGwafSt"&amp;"TRf_8bPPaoi2EFjHVy10_rRJ0uvy6YcU"",""M:M"")=B20)*1, IMPORTRANGE(""17XjIPGwafStTRf_8bPPaoi2EFjHVy10_rRJ0uvy6YcU"",""X:X""), IMPORTRANGE(""17XjIPGwafStTRf_8bPPaoi2EFjHVy10_rRJ0uvy6YcU"",""AF:AF""))"),306795.6234076733)</f>
        <v>306795.6234</v>
      </c>
      <c r="E20" s="24">
        <f>IFERROR(__xludf.DUMMYFUNCTION("SUMPRODUCT((IMPORTRANGE(""17XjIPGwafStTRf_8bPPaoi2EFjHVy10_rRJ0uvy6YcU"",""M:M"")=B20)*1, IMPORTRANGE(""17XjIPGwafStTRf_8bPPaoi2EFjHVy10_rRJ0uvy6YcU"",""X:X""), IMPORTRANGE(""17XjIPGwafStTRf_8bPPaoi2EFjHVy10_rRJ0uvy6YcU"",""AO:AO""))"),119628.77659232667)</f>
        <v>119628.7766</v>
      </c>
      <c r="F20" s="25">
        <f>IFERROR(__xludf.DUMMYFUNCTION("SUMPRODUCT((IMPORTRANGE(""17XjIPGwafStTRf_8bPPaoi2EFjHVy10_rRJ0uvy6YcU"",""M:M"")=B20)*1, IMPORTRANGE(""17XjIPGwafStTRf_8bPPaoi2EFjHVy10_rRJ0uvy6YcU"",""X:X""))"),100.0)</f>
        <v>100</v>
      </c>
      <c r="G20" s="26">
        <f>IFERROR(__xludf.DUMMYFUNCTION("COUNTIF(IMPORTRANGE(""17XjIPGwafStTRf_8bPPaoi2EFjHVy10_rRJ0uvy6YcU"",""M:M""), B20)"),39.0)</f>
        <v>39</v>
      </c>
      <c r="H20" s="27">
        <f t="shared" si="1"/>
        <v>2.564102564</v>
      </c>
      <c r="I20" s="28">
        <f t="shared" si="2"/>
        <v>0.2255423244</v>
      </c>
      <c r="J20" s="29">
        <f t="shared" si="3"/>
        <v>0.3899298669</v>
      </c>
      <c r="K20" s="32"/>
      <c r="L20" s="31" t="str">
        <f t="shared" si="4"/>
        <v/>
      </c>
      <c r="M20" s="31" t="str">
        <f t="shared" si="5"/>
        <v/>
      </c>
      <c r="N20" s="4"/>
    </row>
    <row r="21">
      <c r="A21" s="1"/>
      <c r="B21" s="23">
        <f t="shared" si="6"/>
        <v>44636</v>
      </c>
      <c r="C21" s="24">
        <f>IFERROR(__xludf.DUMMYFUNCTION("SUMPRODUCT((IMPORTRANGE(""17XjIPGwafStTRf_8bPPaoi2EFjHVy10_rRJ0uvy6YcU"",""M:M"")=B21)*1, IMPORTRANGE(""17XjIPGwafStTRf_8bPPaoi2EFjHVy10_rRJ0uvy6YcU"",""X:X""), IMPORTRANGE(""17XjIPGwafStTRf_8bPPaoi2EFjHVy10_rRJ0uvy6YcU"",""AK:AK"")) - SUMPRODUCT((IMPORTR"&amp;"ANGE(""17XjIPGwafStTRf_8bPPaoi2EFjHVy10_rRJ0uvy6YcU"",""M:M"")=B21)*1, IMPORTRANGE(""17XjIPGwafStTRf_8bPPaoi2EFjHVy10_rRJ0uvy6YcU"",""X:X""), IMPORTRANGE(""17XjIPGwafStTRf_8bPPaoi2EFjHVy10_rRJ0uvy6YcU"",""AL:AL""))"),601192.0)</f>
        <v>601192</v>
      </c>
      <c r="D21" s="24">
        <f>IFERROR(__xludf.DUMMYFUNCTION("SUMPRODUCT((IMPORTRANGE(""17XjIPGwafStTRf_8bPPaoi2EFjHVy10_rRJ0uvy6YcU"",""M:M"")=B21)*1, IMPORTRANGE(""17XjIPGwafStTRf_8bPPaoi2EFjHVy10_rRJ0uvy6YcU"",""X:X""), IMPORTRANGE(""17XjIPGwafStTRf_8bPPaoi2EFjHVy10_rRJ0uvy6YcU"",""AA:AA"")) + SUMPRODUCT((IMPORTR"&amp;"ANGE(""17XjIPGwafStTRf_8bPPaoi2EFjHVy10_rRJ0uvy6YcU"",""M:M"")=B21)*1, IMPORTRANGE(""17XjIPGwafStTRf_8bPPaoi2EFjHVy10_rRJ0uvy6YcU"",""X:X""), IMPORTRANGE(""17XjIPGwafStTRf_8bPPaoi2EFjHVy10_rRJ0uvy6YcU"",""AE:AE"")) + SUMPRODUCT((IMPORTRANGE(""17XjIPGwafSt"&amp;"TRf_8bPPaoi2EFjHVy10_rRJ0uvy6YcU"",""M:M"")=B21)*1, IMPORTRANGE(""17XjIPGwafStTRf_8bPPaoi2EFjHVy10_rRJ0uvy6YcU"",""X:X""), IMPORTRANGE(""17XjIPGwafStTRf_8bPPaoi2EFjHVy10_rRJ0uvy6YcU"",""AF:AF""))"),345449.32026295795)</f>
        <v>345449.3203</v>
      </c>
      <c r="E21" s="24">
        <f>IFERROR(__xludf.DUMMYFUNCTION("SUMPRODUCT((IMPORTRANGE(""17XjIPGwafStTRf_8bPPaoi2EFjHVy10_rRJ0uvy6YcU"",""M:M"")=B21)*1, IMPORTRANGE(""17XjIPGwafStTRf_8bPPaoi2EFjHVy10_rRJ0uvy6YcU"",""X:X""), IMPORTRANGE(""17XjIPGwafStTRf_8bPPaoi2EFjHVy10_rRJ0uvy6YcU"",""AO:AO""))"),129885.88887588214)</f>
        <v>129885.8889</v>
      </c>
      <c r="F21" s="25">
        <f>IFERROR(__xludf.DUMMYFUNCTION("SUMPRODUCT((IMPORTRANGE(""17XjIPGwafStTRf_8bPPaoi2EFjHVy10_rRJ0uvy6YcU"",""M:M"")=B21)*1, IMPORTRANGE(""17XjIPGwafStTRf_8bPPaoi2EFjHVy10_rRJ0uvy6YcU"",""X:X""))"),107.0)</f>
        <v>107</v>
      </c>
      <c r="G21" s="26">
        <f>IFERROR(__xludf.DUMMYFUNCTION("COUNTIF(IMPORTRANGE(""17XjIPGwafStTRf_8bPPaoi2EFjHVy10_rRJ0uvy6YcU"",""M:M""), B21)"),41.0)</f>
        <v>41</v>
      </c>
      <c r="H21" s="27">
        <f t="shared" si="1"/>
        <v>2.609756098</v>
      </c>
      <c r="I21" s="28">
        <f t="shared" si="2"/>
        <v>0.2160472676</v>
      </c>
      <c r="J21" s="29">
        <f t="shared" si="3"/>
        <v>0.3759911549</v>
      </c>
      <c r="K21" s="32"/>
      <c r="L21" s="31" t="str">
        <f t="shared" si="4"/>
        <v/>
      </c>
      <c r="M21" s="31" t="str">
        <f t="shared" si="5"/>
        <v/>
      </c>
      <c r="N21" s="4"/>
    </row>
    <row r="22">
      <c r="A22" s="1"/>
      <c r="B22" s="23">
        <f t="shared" si="6"/>
        <v>44637</v>
      </c>
      <c r="C22" s="24">
        <f>IFERROR(__xludf.DUMMYFUNCTION("SUMPRODUCT((IMPORTRANGE(""17XjIPGwafStTRf_8bPPaoi2EFjHVy10_rRJ0uvy6YcU"",""M:M"")=B22)*1, IMPORTRANGE(""17XjIPGwafStTRf_8bPPaoi2EFjHVy10_rRJ0uvy6YcU"",""X:X""), IMPORTRANGE(""17XjIPGwafStTRf_8bPPaoi2EFjHVy10_rRJ0uvy6YcU"",""AK:AK"")) - SUMPRODUCT((IMPORTR"&amp;"ANGE(""17XjIPGwafStTRf_8bPPaoi2EFjHVy10_rRJ0uvy6YcU"",""M:M"")=B22)*1, IMPORTRANGE(""17XjIPGwafStTRf_8bPPaoi2EFjHVy10_rRJ0uvy6YcU"",""X:X""), IMPORTRANGE(""17XjIPGwafStTRf_8bPPaoi2EFjHVy10_rRJ0uvy6YcU"",""AL:AL""))"),368169.0)</f>
        <v>368169</v>
      </c>
      <c r="D22" s="24">
        <f>IFERROR(__xludf.DUMMYFUNCTION("SUMPRODUCT((IMPORTRANGE(""17XjIPGwafStTRf_8bPPaoi2EFjHVy10_rRJ0uvy6YcU"",""M:M"")=B22)*1, IMPORTRANGE(""17XjIPGwafStTRf_8bPPaoi2EFjHVy10_rRJ0uvy6YcU"",""X:X""), IMPORTRANGE(""17XjIPGwafStTRf_8bPPaoi2EFjHVy10_rRJ0uvy6YcU"",""AA:AA"")) + SUMPRODUCT((IMPORTR"&amp;"ANGE(""17XjIPGwafStTRf_8bPPaoi2EFjHVy10_rRJ0uvy6YcU"",""M:M"")=B22)*1, IMPORTRANGE(""17XjIPGwafStTRf_8bPPaoi2EFjHVy10_rRJ0uvy6YcU"",""X:X""), IMPORTRANGE(""17XjIPGwafStTRf_8bPPaoi2EFjHVy10_rRJ0uvy6YcU"",""AE:AE"")) + SUMPRODUCT((IMPORTRANGE(""17XjIPGwafSt"&amp;"TRf_8bPPaoi2EFjHVy10_rRJ0uvy6YcU"",""M:M"")=B22)*1, IMPORTRANGE(""17XjIPGwafStTRf_8bPPaoi2EFjHVy10_rRJ0uvy6YcU"",""X:X""), IMPORTRANGE(""17XjIPGwafStTRf_8bPPaoi2EFjHVy10_rRJ0uvy6YcU"",""AF:AF""))"),252406.33707288583)</f>
        <v>252406.3371</v>
      </c>
      <c r="E22" s="24">
        <f>IFERROR(__xludf.DUMMYFUNCTION("SUMPRODUCT((IMPORTRANGE(""17XjIPGwafStTRf_8bPPaoi2EFjHVy10_rRJ0uvy6YcU"",""M:M"")=B22)*1, IMPORTRANGE(""17XjIPGwafStTRf_8bPPaoi2EFjHVy10_rRJ0uvy6YcU"",""X:X""), IMPORTRANGE(""17XjIPGwafStTRf_8bPPaoi2EFjHVy10_rRJ0uvy6YcU"",""AO:AO""))"),86433.77759980036)</f>
        <v>86433.7776</v>
      </c>
      <c r="F22" s="25">
        <f>IFERROR(__xludf.DUMMYFUNCTION("SUMPRODUCT((IMPORTRANGE(""17XjIPGwafStTRf_8bPPaoi2EFjHVy10_rRJ0uvy6YcU"",""M:M"")=B22)*1, IMPORTRANGE(""17XjIPGwafStTRf_8bPPaoi2EFjHVy10_rRJ0uvy6YcU"",""X:X""))"),75.0)</f>
        <v>75</v>
      </c>
      <c r="G22" s="26">
        <f>IFERROR(__xludf.DUMMYFUNCTION("COUNTIF(IMPORTRANGE(""17XjIPGwafStTRf_8bPPaoi2EFjHVy10_rRJ0uvy6YcU"",""M:M""), B22)"),38.0)</f>
        <v>38</v>
      </c>
      <c r="H22" s="27">
        <f t="shared" si="1"/>
        <v>1.973684211</v>
      </c>
      <c r="I22" s="28">
        <f t="shared" si="2"/>
        <v>0.2347665817</v>
      </c>
      <c r="J22" s="29">
        <f t="shared" si="3"/>
        <v>0.3424390156</v>
      </c>
      <c r="K22" s="32"/>
      <c r="L22" s="31" t="str">
        <f t="shared" si="4"/>
        <v/>
      </c>
      <c r="M22" s="31" t="str">
        <f t="shared" si="5"/>
        <v/>
      </c>
      <c r="N22" s="4"/>
    </row>
    <row r="23">
      <c r="A23" s="1"/>
      <c r="B23" s="23">
        <f t="shared" si="6"/>
        <v>44638</v>
      </c>
      <c r="C23" s="24">
        <f>IFERROR(__xludf.DUMMYFUNCTION("SUMPRODUCT((IMPORTRANGE(""17XjIPGwafStTRf_8bPPaoi2EFjHVy10_rRJ0uvy6YcU"",""M:M"")=B23)*1, IMPORTRANGE(""17XjIPGwafStTRf_8bPPaoi2EFjHVy10_rRJ0uvy6YcU"",""X:X""), IMPORTRANGE(""17XjIPGwafStTRf_8bPPaoi2EFjHVy10_rRJ0uvy6YcU"",""AK:AK"")) - SUMPRODUCT((IMPORTR"&amp;"ANGE(""17XjIPGwafStTRf_8bPPaoi2EFjHVy10_rRJ0uvy6YcU"",""M:M"")=B23)*1, IMPORTRANGE(""17XjIPGwafStTRf_8bPPaoi2EFjHVy10_rRJ0uvy6YcU"",""X:X""), IMPORTRANGE(""17XjIPGwafStTRf_8bPPaoi2EFjHVy10_rRJ0uvy6YcU"",""AL:AL""))"),291742.0)</f>
        <v>291742</v>
      </c>
      <c r="D23" s="24">
        <f>IFERROR(__xludf.DUMMYFUNCTION("SUMPRODUCT((IMPORTRANGE(""17XjIPGwafStTRf_8bPPaoi2EFjHVy10_rRJ0uvy6YcU"",""M:M"")=B23)*1, IMPORTRANGE(""17XjIPGwafStTRf_8bPPaoi2EFjHVy10_rRJ0uvy6YcU"",""X:X""), IMPORTRANGE(""17XjIPGwafStTRf_8bPPaoi2EFjHVy10_rRJ0uvy6YcU"",""AA:AA"")) + SUMPRODUCT((IMPORTR"&amp;"ANGE(""17XjIPGwafStTRf_8bPPaoi2EFjHVy10_rRJ0uvy6YcU"",""M:M"")=B23)*1, IMPORTRANGE(""17XjIPGwafStTRf_8bPPaoi2EFjHVy10_rRJ0uvy6YcU"",""X:X""), IMPORTRANGE(""17XjIPGwafStTRf_8bPPaoi2EFjHVy10_rRJ0uvy6YcU"",""AE:AE"")) + SUMPRODUCT((IMPORTRANGE(""17XjIPGwafSt"&amp;"TRf_8bPPaoi2EFjHVy10_rRJ0uvy6YcU"",""M:M"")=B23)*1, IMPORTRANGE(""17XjIPGwafStTRf_8bPPaoi2EFjHVy10_rRJ0uvy6YcU"",""X:X""), IMPORTRANGE(""17XjIPGwafStTRf_8bPPaoi2EFjHVy10_rRJ0uvy6YcU"",""AF:AF""))"),171846.43499916937)</f>
        <v>171846.435</v>
      </c>
      <c r="E23" s="24">
        <f>IFERROR(__xludf.DUMMYFUNCTION("SUMPRODUCT((IMPORTRANGE(""17XjIPGwafStTRf_8bPPaoi2EFjHVy10_rRJ0uvy6YcU"",""M:M"")=B23)*1, IMPORTRANGE(""17XjIPGwafStTRf_8bPPaoi2EFjHVy10_rRJ0uvy6YcU"",""X:X""), IMPORTRANGE(""17XjIPGwafStTRf_8bPPaoi2EFjHVy10_rRJ0uvy6YcU"",""AO:AO""))"),66902.75583873197)</f>
        <v>66902.75584</v>
      </c>
      <c r="F23" s="25">
        <f>IFERROR(__xludf.DUMMYFUNCTION("SUMPRODUCT((IMPORTRANGE(""17XjIPGwafStTRf_8bPPaoi2EFjHVy10_rRJ0uvy6YcU"",""M:M"")=B23)*1, IMPORTRANGE(""17XjIPGwafStTRf_8bPPaoi2EFjHVy10_rRJ0uvy6YcU"",""X:X""))"),43.0)</f>
        <v>43</v>
      </c>
      <c r="G23" s="26">
        <f>IFERROR(__xludf.DUMMYFUNCTION("COUNTIF(IMPORTRANGE(""17XjIPGwafStTRf_8bPPaoi2EFjHVy10_rRJ0uvy6YcU"",""M:M""), B23)"),23.0)</f>
        <v>23</v>
      </c>
      <c r="H23" s="27">
        <f t="shared" si="1"/>
        <v>1.869565217</v>
      </c>
      <c r="I23" s="28">
        <f t="shared" si="2"/>
        <v>0.2293216467</v>
      </c>
      <c r="J23" s="29">
        <f t="shared" si="3"/>
        <v>0.3893171007</v>
      </c>
      <c r="K23" s="32"/>
      <c r="L23" s="31" t="str">
        <f t="shared" si="4"/>
        <v/>
      </c>
      <c r="M23" s="31" t="str">
        <f t="shared" si="5"/>
        <v/>
      </c>
      <c r="N23" s="4"/>
    </row>
    <row r="24">
      <c r="A24" s="1"/>
      <c r="B24" s="23">
        <f t="shared" si="6"/>
        <v>44639</v>
      </c>
      <c r="C24" s="24">
        <f>IFERROR(__xludf.DUMMYFUNCTION("SUMPRODUCT((IMPORTRANGE(""17XjIPGwafStTRf_8bPPaoi2EFjHVy10_rRJ0uvy6YcU"",""M:M"")=B24)*1, IMPORTRANGE(""17XjIPGwafStTRf_8bPPaoi2EFjHVy10_rRJ0uvy6YcU"",""X:X""), IMPORTRANGE(""17XjIPGwafStTRf_8bPPaoi2EFjHVy10_rRJ0uvy6YcU"",""AK:AK"")) - SUMPRODUCT((IMPORTR"&amp;"ANGE(""17XjIPGwafStTRf_8bPPaoi2EFjHVy10_rRJ0uvy6YcU"",""M:M"")=B24)*1, IMPORTRANGE(""17XjIPGwafStTRf_8bPPaoi2EFjHVy10_rRJ0uvy6YcU"",""X:X""), IMPORTRANGE(""17XjIPGwafStTRf_8bPPaoi2EFjHVy10_rRJ0uvy6YcU"",""AL:AL""))"),534139.0)</f>
        <v>534139</v>
      </c>
      <c r="D24" s="24">
        <f>IFERROR(__xludf.DUMMYFUNCTION("SUMPRODUCT((IMPORTRANGE(""17XjIPGwafStTRf_8bPPaoi2EFjHVy10_rRJ0uvy6YcU"",""M:M"")=B24)*1, IMPORTRANGE(""17XjIPGwafStTRf_8bPPaoi2EFjHVy10_rRJ0uvy6YcU"",""X:X""), IMPORTRANGE(""17XjIPGwafStTRf_8bPPaoi2EFjHVy10_rRJ0uvy6YcU"",""AA:AA"")) + SUMPRODUCT((IMPORTR"&amp;"ANGE(""17XjIPGwafStTRf_8bPPaoi2EFjHVy10_rRJ0uvy6YcU"",""M:M"")=B24)*1, IMPORTRANGE(""17XjIPGwafStTRf_8bPPaoi2EFjHVy10_rRJ0uvy6YcU"",""X:X""), IMPORTRANGE(""17XjIPGwafStTRf_8bPPaoi2EFjHVy10_rRJ0uvy6YcU"",""AE:AE"")) + SUMPRODUCT((IMPORTRANGE(""17XjIPGwafSt"&amp;"TRf_8bPPaoi2EFjHVy10_rRJ0uvy6YcU"",""M:M"")=B24)*1, IMPORTRANGE(""17XjIPGwafStTRf_8bPPaoi2EFjHVy10_rRJ0uvy6YcU"",""X:X""), IMPORTRANGE(""17XjIPGwafStTRf_8bPPaoi2EFjHVy10_rRJ0uvy6YcU"",""AF:AF""))"),344296.06189390086)</f>
        <v>344296.0619</v>
      </c>
      <c r="E24" s="24">
        <f>IFERROR(__xludf.DUMMYFUNCTION("SUMPRODUCT((IMPORTRANGE(""17XjIPGwafStTRf_8bPPaoi2EFjHVy10_rRJ0uvy6YcU"",""M:M"")=B24)*1, IMPORTRANGE(""17XjIPGwafStTRf_8bPPaoi2EFjHVy10_rRJ0uvy6YcU"",""X:X""), IMPORTRANGE(""17XjIPGwafStTRf_8bPPaoi2EFjHVy10_rRJ0uvy6YcU"",""AO:AO""))"),99358.86150603819)</f>
        <v>99358.86151</v>
      </c>
      <c r="F24" s="25">
        <f>IFERROR(__xludf.DUMMYFUNCTION("SUMPRODUCT((IMPORTRANGE(""17XjIPGwafStTRf_8bPPaoi2EFjHVy10_rRJ0uvy6YcU"",""M:M"")=B24)*1, IMPORTRANGE(""17XjIPGwafStTRf_8bPPaoi2EFjHVy10_rRJ0uvy6YcU"",""X:X""))"),123.0)</f>
        <v>123</v>
      </c>
      <c r="G24" s="26">
        <f>IFERROR(__xludf.DUMMYFUNCTION("COUNTIF(IMPORTRANGE(""17XjIPGwafStTRf_8bPPaoi2EFjHVy10_rRJ0uvy6YcU"",""M:M""), B24)"),62.0)</f>
        <v>62</v>
      </c>
      <c r="H24" s="27">
        <f t="shared" si="1"/>
        <v>1.983870968</v>
      </c>
      <c r="I24" s="28">
        <f t="shared" si="2"/>
        <v>0.1860168636</v>
      </c>
      <c r="J24" s="29">
        <f t="shared" si="3"/>
        <v>0.28858553</v>
      </c>
      <c r="K24" s="30"/>
      <c r="L24" s="31" t="str">
        <f t="shared" si="4"/>
        <v/>
      </c>
      <c r="M24" s="31" t="str">
        <f t="shared" si="5"/>
        <v/>
      </c>
      <c r="N24" s="4"/>
    </row>
    <row r="25">
      <c r="A25" s="1"/>
      <c r="B25" s="23">
        <f t="shared" si="6"/>
        <v>44640</v>
      </c>
      <c r="C25" s="24">
        <f>IFERROR(__xludf.DUMMYFUNCTION("SUMPRODUCT((IMPORTRANGE(""17XjIPGwafStTRf_8bPPaoi2EFjHVy10_rRJ0uvy6YcU"",""M:M"")=B25)*1, IMPORTRANGE(""17XjIPGwafStTRf_8bPPaoi2EFjHVy10_rRJ0uvy6YcU"",""X:X""), IMPORTRANGE(""17XjIPGwafStTRf_8bPPaoi2EFjHVy10_rRJ0uvy6YcU"",""AK:AK"")) - SUMPRODUCT((IMPORTR"&amp;"ANGE(""17XjIPGwafStTRf_8bPPaoi2EFjHVy10_rRJ0uvy6YcU"",""M:M"")=B25)*1, IMPORTRANGE(""17XjIPGwafStTRf_8bPPaoi2EFjHVy10_rRJ0uvy6YcU"",""X:X""), IMPORTRANGE(""17XjIPGwafStTRf_8bPPaoi2EFjHVy10_rRJ0uvy6YcU"",""AL:AL""))"),905606.0)</f>
        <v>905606</v>
      </c>
      <c r="D25" s="24">
        <f>IFERROR(__xludf.DUMMYFUNCTION("SUMPRODUCT((IMPORTRANGE(""17XjIPGwafStTRf_8bPPaoi2EFjHVy10_rRJ0uvy6YcU"",""M:M"")=B25)*1, IMPORTRANGE(""17XjIPGwafStTRf_8bPPaoi2EFjHVy10_rRJ0uvy6YcU"",""X:X""), IMPORTRANGE(""17XjIPGwafStTRf_8bPPaoi2EFjHVy10_rRJ0uvy6YcU"",""AA:AA"")) + SUMPRODUCT((IMPORTR"&amp;"ANGE(""17XjIPGwafStTRf_8bPPaoi2EFjHVy10_rRJ0uvy6YcU"",""M:M"")=B25)*1, IMPORTRANGE(""17XjIPGwafStTRf_8bPPaoi2EFjHVy10_rRJ0uvy6YcU"",""X:X""), IMPORTRANGE(""17XjIPGwafStTRf_8bPPaoi2EFjHVy10_rRJ0uvy6YcU"",""AE:AE"")) + SUMPRODUCT((IMPORTRANGE(""17XjIPGwafSt"&amp;"TRf_8bPPaoi2EFjHVy10_rRJ0uvy6YcU"",""M:M"")=B25)*1, IMPORTRANGE(""17XjIPGwafStTRf_8bPPaoi2EFjHVy10_rRJ0uvy6YcU"",""X:X""), IMPORTRANGE(""17XjIPGwafStTRf_8bPPaoi2EFjHVy10_rRJ0uvy6YcU"",""AF:AF""))"),491391.3377415001)</f>
        <v>491391.3377</v>
      </c>
      <c r="E25" s="24">
        <f>IFERROR(__xludf.DUMMYFUNCTION("SUMPRODUCT((IMPORTRANGE(""17XjIPGwafStTRf_8bPPaoi2EFjHVy10_rRJ0uvy6YcU"",""M:M"")=B25)*1, IMPORTRANGE(""17XjIPGwafStTRf_8bPPaoi2EFjHVy10_rRJ0uvy6YcU"",""X:X""), IMPORTRANGE(""17XjIPGwafStTRf_8bPPaoi2EFjHVy10_rRJ0uvy6YcU"",""AO:AO""))"),235358.56225849997)</f>
        <v>235358.5623</v>
      </c>
      <c r="F25" s="25">
        <f>IFERROR(__xludf.DUMMYFUNCTION("SUMPRODUCT((IMPORTRANGE(""17XjIPGwafStTRf_8bPPaoi2EFjHVy10_rRJ0uvy6YcU"",""M:M"")=B25)*1, IMPORTRANGE(""17XjIPGwafStTRf_8bPPaoi2EFjHVy10_rRJ0uvy6YcU"",""X:X""))"),156.0)</f>
        <v>156</v>
      </c>
      <c r="G25" s="26">
        <f>IFERROR(__xludf.DUMMYFUNCTION("COUNTIF(IMPORTRANGE(""17XjIPGwafStTRf_8bPPaoi2EFjHVy10_rRJ0uvy6YcU"",""M:M""), B25)"),32.0)</f>
        <v>32</v>
      </c>
      <c r="H25" s="27">
        <f t="shared" si="1"/>
        <v>4.875</v>
      </c>
      <c r="I25" s="28">
        <f t="shared" si="2"/>
        <v>0.2598906834</v>
      </c>
      <c r="J25" s="29">
        <f t="shared" si="3"/>
        <v>0.4789635962</v>
      </c>
      <c r="K25" s="32"/>
      <c r="L25" s="31" t="str">
        <f t="shared" si="4"/>
        <v/>
      </c>
      <c r="M25" s="31" t="str">
        <f t="shared" si="5"/>
        <v/>
      </c>
      <c r="N25" s="4"/>
    </row>
    <row r="26">
      <c r="A26" s="1"/>
      <c r="B26" s="23">
        <f t="shared" si="6"/>
        <v>44641</v>
      </c>
      <c r="C26" s="24">
        <f>IFERROR(__xludf.DUMMYFUNCTION("SUMPRODUCT((IMPORTRANGE(""17XjIPGwafStTRf_8bPPaoi2EFjHVy10_rRJ0uvy6YcU"",""M:M"")=B26)*1, IMPORTRANGE(""17XjIPGwafStTRf_8bPPaoi2EFjHVy10_rRJ0uvy6YcU"",""X:X""), IMPORTRANGE(""17XjIPGwafStTRf_8bPPaoi2EFjHVy10_rRJ0uvy6YcU"",""AK:AK"")) - SUMPRODUCT((IMPORTR"&amp;"ANGE(""17XjIPGwafStTRf_8bPPaoi2EFjHVy10_rRJ0uvy6YcU"",""M:M"")=B26)*1, IMPORTRANGE(""17XjIPGwafStTRf_8bPPaoi2EFjHVy10_rRJ0uvy6YcU"",""X:X""), IMPORTRANGE(""17XjIPGwafStTRf_8bPPaoi2EFjHVy10_rRJ0uvy6YcU"",""AL:AL""))"),395975.0)</f>
        <v>395975</v>
      </c>
      <c r="D26" s="24">
        <f>IFERROR(__xludf.DUMMYFUNCTION("SUMPRODUCT((IMPORTRANGE(""17XjIPGwafStTRf_8bPPaoi2EFjHVy10_rRJ0uvy6YcU"",""M:M"")=B26)*1, IMPORTRANGE(""17XjIPGwafStTRf_8bPPaoi2EFjHVy10_rRJ0uvy6YcU"",""X:X""), IMPORTRANGE(""17XjIPGwafStTRf_8bPPaoi2EFjHVy10_rRJ0uvy6YcU"",""AA:AA"")) + SUMPRODUCT((IMPORTR"&amp;"ANGE(""17XjIPGwafStTRf_8bPPaoi2EFjHVy10_rRJ0uvy6YcU"",""M:M"")=B26)*1, IMPORTRANGE(""17XjIPGwafStTRf_8bPPaoi2EFjHVy10_rRJ0uvy6YcU"",""X:X""), IMPORTRANGE(""17XjIPGwafStTRf_8bPPaoi2EFjHVy10_rRJ0uvy6YcU"",""AE:AE"")) + SUMPRODUCT((IMPORTRANGE(""17XjIPGwafSt"&amp;"TRf_8bPPaoi2EFjHVy10_rRJ0uvy6YcU"",""M:M"")=B26)*1, IMPORTRANGE(""17XjIPGwafStTRf_8bPPaoi2EFjHVy10_rRJ0uvy6YcU"",""X:X""), IMPORTRANGE(""17XjIPGwafStTRf_8bPPaoi2EFjHVy10_rRJ0uvy6YcU"",""AF:AF""))"),222278.871718933)</f>
        <v>222278.8717</v>
      </c>
      <c r="E26" s="24">
        <f>IFERROR(__xludf.DUMMYFUNCTION("SUMPRODUCT((IMPORTRANGE(""17XjIPGwafStTRf_8bPPaoi2EFjHVy10_rRJ0uvy6YcU"",""M:M"")=B26)*1, IMPORTRANGE(""17XjIPGwafStTRf_8bPPaoi2EFjHVy10_rRJ0uvy6YcU"",""X:X""), IMPORTRANGE(""17XjIPGwafStTRf_8bPPaoi2EFjHVy10_rRJ0uvy6YcU"",""AO:AO""))"),92733.82828106699)</f>
        <v>92733.82828</v>
      </c>
      <c r="F26" s="25">
        <f>IFERROR(__xludf.DUMMYFUNCTION("SUMPRODUCT((IMPORTRANGE(""17XjIPGwafStTRf_8bPPaoi2EFjHVy10_rRJ0uvy6YcU"",""M:M"")=B26)*1, IMPORTRANGE(""17XjIPGwafStTRf_8bPPaoi2EFjHVy10_rRJ0uvy6YcU"",""X:X""))"),75.0)</f>
        <v>75</v>
      </c>
      <c r="G26" s="26">
        <f>IFERROR(__xludf.DUMMYFUNCTION("COUNTIF(IMPORTRANGE(""17XjIPGwafStTRf_8bPPaoi2EFjHVy10_rRJ0uvy6YcU"",""M:M""), B26)"),20.0)</f>
        <v>20</v>
      </c>
      <c r="H26" s="27">
        <f t="shared" si="1"/>
        <v>3.75</v>
      </c>
      <c r="I26" s="28">
        <f t="shared" si="2"/>
        <v>0.2341911188</v>
      </c>
      <c r="J26" s="29">
        <f t="shared" si="3"/>
        <v>0.4171958746</v>
      </c>
      <c r="K26" s="30"/>
      <c r="L26" s="31" t="str">
        <f t="shared" si="4"/>
        <v/>
      </c>
      <c r="M26" s="31" t="str">
        <f t="shared" si="5"/>
        <v/>
      </c>
      <c r="N26" s="4"/>
    </row>
    <row r="27">
      <c r="A27" s="1"/>
      <c r="B27" s="23">
        <f t="shared" si="6"/>
        <v>44642</v>
      </c>
      <c r="C27" s="24">
        <f>IFERROR(__xludf.DUMMYFUNCTION("SUMPRODUCT((IMPORTRANGE(""17XjIPGwafStTRf_8bPPaoi2EFjHVy10_rRJ0uvy6YcU"",""M:M"")=B27)*1, IMPORTRANGE(""17XjIPGwafStTRf_8bPPaoi2EFjHVy10_rRJ0uvy6YcU"",""X:X""), IMPORTRANGE(""17XjIPGwafStTRf_8bPPaoi2EFjHVy10_rRJ0uvy6YcU"",""AK:AK"")) - SUMPRODUCT((IMPORTR"&amp;"ANGE(""17XjIPGwafStTRf_8bPPaoi2EFjHVy10_rRJ0uvy6YcU"",""M:M"")=B27)*1, IMPORTRANGE(""17XjIPGwafStTRf_8bPPaoi2EFjHVy10_rRJ0uvy6YcU"",""X:X""), IMPORTRANGE(""17XjIPGwafStTRf_8bPPaoi2EFjHVy10_rRJ0uvy6YcU"",""AL:AL""))"),285574.0)</f>
        <v>285574</v>
      </c>
      <c r="D27" s="24">
        <f>IFERROR(__xludf.DUMMYFUNCTION("SUMPRODUCT((IMPORTRANGE(""17XjIPGwafStTRf_8bPPaoi2EFjHVy10_rRJ0uvy6YcU"",""M:M"")=B27)*1, IMPORTRANGE(""17XjIPGwafStTRf_8bPPaoi2EFjHVy10_rRJ0uvy6YcU"",""X:X""), IMPORTRANGE(""17XjIPGwafStTRf_8bPPaoi2EFjHVy10_rRJ0uvy6YcU"",""AA:AA"")) + SUMPRODUCT((IMPORTR"&amp;"ANGE(""17XjIPGwafStTRf_8bPPaoi2EFjHVy10_rRJ0uvy6YcU"",""M:M"")=B27)*1, IMPORTRANGE(""17XjIPGwafStTRf_8bPPaoi2EFjHVy10_rRJ0uvy6YcU"",""X:X""), IMPORTRANGE(""17XjIPGwafStTRf_8bPPaoi2EFjHVy10_rRJ0uvy6YcU"",""AE:AE"")) + SUMPRODUCT((IMPORTRANGE(""17XjIPGwafSt"&amp;"TRf_8bPPaoi2EFjHVy10_rRJ0uvy6YcU"",""M:M"")=B27)*1, IMPORTRANGE(""17XjIPGwafStTRf_8bPPaoi2EFjHVy10_rRJ0uvy6YcU"",""X:X""), IMPORTRANGE(""17XjIPGwafStTRf_8bPPaoi2EFjHVy10_rRJ0uvy6YcU"",""AF:AF""))"),177001.8540191549)</f>
        <v>177001.854</v>
      </c>
      <c r="E27" s="24">
        <f>IFERROR(__xludf.DUMMYFUNCTION("SUMPRODUCT((IMPORTRANGE(""17XjIPGwafStTRf_8bPPaoi2EFjHVy10_rRJ0uvy6YcU"",""M:M"")=B27)*1, IMPORTRANGE(""17XjIPGwafStTRf_8bPPaoi2EFjHVy10_rRJ0uvy6YcU"",""X:X""), IMPORTRANGE(""17XjIPGwafStTRf_8bPPaoi2EFjHVy10_rRJ0uvy6YcU"",""AO:AO""))"),55269.16982190465)</f>
        <v>55269.16982</v>
      </c>
      <c r="F27" s="25">
        <f>IFERROR(__xludf.DUMMYFUNCTION("SUMPRODUCT((IMPORTRANGE(""17XjIPGwafStTRf_8bPPaoi2EFjHVy10_rRJ0uvy6YcU"",""M:M"")=B27)*1, IMPORTRANGE(""17XjIPGwafStTRf_8bPPaoi2EFjHVy10_rRJ0uvy6YcU"",""X:X""))"),61.0)</f>
        <v>61</v>
      </c>
      <c r="G27" s="26">
        <f>IFERROR(__xludf.DUMMYFUNCTION("COUNTIF(IMPORTRANGE(""17XjIPGwafStTRf_8bPPaoi2EFjHVy10_rRJ0uvy6YcU"",""M:M""), B27)"),28.0)</f>
        <v>28</v>
      </c>
      <c r="H27" s="27">
        <f t="shared" si="1"/>
        <v>2.178571429</v>
      </c>
      <c r="I27" s="28">
        <f t="shared" si="2"/>
        <v>0.1935371211</v>
      </c>
      <c r="J27" s="29">
        <f t="shared" si="3"/>
        <v>0.312251926</v>
      </c>
      <c r="K27" s="32"/>
      <c r="L27" s="31" t="str">
        <f t="shared" si="4"/>
        <v/>
      </c>
      <c r="M27" s="31" t="str">
        <f t="shared" si="5"/>
        <v/>
      </c>
      <c r="N27" s="4"/>
    </row>
    <row r="28">
      <c r="A28" s="1"/>
      <c r="B28" s="23">
        <f t="shared" si="6"/>
        <v>44643</v>
      </c>
      <c r="C28" s="24">
        <f>IFERROR(__xludf.DUMMYFUNCTION("SUMPRODUCT((IMPORTRANGE(""17XjIPGwafStTRf_8bPPaoi2EFjHVy10_rRJ0uvy6YcU"",""M:M"")=B28)*1, IMPORTRANGE(""17XjIPGwafStTRf_8bPPaoi2EFjHVy10_rRJ0uvy6YcU"",""X:X""), IMPORTRANGE(""17XjIPGwafStTRf_8bPPaoi2EFjHVy10_rRJ0uvy6YcU"",""AK:AK"")) - SUMPRODUCT((IMPORTR"&amp;"ANGE(""17XjIPGwafStTRf_8bPPaoi2EFjHVy10_rRJ0uvy6YcU"",""M:M"")=B28)*1, IMPORTRANGE(""17XjIPGwafStTRf_8bPPaoi2EFjHVy10_rRJ0uvy6YcU"",""X:X""), IMPORTRANGE(""17XjIPGwafStTRf_8bPPaoi2EFjHVy10_rRJ0uvy6YcU"",""AL:AL""))"),335336.0)</f>
        <v>335336</v>
      </c>
      <c r="D28" s="24">
        <f>IFERROR(__xludf.DUMMYFUNCTION("SUMPRODUCT((IMPORTRANGE(""17XjIPGwafStTRf_8bPPaoi2EFjHVy10_rRJ0uvy6YcU"",""M:M"")=B28)*1, IMPORTRANGE(""17XjIPGwafStTRf_8bPPaoi2EFjHVy10_rRJ0uvy6YcU"",""X:X""), IMPORTRANGE(""17XjIPGwafStTRf_8bPPaoi2EFjHVy10_rRJ0uvy6YcU"",""AA:AA"")) + SUMPRODUCT((IMPORTR"&amp;"ANGE(""17XjIPGwafStTRf_8bPPaoi2EFjHVy10_rRJ0uvy6YcU"",""M:M"")=B28)*1, IMPORTRANGE(""17XjIPGwafStTRf_8bPPaoi2EFjHVy10_rRJ0uvy6YcU"",""X:X""), IMPORTRANGE(""17XjIPGwafStTRf_8bPPaoi2EFjHVy10_rRJ0uvy6YcU"",""AE:AE"")) + SUMPRODUCT((IMPORTRANGE(""17XjIPGwafSt"&amp;"TRf_8bPPaoi2EFjHVy10_rRJ0uvy6YcU"",""M:M"")=B28)*1, IMPORTRANGE(""17XjIPGwafStTRf_8bPPaoi2EFjHVy10_rRJ0uvy6YcU"",""X:X""), IMPORTRANGE(""17XjIPGwafStTRf_8bPPaoi2EFjHVy10_rRJ0uvy6YcU"",""AF:AF""))"),218189.73038099814)</f>
        <v>218189.7304</v>
      </c>
      <c r="E28" s="24">
        <f>IFERROR(__xludf.DUMMYFUNCTION("SUMPRODUCT((IMPORTRANGE(""17XjIPGwafStTRf_8bPPaoi2EFjHVy10_rRJ0uvy6YcU"",""M:M"")=B28)*1, IMPORTRANGE(""17XjIPGwafStTRf_8bPPaoi2EFjHVy10_rRJ0uvy6YcU"",""X:X""), IMPORTRANGE(""17XjIPGwafStTRf_8bPPaoi2EFjHVy10_rRJ0uvy6YcU"",""AO:AO""))"),58279.96961900188)</f>
        <v>58279.96962</v>
      </c>
      <c r="F28" s="25">
        <f>IFERROR(__xludf.DUMMYFUNCTION("SUMPRODUCT((IMPORTRANGE(""17XjIPGwafStTRf_8bPPaoi2EFjHVy10_rRJ0uvy6YcU"",""M:M"")=B28)*1, IMPORTRANGE(""17XjIPGwafStTRf_8bPPaoi2EFjHVy10_rRJ0uvy6YcU"",""X:X""))"),64.0)</f>
        <v>64</v>
      </c>
      <c r="G28" s="26">
        <f>IFERROR(__xludf.DUMMYFUNCTION("COUNTIF(IMPORTRANGE(""17XjIPGwafStTRf_8bPPaoi2EFjHVy10_rRJ0uvy6YcU"",""M:M""), B28)"),29.0)</f>
        <v>29</v>
      </c>
      <c r="H28" s="27">
        <f t="shared" si="1"/>
        <v>2.206896552</v>
      </c>
      <c r="I28" s="28">
        <f t="shared" si="2"/>
        <v>0.173795744</v>
      </c>
      <c r="J28" s="29">
        <f t="shared" si="3"/>
        <v>0.267106841</v>
      </c>
      <c r="K28" s="32"/>
      <c r="L28" s="31" t="str">
        <f t="shared" si="4"/>
        <v/>
      </c>
      <c r="M28" s="31" t="str">
        <f t="shared" si="5"/>
        <v/>
      </c>
      <c r="N28" s="4"/>
    </row>
    <row r="29">
      <c r="A29" s="1"/>
      <c r="B29" s="23">
        <f t="shared" si="6"/>
        <v>44644</v>
      </c>
      <c r="C29" s="24">
        <f>IFERROR(__xludf.DUMMYFUNCTION("SUMPRODUCT((IMPORTRANGE(""17XjIPGwafStTRf_8bPPaoi2EFjHVy10_rRJ0uvy6YcU"",""M:M"")=B29)*1, IMPORTRANGE(""17XjIPGwafStTRf_8bPPaoi2EFjHVy10_rRJ0uvy6YcU"",""X:X""), IMPORTRANGE(""17XjIPGwafStTRf_8bPPaoi2EFjHVy10_rRJ0uvy6YcU"",""AK:AK"")) - SUMPRODUCT((IMPORTR"&amp;"ANGE(""17XjIPGwafStTRf_8bPPaoi2EFjHVy10_rRJ0uvy6YcU"",""M:M"")=B29)*1, IMPORTRANGE(""17XjIPGwafStTRf_8bPPaoi2EFjHVy10_rRJ0uvy6YcU"",""X:X""), IMPORTRANGE(""17XjIPGwafStTRf_8bPPaoi2EFjHVy10_rRJ0uvy6YcU"",""AL:AL""))"),659098.0)</f>
        <v>659098</v>
      </c>
      <c r="D29" s="24">
        <f>IFERROR(__xludf.DUMMYFUNCTION("SUMPRODUCT((IMPORTRANGE(""17XjIPGwafStTRf_8bPPaoi2EFjHVy10_rRJ0uvy6YcU"",""M:M"")=B29)*1, IMPORTRANGE(""17XjIPGwafStTRf_8bPPaoi2EFjHVy10_rRJ0uvy6YcU"",""X:X""), IMPORTRANGE(""17XjIPGwafStTRf_8bPPaoi2EFjHVy10_rRJ0uvy6YcU"",""AA:AA"")) + SUMPRODUCT((IMPORTR"&amp;"ANGE(""17XjIPGwafStTRf_8bPPaoi2EFjHVy10_rRJ0uvy6YcU"",""M:M"")=B29)*1, IMPORTRANGE(""17XjIPGwafStTRf_8bPPaoi2EFjHVy10_rRJ0uvy6YcU"",""X:X""), IMPORTRANGE(""17XjIPGwafStTRf_8bPPaoi2EFjHVy10_rRJ0uvy6YcU"",""AE:AE"")) + SUMPRODUCT((IMPORTRANGE(""17XjIPGwafSt"&amp;"TRf_8bPPaoi2EFjHVy10_rRJ0uvy6YcU"",""M:M"")=B29)*1, IMPORTRANGE(""17XjIPGwafStTRf_8bPPaoi2EFjHVy10_rRJ0uvy6YcU"",""X:X""), IMPORTRANGE(""17XjIPGwafStTRf_8bPPaoi2EFjHVy10_rRJ0uvy6YcU"",""AF:AF""))"),441908.6813740868)</f>
        <v>441908.6814</v>
      </c>
      <c r="E29" s="24">
        <f>IFERROR(__xludf.DUMMYFUNCTION("SUMPRODUCT((IMPORTRANGE(""17XjIPGwafStTRf_8bPPaoi2EFjHVy10_rRJ0uvy6YcU"",""M:M"")=B29)*1, IMPORTRANGE(""17XjIPGwafStTRf_8bPPaoi2EFjHVy10_rRJ0uvy6YcU"",""X:X""), IMPORTRANGE(""17XjIPGwafStTRf_8bPPaoi2EFjHVy10_rRJ0uvy6YcU"",""AO:AO""))"),80893.49748453831)</f>
        <v>80893.49748</v>
      </c>
      <c r="F29" s="25">
        <f>IFERROR(__xludf.DUMMYFUNCTION("SUMPRODUCT((IMPORTRANGE(""17XjIPGwafStTRf_8bPPaoi2EFjHVy10_rRJ0uvy6YcU"",""M:M"")=B29)*1, IMPORTRANGE(""17XjIPGwafStTRf_8bPPaoi2EFjHVy10_rRJ0uvy6YcU"",""X:X""))"),162.0)</f>
        <v>162</v>
      </c>
      <c r="G29" s="26">
        <f>IFERROR(__xludf.DUMMYFUNCTION("COUNTIF(IMPORTRANGE(""17XjIPGwafStTRf_8bPPaoi2EFjHVy10_rRJ0uvy6YcU"",""M:M""), B29)"),42.0)</f>
        <v>42</v>
      </c>
      <c r="H29" s="27">
        <f t="shared" si="1"/>
        <v>3.857142857</v>
      </c>
      <c r="I29" s="28">
        <f t="shared" si="2"/>
        <v>0.1227336413</v>
      </c>
      <c r="J29" s="29">
        <f t="shared" si="3"/>
        <v>0.1830547823</v>
      </c>
      <c r="K29" s="32"/>
      <c r="L29" s="31" t="str">
        <f t="shared" si="4"/>
        <v/>
      </c>
      <c r="M29" s="31" t="str">
        <f t="shared" si="5"/>
        <v/>
      </c>
      <c r="N29" s="4"/>
    </row>
    <row r="30">
      <c r="A30" s="1"/>
      <c r="B30" s="23">
        <f t="shared" si="6"/>
        <v>44645</v>
      </c>
      <c r="C30" s="24">
        <f>IFERROR(__xludf.DUMMYFUNCTION("SUMPRODUCT((IMPORTRANGE(""17XjIPGwafStTRf_8bPPaoi2EFjHVy10_rRJ0uvy6YcU"",""M:M"")=B30)*1, IMPORTRANGE(""17XjIPGwafStTRf_8bPPaoi2EFjHVy10_rRJ0uvy6YcU"",""X:X""), IMPORTRANGE(""17XjIPGwafStTRf_8bPPaoi2EFjHVy10_rRJ0uvy6YcU"",""AK:AK"")) - SUMPRODUCT((IMPORTR"&amp;"ANGE(""17XjIPGwafStTRf_8bPPaoi2EFjHVy10_rRJ0uvy6YcU"",""M:M"")=B30)*1, IMPORTRANGE(""17XjIPGwafStTRf_8bPPaoi2EFjHVy10_rRJ0uvy6YcU"",""X:X""), IMPORTRANGE(""17XjIPGwafStTRf_8bPPaoi2EFjHVy10_rRJ0uvy6YcU"",""AL:AL""))"),1211726.0)</f>
        <v>1211726</v>
      </c>
      <c r="D30" s="24">
        <f>IFERROR(__xludf.DUMMYFUNCTION("SUMPRODUCT((IMPORTRANGE(""17XjIPGwafStTRf_8bPPaoi2EFjHVy10_rRJ0uvy6YcU"",""M:M"")=B30)*1, IMPORTRANGE(""17XjIPGwafStTRf_8bPPaoi2EFjHVy10_rRJ0uvy6YcU"",""X:X""), IMPORTRANGE(""17XjIPGwafStTRf_8bPPaoi2EFjHVy10_rRJ0uvy6YcU"",""AA:AA"")) + SUMPRODUCT((IMPORTR"&amp;"ANGE(""17XjIPGwafStTRf_8bPPaoi2EFjHVy10_rRJ0uvy6YcU"",""M:M"")=B30)*1, IMPORTRANGE(""17XjIPGwafStTRf_8bPPaoi2EFjHVy10_rRJ0uvy6YcU"",""X:X""), IMPORTRANGE(""17XjIPGwafStTRf_8bPPaoi2EFjHVy10_rRJ0uvy6YcU"",""AE:AE"")) + SUMPRODUCT((IMPORTRANGE(""17XjIPGwafSt"&amp;"TRf_8bPPaoi2EFjHVy10_rRJ0uvy6YcU"",""M:M"")=B30)*1, IMPORTRANGE(""17XjIPGwafStTRf_8bPPaoi2EFjHVy10_rRJ0uvy6YcU"",""X:X""), IMPORTRANGE(""17XjIPGwafStTRf_8bPPaoi2EFjHVy10_rRJ0uvy6YcU"",""AF:AF""))"),766317.7062310056)</f>
        <v>766317.7062</v>
      </c>
      <c r="E30" s="24">
        <f>IFERROR(__xludf.DUMMYFUNCTION("SUMPRODUCT((IMPORTRANGE(""17XjIPGwafStTRf_8bPPaoi2EFjHVy10_rRJ0uvy6YcU"",""M:M"")=B30)*1, IMPORTRANGE(""17XjIPGwafStTRf_8bPPaoi2EFjHVy10_rRJ0uvy6YcU"",""X:X""), IMPORTRANGE(""17XjIPGwafStTRf_8bPPaoi2EFjHVy10_rRJ0uvy6YcU"",""AO:AO""))"),222080.9702832095)</f>
        <v>222080.9703</v>
      </c>
      <c r="F30" s="25">
        <f>IFERROR(__xludf.DUMMYFUNCTION("SUMPRODUCT((IMPORTRANGE(""17XjIPGwafStTRf_8bPPaoi2EFjHVy10_rRJ0uvy6YcU"",""M:M"")=B30)*1, IMPORTRANGE(""17XjIPGwafStTRf_8bPPaoi2EFjHVy10_rRJ0uvy6YcU"",""X:X""))"),178.0)</f>
        <v>178</v>
      </c>
      <c r="G30" s="26">
        <f>IFERROR(__xludf.DUMMYFUNCTION("COUNTIF(IMPORTRANGE(""17XjIPGwafStTRf_8bPPaoi2EFjHVy10_rRJ0uvy6YcU"",""M:M""), B30)"),33.0)</f>
        <v>33</v>
      </c>
      <c r="H30" s="27">
        <f t="shared" si="1"/>
        <v>5.393939394</v>
      </c>
      <c r="I30" s="28">
        <f t="shared" si="2"/>
        <v>0.1832765578</v>
      </c>
      <c r="J30" s="29">
        <f t="shared" si="3"/>
        <v>0.2898027391</v>
      </c>
      <c r="K30" s="30"/>
      <c r="L30" s="31" t="str">
        <f t="shared" si="4"/>
        <v/>
      </c>
      <c r="M30" s="31" t="str">
        <f t="shared" si="5"/>
        <v/>
      </c>
      <c r="N30" s="4"/>
    </row>
    <row r="31">
      <c r="A31" s="1"/>
      <c r="B31" s="23">
        <f t="shared" si="6"/>
        <v>44646</v>
      </c>
      <c r="C31" s="24">
        <f>IFERROR(__xludf.DUMMYFUNCTION("SUMPRODUCT((IMPORTRANGE(""17XjIPGwafStTRf_8bPPaoi2EFjHVy10_rRJ0uvy6YcU"",""M:M"")=B31)*1, IMPORTRANGE(""17XjIPGwafStTRf_8bPPaoi2EFjHVy10_rRJ0uvy6YcU"",""X:X""), IMPORTRANGE(""17XjIPGwafStTRf_8bPPaoi2EFjHVy10_rRJ0uvy6YcU"",""AK:AK"")) - SUMPRODUCT((IMPORTR"&amp;"ANGE(""17XjIPGwafStTRf_8bPPaoi2EFjHVy10_rRJ0uvy6YcU"",""M:M"")=B31)*1, IMPORTRANGE(""17XjIPGwafStTRf_8bPPaoi2EFjHVy10_rRJ0uvy6YcU"",""X:X""), IMPORTRANGE(""17XjIPGwafStTRf_8bPPaoi2EFjHVy10_rRJ0uvy6YcU"",""AL:AL""))"),194021.0)</f>
        <v>194021</v>
      </c>
      <c r="D31" s="24">
        <f>IFERROR(__xludf.DUMMYFUNCTION("SUMPRODUCT((IMPORTRANGE(""17XjIPGwafStTRf_8bPPaoi2EFjHVy10_rRJ0uvy6YcU"",""M:M"")=B31)*1, IMPORTRANGE(""17XjIPGwafStTRf_8bPPaoi2EFjHVy10_rRJ0uvy6YcU"",""X:X""), IMPORTRANGE(""17XjIPGwafStTRf_8bPPaoi2EFjHVy10_rRJ0uvy6YcU"",""AA:AA"")) + SUMPRODUCT((IMPORTR"&amp;"ANGE(""17XjIPGwafStTRf_8bPPaoi2EFjHVy10_rRJ0uvy6YcU"",""M:M"")=B31)*1, IMPORTRANGE(""17XjIPGwafStTRf_8bPPaoi2EFjHVy10_rRJ0uvy6YcU"",""X:X""), IMPORTRANGE(""17XjIPGwafStTRf_8bPPaoi2EFjHVy10_rRJ0uvy6YcU"",""AE:AE"")) + SUMPRODUCT((IMPORTRANGE(""17XjIPGwafSt"&amp;"TRf_8bPPaoi2EFjHVy10_rRJ0uvy6YcU"",""M:M"")=B31)*1, IMPORTRANGE(""17XjIPGwafStTRf_8bPPaoi2EFjHVy10_rRJ0uvy6YcU"",""X:X""), IMPORTRANGE(""17XjIPGwafStTRf_8bPPaoi2EFjHVy10_rRJ0uvy6YcU"",""AF:AF""))"),128463.47028561933)</f>
        <v>128463.4703</v>
      </c>
      <c r="E31" s="24">
        <f>IFERROR(__xludf.DUMMYFUNCTION("SUMPRODUCT((IMPORTRANGE(""17XjIPGwafStTRf_8bPPaoi2EFjHVy10_rRJ0uvy6YcU"",""M:M"")=B31)*1, IMPORTRANGE(""17XjIPGwafStTRf_8bPPaoi2EFjHVy10_rRJ0uvy6YcU"",""X:X""), IMPORTRANGE(""17XjIPGwafStTRf_8bPPaoi2EFjHVy10_rRJ0uvy6YcU"",""AO:AO""))"),39420.53971438067)</f>
        <v>39420.53971</v>
      </c>
      <c r="F31" s="25">
        <f>IFERROR(__xludf.DUMMYFUNCTION("SUMPRODUCT((IMPORTRANGE(""17XjIPGwafStTRf_8bPPaoi2EFjHVy10_rRJ0uvy6YcU"",""M:M"")=B31)*1, IMPORTRANGE(""17XjIPGwafStTRf_8bPPaoi2EFjHVy10_rRJ0uvy6YcU"",""X:X""))"),37.0)</f>
        <v>37</v>
      </c>
      <c r="G31" s="26">
        <f>IFERROR(__xludf.DUMMYFUNCTION("COUNTIF(IMPORTRANGE(""17XjIPGwafStTRf_8bPPaoi2EFjHVy10_rRJ0uvy6YcU"",""M:M""), B31)"),21.0)</f>
        <v>21</v>
      </c>
      <c r="H31" s="27">
        <f t="shared" si="1"/>
        <v>1.761904762</v>
      </c>
      <c r="I31" s="28">
        <f t="shared" si="2"/>
        <v>0.203176665</v>
      </c>
      <c r="J31" s="29">
        <f t="shared" si="3"/>
        <v>0.3068618622</v>
      </c>
      <c r="K31" s="30"/>
      <c r="L31" s="31" t="str">
        <f t="shared" si="4"/>
        <v/>
      </c>
      <c r="M31" s="31" t="str">
        <f t="shared" si="5"/>
        <v/>
      </c>
      <c r="N31" s="4"/>
    </row>
    <row r="32">
      <c r="A32" s="1"/>
      <c r="B32" s="23">
        <f t="shared" si="6"/>
        <v>44647</v>
      </c>
      <c r="C32" s="24">
        <f>IFERROR(__xludf.DUMMYFUNCTION("SUMPRODUCT((IMPORTRANGE(""17XjIPGwafStTRf_8bPPaoi2EFjHVy10_rRJ0uvy6YcU"",""M:M"")=B32)*1, IMPORTRANGE(""17XjIPGwafStTRf_8bPPaoi2EFjHVy10_rRJ0uvy6YcU"",""X:X""), IMPORTRANGE(""17XjIPGwafStTRf_8bPPaoi2EFjHVy10_rRJ0uvy6YcU"",""AK:AK"")) - SUMPRODUCT((IMPORTR"&amp;"ANGE(""17XjIPGwafStTRf_8bPPaoi2EFjHVy10_rRJ0uvy6YcU"",""M:M"")=B32)*1, IMPORTRANGE(""17XjIPGwafStTRf_8bPPaoi2EFjHVy10_rRJ0uvy6YcU"",""X:X""), IMPORTRANGE(""17XjIPGwafStTRf_8bPPaoi2EFjHVy10_rRJ0uvy6YcU"",""AL:AL""))"),389041.0)</f>
        <v>389041</v>
      </c>
      <c r="D32" s="24">
        <f>IFERROR(__xludf.DUMMYFUNCTION("SUMPRODUCT((IMPORTRANGE(""17XjIPGwafStTRf_8bPPaoi2EFjHVy10_rRJ0uvy6YcU"",""M:M"")=B32)*1, IMPORTRANGE(""17XjIPGwafStTRf_8bPPaoi2EFjHVy10_rRJ0uvy6YcU"",""X:X""), IMPORTRANGE(""17XjIPGwafStTRf_8bPPaoi2EFjHVy10_rRJ0uvy6YcU"",""AA:AA"")) + SUMPRODUCT((IMPORTR"&amp;"ANGE(""17XjIPGwafStTRf_8bPPaoi2EFjHVy10_rRJ0uvy6YcU"",""M:M"")=B32)*1, IMPORTRANGE(""17XjIPGwafStTRf_8bPPaoi2EFjHVy10_rRJ0uvy6YcU"",""X:X""), IMPORTRANGE(""17XjIPGwafStTRf_8bPPaoi2EFjHVy10_rRJ0uvy6YcU"",""AE:AE"")) + SUMPRODUCT((IMPORTRANGE(""17XjIPGwafSt"&amp;"TRf_8bPPaoi2EFjHVy10_rRJ0uvy6YcU"",""M:M"")=B32)*1, IMPORTRANGE(""17XjIPGwafStTRf_8bPPaoi2EFjHVy10_rRJ0uvy6YcU"",""X:X""), IMPORTRANGE(""17XjIPGwafStTRf_8bPPaoi2EFjHVy10_rRJ0uvy6YcU"",""AF:AF""))"),211813.44491813687)</f>
        <v>211813.4449</v>
      </c>
      <c r="E32" s="24">
        <f>IFERROR(__xludf.DUMMYFUNCTION("SUMPRODUCT((IMPORTRANGE(""17XjIPGwafStTRf_8bPPaoi2EFjHVy10_rRJ0uvy6YcU"",""M:M"")=B32)*1, IMPORTRANGE(""17XjIPGwafStTRf_8bPPaoi2EFjHVy10_rRJ0uvy6YcU"",""X:X""), IMPORTRANGE(""17XjIPGwafStTRf_8bPPaoi2EFjHVy10_rRJ0uvy6YcU"",""AO:AO""))"),70656.95508186314)</f>
        <v>70656.95508</v>
      </c>
      <c r="F32" s="25">
        <f>IFERROR(__xludf.DUMMYFUNCTION("SUMPRODUCT((IMPORTRANGE(""17XjIPGwafStTRf_8bPPaoi2EFjHVy10_rRJ0uvy6YcU"",""M:M"")=B32)*1, IMPORTRANGE(""17XjIPGwafStTRf_8bPPaoi2EFjHVy10_rRJ0uvy6YcU"",""X:X""))"),154.0)</f>
        <v>154</v>
      </c>
      <c r="G32" s="26">
        <f>IFERROR(__xludf.DUMMYFUNCTION("COUNTIF(IMPORTRANGE(""17XjIPGwafStTRf_8bPPaoi2EFjHVy10_rRJ0uvy6YcU"",""M:M""), B32)"),31.0)</f>
        <v>31</v>
      </c>
      <c r="H32" s="27">
        <f t="shared" si="1"/>
        <v>4.967741935</v>
      </c>
      <c r="I32" s="28">
        <f t="shared" si="2"/>
        <v>0.1816182744</v>
      </c>
      <c r="J32" s="29">
        <f t="shared" si="3"/>
        <v>0.3335810676</v>
      </c>
      <c r="K32" s="32"/>
      <c r="L32" s="31" t="str">
        <f t="shared" si="4"/>
        <v/>
      </c>
      <c r="M32" s="31" t="str">
        <f t="shared" si="5"/>
        <v/>
      </c>
      <c r="N32" s="4"/>
    </row>
    <row r="33">
      <c r="A33" s="1"/>
      <c r="B33" s="23">
        <f t="shared" si="6"/>
        <v>44648</v>
      </c>
      <c r="C33" s="24">
        <f>IFERROR(__xludf.DUMMYFUNCTION("SUMPRODUCT((IMPORTRANGE(""17XjIPGwafStTRf_8bPPaoi2EFjHVy10_rRJ0uvy6YcU"",""M:M"")=B33)*1, IMPORTRANGE(""17XjIPGwafStTRf_8bPPaoi2EFjHVy10_rRJ0uvy6YcU"",""X:X""), IMPORTRANGE(""17XjIPGwafStTRf_8bPPaoi2EFjHVy10_rRJ0uvy6YcU"",""AK:AK"")) - SUMPRODUCT((IMPORTR"&amp;"ANGE(""17XjIPGwafStTRf_8bPPaoi2EFjHVy10_rRJ0uvy6YcU"",""M:M"")=B33)*1, IMPORTRANGE(""17XjIPGwafStTRf_8bPPaoi2EFjHVy10_rRJ0uvy6YcU"",""X:X""), IMPORTRANGE(""17XjIPGwafStTRf_8bPPaoi2EFjHVy10_rRJ0uvy6YcU"",""AL:AL""))"),408967.0)</f>
        <v>408967</v>
      </c>
      <c r="D33" s="24">
        <f>IFERROR(__xludf.DUMMYFUNCTION("SUMPRODUCT((IMPORTRANGE(""17XjIPGwafStTRf_8bPPaoi2EFjHVy10_rRJ0uvy6YcU"",""M:M"")=B33)*1, IMPORTRANGE(""17XjIPGwafStTRf_8bPPaoi2EFjHVy10_rRJ0uvy6YcU"",""X:X""), IMPORTRANGE(""17XjIPGwafStTRf_8bPPaoi2EFjHVy10_rRJ0uvy6YcU"",""AA:AA"")) + SUMPRODUCT((IMPORTR"&amp;"ANGE(""17XjIPGwafStTRf_8bPPaoi2EFjHVy10_rRJ0uvy6YcU"",""M:M"")=B33)*1, IMPORTRANGE(""17XjIPGwafStTRf_8bPPaoi2EFjHVy10_rRJ0uvy6YcU"",""X:X""), IMPORTRANGE(""17XjIPGwafStTRf_8bPPaoi2EFjHVy10_rRJ0uvy6YcU"",""AE:AE"")) + SUMPRODUCT((IMPORTRANGE(""17XjIPGwafSt"&amp;"TRf_8bPPaoi2EFjHVy10_rRJ0uvy6YcU"",""M:M"")=B33)*1, IMPORTRANGE(""17XjIPGwafStTRf_8bPPaoi2EFjHVy10_rRJ0uvy6YcU"",""X:X""), IMPORTRANGE(""17XjIPGwafStTRf_8bPPaoi2EFjHVy10_rRJ0uvy6YcU"",""AF:AF""))"),254379.2921661837)</f>
        <v>254379.2922</v>
      </c>
      <c r="E33" s="24">
        <f>IFERROR(__xludf.DUMMYFUNCTION("SUMPRODUCT((IMPORTRANGE(""17XjIPGwafStTRf_8bPPaoi2EFjHVy10_rRJ0uvy6YcU"",""M:M"")=B33)*1, IMPORTRANGE(""17XjIPGwafStTRf_8bPPaoi2EFjHVy10_rRJ0uvy6YcU"",""X:X""), IMPORTRANGE(""17XjIPGwafStTRf_8bPPaoi2EFjHVy10_rRJ0uvy6YcU"",""AO:AO""))"),69638.1513325284)</f>
        <v>69638.15133</v>
      </c>
      <c r="F33" s="25">
        <f>IFERROR(__xludf.DUMMYFUNCTION("SUMPRODUCT((IMPORTRANGE(""17XjIPGwafStTRf_8bPPaoi2EFjHVy10_rRJ0uvy6YcU"",""M:M"")=B33)*1, IMPORTRANGE(""17XjIPGwafStTRf_8bPPaoi2EFjHVy10_rRJ0uvy6YcU"",""X:X""))"),60.0)</f>
        <v>60</v>
      </c>
      <c r="G33" s="26">
        <f>IFERROR(__xludf.DUMMYFUNCTION("COUNTIF(IMPORTRANGE(""17XjIPGwafStTRf_8bPPaoi2EFjHVy10_rRJ0uvy6YcU"",""M:M""), B33)"),24.0)</f>
        <v>24</v>
      </c>
      <c r="H33" s="27">
        <f t="shared" si="1"/>
        <v>2.5</v>
      </c>
      <c r="I33" s="28">
        <f t="shared" si="2"/>
        <v>0.1702781675</v>
      </c>
      <c r="J33" s="29">
        <f t="shared" si="3"/>
        <v>0.2737571551</v>
      </c>
      <c r="K33" s="30"/>
      <c r="L33" s="31" t="str">
        <f t="shared" si="4"/>
        <v/>
      </c>
      <c r="M33" s="31" t="str">
        <f t="shared" si="5"/>
        <v/>
      </c>
      <c r="N33" s="4"/>
    </row>
    <row r="34">
      <c r="A34" s="1"/>
      <c r="B34" s="23">
        <f t="shared" ref="B34:B36" si="7">IFERROR(IF(MONTH(B33)=MONTH(B33+1),B33+1,"--"),"--")</f>
        <v>44649</v>
      </c>
      <c r="C34" s="24">
        <f>IFERROR(__xludf.DUMMYFUNCTION("SUMPRODUCT((IMPORTRANGE(""17XjIPGwafStTRf_8bPPaoi2EFjHVy10_rRJ0uvy6YcU"",""M:M"")=B34)*1, IMPORTRANGE(""17XjIPGwafStTRf_8bPPaoi2EFjHVy10_rRJ0uvy6YcU"",""X:X""), IMPORTRANGE(""17XjIPGwafStTRf_8bPPaoi2EFjHVy10_rRJ0uvy6YcU"",""AK:AK"")) - SUMPRODUCT((IMPORTR"&amp;"ANGE(""17XjIPGwafStTRf_8bPPaoi2EFjHVy10_rRJ0uvy6YcU"",""M:M"")=B34)*1, IMPORTRANGE(""17XjIPGwafStTRf_8bPPaoi2EFjHVy10_rRJ0uvy6YcU"",""X:X""), IMPORTRANGE(""17XjIPGwafStTRf_8bPPaoi2EFjHVy10_rRJ0uvy6YcU"",""AL:AL""))"),818368.0)</f>
        <v>818368</v>
      </c>
      <c r="D34" s="24">
        <f>IFERROR(__xludf.DUMMYFUNCTION("SUMPRODUCT((IMPORTRANGE(""17XjIPGwafStTRf_8bPPaoi2EFjHVy10_rRJ0uvy6YcU"",""M:M"")=B34)*1, IMPORTRANGE(""17XjIPGwafStTRf_8bPPaoi2EFjHVy10_rRJ0uvy6YcU"",""X:X""), IMPORTRANGE(""17XjIPGwafStTRf_8bPPaoi2EFjHVy10_rRJ0uvy6YcU"",""AA:AA"")) + SUMPRODUCT((IMPORTR"&amp;"ANGE(""17XjIPGwafStTRf_8bPPaoi2EFjHVy10_rRJ0uvy6YcU"",""M:M"")=B34)*1, IMPORTRANGE(""17XjIPGwafStTRf_8bPPaoi2EFjHVy10_rRJ0uvy6YcU"",""X:X""), IMPORTRANGE(""17XjIPGwafStTRf_8bPPaoi2EFjHVy10_rRJ0uvy6YcU"",""AE:AE"")) + SUMPRODUCT((IMPORTRANGE(""17XjIPGwafSt"&amp;"TRf_8bPPaoi2EFjHVy10_rRJ0uvy6YcU"",""M:M"")=B34)*1, IMPORTRANGE(""17XjIPGwafStTRf_8bPPaoi2EFjHVy10_rRJ0uvy6YcU"",""X:X""), IMPORTRANGE(""17XjIPGwafStTRf_8bPPaoi2EFjHVy10_rRJ0uvy6YcU"",""AF:AF""))"),507066.10178279725)</f>
        <v>507066.1018</v>
      </c>
      <c r="E34" s="24">
        <f>IFERROR(__xludf.DUMMYFUNCTION("SUMPRODUCT((IMPORTRANGE(""17XjIPGwafStTRf_8bPPaoi2EFjHVy10_rRJ0uvy6YcU"",""M:M"")=B34)*1, IMPORTRANGE(""17XjIPGwafStTRf_8bPPaoi2EFjHVy10_rRJ0uvy6YcU"",""X:X""), IMPORTRANGE(""17XjIPGwafStTRf_8bPPaoi2EFjHVy10_rRJ0uvy6YcU"",""AO:AO""))"),154275.73243256484)</f>
        <v>154275.7324</v>
      </c>
      <c r="F34" s="25">
        <f>IFERROR(__xludf.DUMMYFUNCTION("SUMPRODUCT((IMPORTRANGE(""17XjIPGwafStTRf_8bPPaoi2EFjHVy10_rRJ0uvy6YcU"",""M:M"")=B34)*1, IMPORTRANGE(""17XjIPGwafStTRf_8bPPaoi2EFjHVy10_rRJ0uvy6YcU"",""X:X""))"),177.0)</f>
        <v>177</v>
      </c>
      <c r="G34" s="26">
        <f>IFERROR(__xludf.DUMMYFUNCTION("COUNTIF(IMPORTRANGE(""17XjIPGwafStTRf_8bPPaoi2EFjHVy10_rRJ0uvy6YcU"",""M:M""), B34)"),43.0)</f>
        <v>43</v>
      </c>
      <c r="H34" s="27">
        <f t="shared" si="1"/>
        <v>4.11627907</v>
      </c>
      <c r="I34" s="28">
        <f t="shared" si="2"/>
        <v>0.1885163306</v>
      </c>
      <c r="J34" s="29">
        <f t="shared" si="3"/>
        <v>0.3042517177</v>
      </c>
      <c r="K34" s="30"/>
      <c r="L34" s="31" t="str">
        <f t="shared" si="4"/>
        <v/>
      </c>
      <c r="M34" s="31" t="str">
        <f t="shared" si="5"/>
        <v/>
      </c>
      <c r="N34" s="4"/>
    </row>
    <row r="35">
      <c r="A35" s="1"/>
      <c r="B35" s="23">
        <f t="shared" si="7"/>
        <v>44650</v>
      </c>
      <c r="C35" s="24">
        <f>IFERROR(__xludf.DUMMYFUNCTION("SUMPRODUCT((IMPORTRANGE(""17XjIPGwafStTRf_8bPPaoi2EFjHVy10_rRJ0uvy6YcU"",""M:M"")=B35)*1, IMPORTRANGE(""17XjIPGwafStTRf_8bPPaoi2EFjHVy10_rRJ0uvy6YcU"",""X:X""), IMPORTRANGE(""17XjIPGwafStTRf_8bPPaoi2EFjHVy10_rRJ0uvy6YcU"",""AK:AK"")) - SUMPRODUCT((IMPORTR"&amp;"ANGE(""17XjIPGwafStTRf_8bPPaoi2EFjHVy10_rRJ0uvy6YcU"",""M:M"")=B35)*1, IMPORTRANGE(""17XjIPGwafStTRf_8bPPaoi2EFjHVy10_rRJ0uvy6YcU"",""X:X""), IMPORTRANGE(""17XjIPGwafStTRf_8bPPaoi2EFjHVy10_rRJ0uvy6YcU"",""AL:AL""))"),359152.0)</f>
        <v>359152</v>
      </c>
      <c r="D35" s="24">
        <f>IFERROR(__xludf.DUMMYFUNCTION("SUMPRODUCT((IMPORTRANGE(""17XjIPGwafStTRf_8bPPaoi2EFjHVy10_rRJ0uvy6YcU"",""M:M"")=B35)*1, IMPORTRANGE(""17XjIPGwafStTRf_8bPPaoi2EFjHVy10_rRJ0uvy6YcU"",""X:X""), IMPORTRANGE(""17XjIPGwafStTRf_8bPPaoi2EFjHVy10_rRJ0uvy6YcU"",""AA:AA"")) + SUMPRODUCT((IMPORTR"&amp;"ANGE(""17XjIPGwafStTRf_8bPPaoi2EFjHVy10_rRJ0uvy6YcU"",""M:M"")=B35)*1, IMPORTRANGE(""17XjIPGwafStTRf_8bPPaoi2EFjHVy10_rRJ0uvy6YcU"",""X:X""), IMPORTRANGE(""17XjIPGwafStTRf_8bPPaoi2EFjHVy10_rRJ0uvy6YcU"",""AE:AE"")) + SUMPRODUCT((IMPORTRANGE(""17XjIPGwafSt"&amp;"TRf_8bPPaoi2EFjHVy10_rRJ0uvy6YcU"",""M:M"")=B35)*1, IMPORTRANGE(""17XjIPGwafStTRf_8bPPaoi2EFjHVy10_rRJ0uvy6YcU"",""X:X""), IMPORTRANGE(""17XjIPGwafStTRf_8bPPaoi2EFjHVy10_rRJ0uvy6YcU"",""AF:AF""))"),190959.35058111628)</f>
        <v>190959.3506</v>
      </c>
      <c r="E35" s="24">
        <f>IFERROR(__xludf.DUMMYFUNCTION("SUMPRODUCT((IMPORTRANGE(""17XjIPGwafStTRf_8bPPaoi2EFjHVy10_rRJ0uvy6YcU"",""M:M"")=B35)*1, IMPORTRANGE(""17XjIPGwafStTRf_8bPPaoi2EFjHVy10_rRJ0uvy6YcU"",""X:X""), IMPORTRANGE(""17XjIPGwafStTRf_8bPPaoi2EFjHVy10_rRJ0uvy6YcU"",""AO:AO""))"),93934.97374320804)</f>
        <v>93934.97374</v>
      </c>
      <c r="F35" s="25">
        <f>IFERROR(__xludf.DUMMYFUNCTION("SUMPRODUCT((IMPORTRANGE(""17XjIPGwafStTRf_8bPPaoi2EFjHVy10_rRJ0uvy6YcU"",""M:M"")=B35)*1, IMPORTRANGE(""17XjIPGwafStTRf_8bPPaoi2EFjHVy10_rRJ0uvy6YcU"",""X:X""))"),92.0)</f>
        <v>92</v>
      </c>
      <c r="G35" s="26">
        <f>IFERROR(__xludf.DUMMYFUNCTION("COUNTIF(IMPORTRANGE(""17XjIPGwafStTRf_8bPPaoi2EFjHVy10_rRJ0uvy6YcU"",""M:M""), B35)"),33.0)</f>
        <v>33</v>
      </c>
      <c r="H35" s="27">
        <f t="shared" si="1"/>
        <v>2.787878788</v>
      </c>
      <c r="I35" s="28">
        <f t="shared" si="2"/>
        <v>0.2615465701</v>
      </c>
      <c r="J35" s="29">
        <f t="shared" si="3"/>
        <v>0.4919108358</v>
      </c>
      <c r="K35" s="32"/>
      <c r="L35" s="31" t="str">
        <f t="shared" si="4"/>
        <v/>
      </c>
      <c r="M35" s="31" t="str">
        <f t="shared" si="5"/>
        <v/>
      </c>
      <c r="N35" s="4"/>
    </row>
    <row r="36">
      <c r="A36" s="1"/>
      <c r="B36" s="23">
        <f t="shared" si="7"/>
        <v>44651</v>
      </c>
      <c r="C36" s="24">
        <f>IFERROR(__xludf.DUMMYFUNCTION("SUMPRODUCT((IMPORTRANGE(""17XjIPGwafStTRf_8bPPaoi2EFjHVy10_rRJ0uvy6YcU"",""M:M"")=B36)*1, IMPORTRANGE(""17XjIPGwafStTRf_8bPPaoi2EFjHVy10_rRJ0uvy6YcU"",""X:X""), IMPORTRANGE(""17XjIPGwafStTRf_8bPPaoi2EFjHVy10_rRJ0uvy6YcU"",""AK:AK"")) - SUMPRODUCT((IMPORTR"&amp;"ANGE(""17XjIPGwafStTRf_8bPPaoi2EFjHVy10_rRJ0uvy6YcU"",""M:M"")=B36)*1, IMPORTRANGE(""17XjIPGwafStTRf_8bPPaoi2EFjHVy10_rRJ0uvy6YcU"",""X:X""), IMPORTRANGE(""17XjIPGwafStTRf_8bPPaoi2EFjHVy10_rRJ0uvy6YcU"",""AL:AL""))"),383683.0)</f>
        <v>383683</v>
      </c>
      <c r="D36" s="24">
        <f>IFERROR(__xludf.DUMMYFUNCTION("SUMPRODUCT((IMPORTRANGE(""17XjIPGwafStTRf_8bPPaoi2EFjHVy10_rRJ0uvy6YcU"",""M:M"")=B36)*1, IMPORTRANGE(""17XjIPGwafStTRf_8bPPaoi2EFjHVy10_rRJ0uvy6YcU"",""X:X""), IMPORTRANGE(""17XjIPGwafStTRf_8bPPaoi2EFjHVy10_rRJ0uvy6YcU"",""AA:AA"")) + SUMPRODUCT((IMPORTR"&amp;"ANGE(""17XjIPGwafStTRf_8bPPaoi2EFjHVy10_rRJ0uvy6YcU"",""M:M"")=B36)*1, IMPORTRANGE(""17XjIPGwafStTRf_8bPPaoi2EFjHVy10_rRJ0uvy6YcU"",""X:X""), IMPORTRANGE(""17XjIPGwafStTRf_8bPPaoi2EFjHVy10_rRJ0uvy6YcU"",""AE:AE"")) + SUMPRODUCT((IMPORTRANGE(""17XjIPGwafSt"&amp;"TRf_8bPPaoi2EFjHVy10_rRJ0uvy6YcU"",""M:M"")=B36)*1, IMPORTRANGE(""17XjIPGwafStTRf_8bPPaoi2EFjHVy10_rRJ0uvy6YcU"",""X:X""), IMPORTRANGE(""17XjIPGwafStTRf_8bPPaoi2EFjHVy10_rRJ0uvy6YcU"",""AF:AF""))"),240825.7223816491)</f>
        <v>240825.7224</v>
      </c>
      <c r="E36" s="24">
        <f>IFERROR(__xludf.DUMMYFUNCTION("SUMPRODUCT((IMPORTRANGE(""17XjIPGwafStTRf_8bPPaoi2EFjHVy10_rRJ0uvy6YcU"",""M:M"")=B36)*1, IMPORTRANGE(""17XjIPGwafStTRf_8bPPaoi2EFjHVy10_rRJ0uvy6YcU"",""X:X""), IMPORTRANGE(""17XjIPGwafStTRf_8bPPaoi2EFjHVy10_rRJ0uvy6YcU"",""AO:AO""))"),78270.30236751468)</f>
        <v>78270.30237</v>
      </c>
      <c r="F36" s="25">
        <f>IFERROR(__xludf.DUMMYFUNCTION("SUMPRODUCT((IMPORTRANGE(""17XjIPGwafStTRf_8bPPaoi2EFjHVy10_rRJ0uvy6YcU"",""M:M"")=B36)*1, IMPORTRANGE(""17XjIPGwafStTRf_8bPPaoi2EFjHVy10_rRJ0uvy6YcU"",""X:X""))"),87.0)</f>
        <v>87</v>
      </c>
      <c r="G36" s="26">
        <f>IFERROR(__xludf.DUMMYFUNCTION("COUNTIF(IMPORTRANGE(""17XjIPGwafStTRf_8bPPaoi2EFjHVy10_rRJ0uvy6YcU"",""M:M""), B36)"),39.0)</f>
        <v>39</v>
      </c>
      <c r="H36" s="27">
        <f t="shared" si="1"/>
        <v>2.230769231</v>
      </c>
      <c r="I36" s="28">
        <f t="shared" si="2"/>
        <v>0.2039973165</v>
      </c>
      <c r="J36" s="29">
        <f t="shared" si="3"/>
        <v>0.3250080664</v>
      </c>
      <c r="K36" s="30"/>
      <c r="L36" s="31" t="str">
        <f>if(B36="","",IF(K36="","",E36/K36))</f>
        <v/>
      </c>
      <c r="M36" s="31" t="str">
        <f>if(B36="","",IF(K36="","",D36/K36))</f>
        <v/>
      </c>
      <c r="N36" s="4"/>
    </row>
    <row r="37">
      <c r="A37" s="4"/>
      <c r="B37" s="33" t="s">
        <v>16</v>
      </c>
      <c r="C37" s="34">
        <f t="shared" ref="C37:H37" si="8">SUM(C6:C36)</f>
        <v>15740846</v>
      </c>
      <c r="D37" s="34">
        <f t="shared" si="8"/>
        <v>9945674.012</v>
      </c>
      <c r="E37" s="34">
        <f t="shared" si="8"/>
        <v>3193483.055</v>
      </c>
      <c r="F37" s="34">
        <f t="shared" si="8"/>
        <v>3020</v>
      </c>
      <c r="G37" s="34">
        <f t="shared" si="8"/>
        <v>924</v>
      </c>
      <c r="H37" s="34">
        <f t="shared" si="8"/>
        <v>89.91158349</v>
      </c>
      <c r="I37" s="35">
        <f t="shared" si="2"/>
        <v>0.2028787433</v>
      </c>
      <c r="J37" s="35">
        <f t="shared" si="3"/>
        <v>0.3210926732</v>
      </c>
      <c r="K37" s="33">
        <f>SUM(K6:K36)</f>
        <v>0</v>
      </c>
      <c r="L37" s="34" t="str">
        <f>iferror(IF(K37="","",E37/K37),"")</f>
        <v/>
      </c>
      <c r="M37" s="34" t="str">
        <f>iferror(IF(K37="","",D37/K37),"")</f>
        <v/>
      </c>
      <c r="N37" s="4"/>
    </row>
    <row r="38">
      <c r="A38" s="4"/>
      <c r="B38" s="4"/>
      <c r="C38" s="4"/>
      <c r="D38" s="36" t="s">
        <v>17</v>
      </c>
      <c r="E38" s="4"/>
      <c r="F38" s="4"/>
      <c r="G38" s="4"/>
      <c r="H38" s="4"/>
      <c r="I38" s="4"/>
      <c r="J38" s="4"/>
      <c r="K38" s="4"/>
      <c r="L38" s="4"/>
      <c r="M38" s="4"/>
      <c r="N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.25"/>
    <col customWidth="1" min="2" max="2" width="7.38"/>
    <col customWidth="1" min="3" max="5" width="11.38"/>
    <col customWidth="1" min="6" max="8" width="5.75"/>
    <col customWidth="1" min="9" max="11" width="8.88"/>
    <col customWidth="1" min="12" max="13" width="11.38"/>
    <col customWidth="1" min="14" max="14" width="2.38"/>
  </cols>
  <sheetData>
    <row r="1" ht="7.5" customHeight="1">
      <c r="A1" s="1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</row>
    <row r="2">
      <c r="A2" s="1"/>
      <c r="B2" s="5">
        <v>44593.0</v>
      </c>
      <c r="C2" s="6"/>
      <c r="D2" s="3"/>
      <c r="E2" s="4"/>
      <c r="F2" s="4"/>
      <c r="G2" s="4"/>
      <c r="H2" s="4"/>
      <c r="I2" s="4"/>
      <c r="J2" s="4"/>
      <c r="K2" s="4"/>
      <c r="L2" s="7" t="s">
        <v>0</v>
      </c>
      <c r="M2" s="8">
        <v>1.5</v>
      </c>
      <c r="N2" s="4"/>
    </row>
    <row r="3">
      <c r="A3" s="4"/>
      <c r="B3" s="9" t="s">
        <v>1</v>
      </c>
      <c r="C3" s="10">
        <f>iferror((E3*M2)/I37,"")</f>
        <v>15542607.51</v>
      </c>
      <c r="D3" s="11" t="s">
        <v>2</v>
      </c>
      <c r="E3" s="12">
        <v>2000000.0</v>
      </c>
      <c r="F3" s="13"/>
      <c r="G3" s="4"/>
      <c r="H3" s="4"/>
      <c r="I3" s="4"/>
      <c r="J3" s="4"/>
      <c r="K3" s="4"/>
      <c r="L3" s="14"/>
      <c r="M3" s="15"/>
      <c r="N3" s="13"/>
    </row>
    <row r="4">
      <c r="A4" s="4"/>
      <c r="B4" s="9" t="s">
        <v>3</v>
      </c>
      <c r="C4" s="16">
        <f>iferror(C37/C3,"")</f>
        <v>0.8913979842</v>
      </c>
      <c r="D4" s="9"/>
      <c r="E4" s="16"/>
      <c r="F4" s="4"/>
      <c r="G4" s="4"/>
      <c r="H4" s="4"/>
      <c r="I4" s="4"/>
      <c r="J4" s="4"/>
      <c r="K4" s="17"/>
      <c r="L4" s="4"/>
      <c r="M4" s="4"/>
      <c r="N4" s="4"/>
    </row>
    <row r="5" ht="28.5" customHeight="1">
      <c r="A5" s="18"/>
      <c r="B5" s="19" t="s">
        <v>4</v>
      </c>
      <c r="C5" s="20" t="s">
        <v>5</v>
      </c>
      <c r="D5" s="20" t="s">
        <v>6</v>
      </c>
      <c r="E5" s="20" t="s">
        <v>7</v>
      </c>
      <c r="F5" s="21" t="s">
        <v>8</v>
      </c>
      <c r="G5" s="22" t="s">
        <v>9</v>
      </c>
      <c r="H5" s="22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18"/>
    </row>
    <row r="6">
      <c r="A6" s="1"/>
      <c r="B6" s="23">
        <f>B2</f>
        <v>44593</v>
      </c>
      <c r="C6" s="24">
        <f>IFERROR(__xludf.DUMMYFUNCTION("SUMPRODUCT((IMPORTRANGE(""17XjIPGwafStTRf_8bPPaoi2EFjHVy10_rRJ0uvy6YcU"",""M:M"")=B6)*1, IMPORTRANGE(""17XjIPGwafStTRf_8bPPaoi2EFjHVy10_rRJ0uvy6YcU"",""X:X""), IMPORTRANGE(""17XjIPGwafStTRf_8bPPaoi2EFjHVy10_rRJ0uvy6YcU"",""AK:AK"")) - SUMPRODUCT((IMPORTRA"&amp;"NGE(""17XjIPGwafStTRf_8bPPaoi2EFjHVy10_rRJ0uvy6YcU"",""M:M"")=B6)*1, IMPORTRANGE(""17XjIPGwafStTRf_8bPPaoi2EFjHVy10_rRJ0uvy6YcU"",""X:X""), IMPORTRANGE(""17XjIPGwafStTRf_8bPPaoi2EFjHVy10_rRJ0uvy6YcU"",""AL:AL""))"),581039.0)</f>
        <v>581039</v>
      </c>
      <c r="D6" s="24">
        <f>IFERROR(__xludf.DUMMYFUNCTION("SUMPRODUCT((IMPORTRANGE(""17XjIPGwafStTRf_8bPPaoi2EFjHVy10_rRJ0uvy6YcU"",""M:M"")=B6)*1, IMPORTRANGE(""17XjIPGwafStTRf_8bPPaoi2EFjHVy10_rRJ0uvy6YcU"",""X:X""), IMPORTRANGE(""17XjIPGwafStTRf_8bPPaoi2EFjHVy10_rRJ0uvy6YcU"",""AA:AA"")) + SUMPRODUCT((IMPORTRA"&amp;"NGE(""17XjIPGwafStTRf_8bPPaoi2EFjHVy10_rRJ0uvy6YcU"",""M:M"")=B6)*1, IMPORTRANGE(""17XjIPGwafStTRf_8bPPaoi2EFjHVy10_rRJ0uvy6YcU"",""X:X""), IMPORTRANGE(""17XjIPGwafStTRf_8bPPaoi2EFjHVy10_rRJ0uvy6YcU"",""AE:AE"")) + SUMPRODUCT((IMPORTRANGE(""17XjIPGwafStTR"&amp;"f_8bPPaoi2EFjHVy10_rRJ0uvy6YcU"",""M:M"")=B6)*1, IMPORTRANGE(""17XjIPGwafStTRf_8bPPaoi2EFjHVy10_rRJ0uvy6YcU"",""X:X""), IMPORTRANGE(""17XjIPGwafStTRf_8bPPaoi2EFjHVy10_rRJ0uvy6YcU"",""AF:AF""))"),411360.21080191876)</f>
        <v>411360.2108</v>
      </c>
      <c r="E6" s="24">
        <f>IFERROR(__xludf.DUMMYFUNCTION("SUMPRODUCT((IMPORTRANGE(""17XjIPGwafStTRf_8bPPaoi2EFjHVy10_rRJ0uvy6YcU"",""M:M"")=B6)*1, IMPORTRANGE(""17XjIPGwafStTRf_8bPPaoi2EFjHVy10_rRJ0uvy6YcU"",""X:X""), IMPORTRANGE(""17XjIPGwafStTRf_8bPPaoi2EFjHVy10_rRJ0uvy6YcU"",""AO:AO""))"),86264.47524697907)</f>
        <v>86264.47525</v>
      </c>
      <c r="F6" s="25">
        <f>IFERROR(__xludf.DUMMYFUNCTION("SUMPRODUCT((IMPORTRANGE(""17XjIPGwafStTRf_8bPPaoi2EFjHVy10_rRJ0uvy6YcU"",""M:M"")=B6)*1, IMPORTRANGE(""17XjIPGwafStTRf_8bPPaoi2EFjHVy10_rRJ0uvy6YcU"",""X:X""))"),73.0)</f>
        <v>73</v>
      </c>
      <c r="G6" s="26">
        <f>IFERROR(__xludf.DUMMYFUNCTION("COUNTIF(IMPORTRANGE(""17XjIPGwafStTRf_8bPPaoi2EFjHVy10_rRJ0uvy6YcU"",""M:M""), B6)"),28.0)</f>
        <v>28</v>
      </c>
      <c r="H6" s="27">
        <f t="shared" ref="H6:H36" si="1">IF(F6=0,"",F6/G6)</f>
        <v>2.607142857</v>
      </c>
      <c r="I6" s="28">
        <f t="shared" ref="I6:I37" si="2">IF(C6=0,"",E6/C6)</f>
        <v>0.1484658951</v>
      </c>
      <c r="J6" s="29">
        <f t="shared" ref="J6:J37" si="3">IF(D6=0,"",E6/D6)</f>
        <v>0.209705443</v>
      </c>
      <c r="K6" s="30"/>
      <c r="L6" s="31" t="str">
        <f t="shared" ref="L6:L35" si="4">IF(K6="","",E6/K6)</f>
        <v/>
      </c>
      <c r="M6" s="31" t="str">
        <f t="shared" ref="M6:M35" si="5">IF(K6="","",D6/K6)</f>
        <v/>
      </c>
      <c r="N6" s="4"/>
    </row>
    <row r="7">
      <c r="A7" s="1"/>
      <c r="B7" s="23">
        <f t="shared" ref="B7:B33" si="6">B6+1</f>
        <v>44594</v>
      </c>
      <c r="C7" s="24">
        <f>IFERROR(__xludf.DUMMYFUNCTION("SUMPRODUCT((IMPORTRANGE(""17XjIPGwafStTRf_8bPPaoi2EFjHVy10_rRJ0uvy6YcU"",""M:M"")=B7)*1, IMPORTRANGE(""17XjIPGwafStTRf_8bPPaoi2EFjHVy10_rRJ0uvy6YcU"",""X:X""), IMPORTRANGE(""17XjIPGwafStTRf_8bPPaoi2EFjHVy10_rRJ0uvy6YcU"",""AK:AK"")) - SUMPRODUCT((IMPORTRA"&amp;"NGE(""17XjIPGwafStTRf_8bPPaoi2EFjHVy10_rRJ0uvy6YcU"",""M:M"")=B7)*1, IMPORTRANGE(""17XjIPGwafStTRf_8bPPaoi2EFjHVy10_rRJ0uvy6YcU"",""X:X""), IMPORTRANGE(""17XjIPGwafStTRf_8bPPaoi2EFjHVy10_rRJ0uvy6YcU"",""AL:AL""))"),393087.0)</f>
        <v>393087</v>
      </c>
      <c r="D7" s="24">
        <f>IFERROR(__xludf.DUMMYFUNCTION("SUMPRODUCT((IMPORTRANGE(""17XjIPGwafStTRf_8bPPaoi2EFjHVy10_rRJ0uvy6YcU"",""M:M"")=B7)*1, IMPORTRANGE(""17XjIPGwafStTRf_8bPPaoi2EFjHVy10_rRJ0uvy6YcU"",""X:X""), IMPORTRANGE(""17XjIPGwafStTRf_8bPPaoi2EFjHVy10_rRJ0uvy6YcU"",""AA:AA"")) + SUMPRODUCT((IMPORTRA"&amp;"NGE(""17XjIPGwafStTRf_8bPPaoi2EFjHVy10_rRJ0uvy6YcU"",""M:M"")=B7)*1, IMPORTRANGE(""17XjIPGwafStTRf_8bPPaoi2EFjHVy10_rRJ0uvy6YcU"",""X:X""), IMPORTRANGE(""17XjIPGwafStTRf_8bPPaoi2EFjHVy10_rRJ0uvy6YcU"",""AE:AE"")) + SUMPRODUCT((IMPORTRANGE(""17XjIPGwafStTR"&amp;"f_8bPPaoi2EFjHVy10_rRJ0uvy6YcU"",""M:M"")=B7)*1, IMPORTRANGE(""17XjIPGwafStTRf_8bPPaoi2EFjHVy10_rRJ0uvy6YcU"",""X:X""), IMPORTRANGE(""17XjIPGwafStTRf_8bPPaoi2EFjHVy10_rRJ0uvy6YcU"",""AF:AF""))"),257673.53138731307)</f>
        <v>257673.5314</v>
      </c>
      <c r="E7" s="24">
        <f>IFERROR(__xludf.DUMMYFUNCTION("SUMPRODUCT((IMPORTRANGE(""17XjIPGwafStTRf_8bPPaoi2EFjHVy10_rRJ0uvy6YcU"",""M:M"")=B7)*1, IMPORTRANGE(""17XjIPGwafStTRf_8bPPaoi2EFjHVy10_rRJ0uvy6YcU"",""X:X""), IMPORTRANGE(""17XjIPGwafStTRf_8bPPaoi2EFjHVy10_rRJ0uvy6YcU"",""AO:AO""))"),67204.11873245175)</f>
        <v>67204.11873</v>
      </c>
      <c r="F7" s="25">
        <f>IFERROR(__xludf.DUMMYFUNCTION("SUMPRODUCT((IMPORTRANGE(""17XjIPGwafStTRf_8bPPaoi2EFjHVy10_rRJ0uvy6YcU"",""M:M"")=B7)*1, IMPORTRANGE(""17XjIPGwafStTRf_8bPPaoi2EFjHVy10_rRJ0uvy6YcU"",""X:X""))"),57.0)</f>
        <v>57</v>
      </c>
      <c r="G7" s="26">
        <f>IFERROR(__xludf.DUMMYFUNCTION("COUNTIF(IMPORTRANGE(""17XjIPGwafStTRf_8bPPaoi2EFjHVy10_rRJ0uvy6YcU"",""M:M""), B7)"),24.0)</f>
        <v>24</v>
      </c>
      <c r="H7" s="27">
        <f t="shared" si="1"/>
        <v>2.375</v>
      </c>
      <c r="I7" s="28">
        <f t="shared" si="2"/>
        <v>0.1709649994</v>
      </c>
      <c r="J7" s="29">
        <f t="shared" si="3"/>
        <v>0.2608111061</v>
      </c>
      <c r="K7" s="30"/>
      <c r="L7" s="31" t="str">
        <f t="shared" si="4"/>
        <v/>
      </c>
      <c r="M7" s="31" t="str">
        <f t="shared" si="5"/>
        <v/>
      </c>
      <c r="N7" s="4"/>
    </row>
    <row r="8">
      <c r="A8" s="1"/>
      <c r="B8" s="23">
        <f t="shared" si="6"/>
        <v>44595</v>
      </c>
      <c r="C8" s="24">
        <f>IFERROR(__xludf.DUMMYFUNCTION("SUMPRODUCT((IMPORTRANGE(""17XjIPGwafStTRf_8bPPaoi2EFjHVy10_rRJ0uvy6YcU"",""M:M"")=B8)*1, IMPORTRANGE(""17XjIPGwafStTRf_8bPPaoi2EFjHVy10_rRJ0uvy6YcU"",""X:X""), IMPORTRANGE(""17XjIPGwafStTRf_8bPPaoi2EFjHVy10_rRJ0uvy6YcU"",""AK:AK"")) - SUMPRODUCT((IMPORTRA"&amp;"NGE(""17XjIPGwafStTRf_8bPPaoi2EFjHVy10_rRJ0uvy6YcU"",""M:M"")=B8)*1, IMPORTRANGE(""17XjIPGwafStTRf_8bPPaoi2EFjHVy10_rRJ0uvy6YcU"",""X:X""), IMPORTRANGE(""17XjIPGwafStTRf_8bPPaoi2EFjHVy10_rRJ0uvy6YcU"",""AL:AL""))"),393346.0)</f>
        <v>393346</v>
      </c>
      <c r="D8" s="24">
        <f>IFERROR(__xludf.DUMMYFUNCTION("SUMPRODUCT((IMPORTRANGE(""17XjIPGwafStTRf_8bPPaoi2EFjHVy10_rRJ0uvy6YcU"",""M:M"")=B8)*1, IMPORTRANGE(""17XjIPGwafStTRf_8bPPaoi2EFjHVy10_rRJ0uvy6YcU"",""X:X""), IMPORTRANGE(""17XjIPGwafStTRf_8bPPaoi2EFjHVy10_rRJ0uvy6YcU"",""AA:AA"")) + SUMPRODUCT((IMPORTRA"&amp;"NGE(""17XjIPGwafStTRf_8bPPaoi2EFjHVy10_rRJ0uvy6YcU"",""M:M"")=B8)*1, IMPORTRANGE(""17XjIPGwafStTRf_8bPPaoi2EFjHVy10_rRJ0uvy6YcU"",""X:X""), IMPORTRANGE(""17XjIPGwafStTRf_8bPPaoi2EFjHVy10_rRJ0uvy6YcU"",""AE:AE"")) + SUMPRODUCT((IMPORTRANGE(""17XjIPGwafStTR"&amp;"f_8bPPaoi2EFjHVy10_rRJ0uvy6YcU"",""M:M"")=B8)*1, IMPORTRANGE(""17XjIPGwafStTRf_8bPPaoi2EFjHVy10_rRJ0uvy6YcU"",""X:X""), IMPORTRANGE(""17XjIPGwafStTRf_8bPPaoi2EFjHVy10_rRJ0uvy6YcU"",""AF:AF""))"),216594.2613710058)</f>
        <v>216594.2614</v>
      </c>
      <c r="E8" s="24">
        <f>IFERROR(__xludf.DUMMYFUNCTION("SUMPRODUCT((IMPORTRANGE(""17XjIPGwafStTRf_8bPPaoi2EFjHVy10_rRJ0uvy6YcU"",""M:M"")=B8)*1, IMPORTRANGE(""17XjIPGwafStTRf_8bPPaoi2EFjHVy10_rRJ0uvy6YcU"",""X:X""), IMPORTRANGE(""17XjIPGwafStTRf_8bPPaoi2EFjHVy10_rRJ0uvy6YcU"",""AO:AO""))"),107581.01361818469)</f>
        <v>107581.0136</v>
      </c>
      <c r="F8" s="25">
        <f>IFERROR(__xludf.DUMMYFUNCTION("SUMPRODUCT((IMPORTRANGE(""17XjIPGwafStTRf_8bPPaoi2EFjHVy10_rRJ0uvy6YcU"",""M:M"")=B8)*1, IMPORTRANGE(""17XjIPGwafStTRf_8bPPaoi2EFjHVy10_rRJ0uvy6YcU"",""X:X""))"),68.0)</f>
        <v>68</v>
      </c>
      <c r="G8" s="26">
        <f>IFERROR(__xludf.DUMMYFUNCTION("COUNTIF(IMPORTRANGE(""17XjIPGwafStTRf_8bPPaoi2EFjHVy10_rRJ0uvy6YcU"",""M:M""), B8)"),22.0)</f>
        <v>22</v>
      </c>
      <c r="H8" s="27">
        <f t="shared" si="1"/>
        <v>3.090909091</v>
      </c>
      <c r="I8" s="28">
        <f t="shared" si="2"/>
        <v>0.2735022439</v>
      </c>
      <c r="J8" s="29">
        <f t="shared" si="3"/>
        <v>0.4966937394</v>
      </c>
      <c r="K8" s="30"/>
      <c r="L8" s="31" t="str">
        <f t="shared" si="4"/>
        <v/>
      </c>
      <c r="M8" s="31" t="str">
        <f t="shared" si="5"/>
        <v/>
      </c>
      <c r="N8" s="4"/>
    </row>
    <row r="9">
      <c r="A9" s="1"/>
      <c r="B9" s="23">
        <f t="shared" si="6"/>
        <v>44596</v>
      </c>
      <c r="C9" s="24">
        <f>IFERROR(__xludf.DUMMYFUNCTION("SUMPRODUCT((IMPORTRANGE(""17XjIPGwafStTRf_8bPPaoi2EFjHVy10_rRJ0uvy6YcU"",""M:M"")=B9)*1, IMPORTRANGE(""17XjIPGwafStTRf_8bPPaoi2EFjHVy10_rRJ0uvy6YcU"",""X:X""), IMPORTRANGE(""17XjIPGwafStTRf_8bPPaoi2EFjHVy10_rRJ0uvy6YcU"",""AK:AK"")) - SUMPRODUCT((IMPORTRA"&amp;"NGE(""17XjIPGwafStTRf_8bPPaoi2EFjHVy10_rRJ0uvy6YcU"",""M:M"")=B9)*1, IMPORTRANGE(""17XjIPGwafStTRf_8bPPaoi2EFjHVy10_rRJ0uvy6YcU"",""X:X""), IMPORTRANGE(""17XjIPGwafStTRf_8bPPaoi2EFjHVy10_rRJ0uvy6YcU"",""AL:AL""))"),355324.0)</f>
        <v>355324</v>
      </c>
      <c r="D9" s="24">
        <f>IFERROR(__xludf.DUMMYFUNCTION("SUMPRODUCT((IMPORTRANGE(""17XjIPGwafStTRf_8bPPaoi2EFjHVy10_rRJ0uvy6YcU"",""M:M"")=B9)*1, IMPORTRANGE(""17XjIPGwafStTRf_8bPPaoi2EFjHVy10_rRJ0uvy6YcU"",""X:X""), IMPORTRANGE(""17XjIPGwafStTRf_8bPPaoi2EFjHVy10_rRJ0uvy6YcU"",""AA:AA"")) + SUMPRODUCT((IMPORTRA"&amp;"NGE(""17XjIPGwafStTRf_8bPPaoi2EFjHVy10_rRJ0uvy6YcU"",""M:M"")=B9)*1, IMPORTRANGE(""17XjIPGwafStTRf_8bPPaoi2EFjHVy10_rRJ0uvy6YcU"",""X:X""), IMPORTRANGE(""17XjIPGwafStTRf_8bPPaoi2EFjHVy10_rRJ0uvy6YcU"",""AE:AE"")) + SUMPRODUCT((IMPORTRANGE(""17XjIPGwafStTR"&amp;"f_8bPPaoi2EFjHVy10_rRJ0uvy6YcU"",""M:M"")=B9)*1, IMPORTRANGE(""17XjIPGwafStTRf_8bPPaoi2EFjHVy10_rRJ0uvy6YcU"",""X:X""), IMPORTRANGE(""17XjIPGwafStTRf_8bPPaoi2EFjHVy10_rRJ0uvy6YcU"",""AF:AF""))"),199892.71332455828)</f>
        <v>199892.7133</v>
      </c>
      <c r="E9" s="24">
        <f>IFERROR(__xludf.DUMMYFUNCTION("SUMPRODUCT((IMPORTRANGE(""17XjIPGwafStTRf_8bPPaoi2EFjHVy10_rRJ0uvy6YcU"",""M:M"")=B9)*1, IMPORTRANGE(""17XjIPGwafStTRf_8bPPaoi2EFjHVy10_rRJ0uvy6YcU"",""X:X""), IMPORTRANGE(""17XjIPGwafStTRf_8bPPaoi2EFjHVy10_rRJ0uvy6YcU"",""AO:AO""))"),71852.6413344235)</f>
        <v>71852.64133</v>
      </c>
      <c r="F9" s="25">
        <f>IFERROR(__xludf.DUMMYFUNCTION("SUMPRODUCT((IMPORTRANGE(""17XjIPGwafStTRf_8bPPaoi2EFjHVy10_rRJ0uvy6YcU"",""M:M"")=B9)*1, IMPORTRANGE(""17XjIPGwafStTRf_8bPPaoi2EFjHVy10_rRJ0uvy6YcU"",""X:X""))"),109.0)</f>
        <v>109</v>
      </c>
      <c r="G9" s="26">
        <f>IFERROR(__xludf.DUMMYFUNCTION("COUNTIF(IMPORTRANGE(""17XjIPGwafStTRf_8bPPaoi2EFjHVy10_rRJ0uvy6YcU"",""M:M""), B9)"),24.0)</f>
        <v>24</v>
      </c>
      <c r="H9" s="27">
        <f t="shared" si="1"/>
        <v>4.541666667</v>
      </c>
      <c r="I9" s="28">
        <f t="shared" si="2"/>
        <v>0.2022172477</v>
      </c>
      <c r="J9" s="29">
        <f t="shared" si="3"/>
        <v>0.3594560309</v>
      </c>
      <c r="K9" s="32"/>
      <c r="L9" s="31" t="str">
        <f t="shared" si="4"/>
        <v/>
      </c>
      <c r="M9" s="31" t="str">
        <f t="shared" si="5"/>
        <v/>
      </c>
      <c r="N9" s="4"/>
    </row>
    <row r="10">
      <c r="A10" s="1"/>
      <c r="B10" s="23">
        <f t="shared" si="6"/>
        <v>44597</v>
      </c>
      <c r="C10" s="24">
        <f>IFERROR(__xludf.DUMMYFUNCTION("SUMPRODUCT((IMPORTRANGE(""17XjIPGwafStTRf_8bPPaoi2EFjHVy10_rRJ0uvy6YcU"",""M:M"")=B10)*1, IMPORTRANGE(""17XjIPGwafStTRf_8bPPaoi2EFjHVy10_rRJ0uvy6YcU"",""X:X""), IMPORTRANGE(""17XjIPGwafStTRf_8bPPaoi2EFjHVy10_rRJ0uvy6YcU"",""AK:AK"")) - SUMPRODUCT((IMPORTR"&amp;"ANGE(""17XjIPGwafStTRf_8bPPaoi2EFjHVy10_rRJ0uvy6YcU"",""M:M"")=B10)*1, IMPORTRANGE(""17XjIPGwafStTRf_8bPPaoi2EFjHVy10_rRJ0uvy6YcU"",""X:X""), IMPORTRANGE(""17XjIPGwafStTRf_8bPPaoi2EFjHVy10_rRJ0uvy6YcU"",""AL:AL""))"),773344.0)</f>
        <v>773344</v>
      </c>
      <c r="D10" s="24">
        <f>IFERROR(__xludf.DUMMYFUNCTION("SUMPRODUCT((IMPORTRANGE(""17XjIPGwafStTRf_8bPPaoi2EFjHVy10_rRJ0uvy6YcU"",""M:M"")=B10)*1, IMPORTRANGE(""17XjIPGwafStTRf_8bPPaoi2EFjHVy10_rRJ0uvy6YcU"",""X:X""), IMPORTRANGE(""17XjIPGwafStTRf_8bPPaoi2EFjHVy10_rRJ0uvy6YcU"",""AA:AA"")) + SUMPRODUCT((IMPORTR"&amp;"ANGE(""17XjIPGwafStTRf_8bPPaoi2EFjHVy10_rRJ0uvy6YcU"",""M:M"")=B10)*1, IMPORTRANGE(""17XjIPGwafStTRf_8bPPaoi2EFjHVy10_rRJ0uvy6YcU"",""X:X""), IMPORTRANGE(""17XjIPGwafStTRf_8bPPaoi2EFjHVy10_rRJ0uvy6YcU"",""AE:AE"")) + SUMPRODUCT((IMPORTRANGE(""17XjIPGwafSt"&amp;"TRf_8bPPaoi2EFjHVy10_rRJ0uvy6YcU"",""M:M"")=B10)*1, IMPORTRANGE(""17XjIPGwafStTRf_8bPPaoi2EFjHVy10_rRJ0uvy6YcU"",""X:X""), IMPORTRANGE(""17XjIPGwafStTRf_8bPPaoi2EFjHVy10_rRJ0uvy6YcU"",""AF:AF""))"),436115.7907966448)</f>
        <v>436115.7908</v>
      </c>
      <c r="E10" s="24">
        <f>IFERROR(__xludf.DUMMYFUNCTION("SUMPRODUCT((IMPORTRANGE(""17XjIPGwafStTRf_8bPPaoi2EFjHVy10_rRJ0uvy6YcU"",""M:M"")=B10)*1, IMPORTRANGE(""17XjIPGwafStTRf_8bPPaoi2EFjHVy10_rRJ0uvy6YcU"",""X:X""), IMPORTRANGE(""17XjIPGwafStTRf_8bPPaoi2EFjHVy10_rRJ0uvy6YcU"",""AO:AO""))"),216325.17023071178)</f>
        <v>216325.1702</v>
      </c>
      <c r="F10" s="25">
        <f>IFERROR(__xludf.DUMMYFUNCTION("SUMPRODUCT((IMPORTRANGE(""17XjIPGwafStTRf_8bPPaoi2EFjHVy10_rRJ0uvy6YcU"",""M:M"")=B10)*1, IMPORTRANGE(""17XjIPGwafStTRf_8bPPaoi2EFjHVy10_rRJ0uvy6YcU"",""X:X""))"),130.0)</f>
        <v>130</v>
      </c>
      <c r="G10" s="26">
        <f>IFERROR(__xludf.DUMMYFUNCTION("COUNTIF(IMPORTRANGE(""17XjIPGwafStTRf_8bPPaoi2EFjHVy10_rRJ0uvy6YcU"",""M:M""), B10)"),45.0)</f>
        <v>45</v>
      </c>
      <c r="H10" s="27">
        <f t="shared" si="1"/>
        <v>2.888888889</v>
      </c>
      <c r="I10" s="28">
        <f t="shared" si="2"/>
        <v>0.2797269653</v>
      </c>
      <c r="J10" s="29">
        <f t="shared" si="3"/>
        <v>0.4960269149</v>
      </c>
      <c r="K10" s="32"/>
      <c r="L10" s="31" t="str">
        <f t="shared" si="4"/>
        <v/>
      </c>
      <c r="M10" s="31" t="str">
        <f t="shared" si="5"/>
        <v/>
      </c>
      <c r="N10" s="4"/>
    </row>
    <row r="11">
      <c r="A11" s="1"/>
      <c r="B11" s="23">
        <f t="shared" si="6"/>
        <v>44598</v>
      </c>
      <c r="C11" s="24">
        <f>IFERROR(__xludf.DUMMYFUNCTION("SUMPRODUCT((IMPORTRANGE(""17XjIPGwafStTRf_8bPPaoi2EFjHVy10_rRJ0uvy6YcU"",""M:M"")=B11)*1, IMPORTRANGE(""17XjIPGwafStTRf_8bPPaoi2EFjHVy10_rRJ0uvy6YcU"",""X:X""), IMPORTRANGE(""17XjIPGwafStTRf_8bPPaoi2EFjHVy10_rRJ0uvy6YcU"",""AK:AK"")) - SUMPRODUCT((IMPORTR"&amp;"ANGE(""17XjIPGwafStTRf_8bPPaoi2EFjHVy10_rRJ0uvy6YcU"",""M:M"")=B11)*1, IMPORTRANGE(""17XjIPGwafStTRf_8bPPaoi2EFjHVy10_rRJ0uvy6YcU"",""X:X""), IMPORTRANGE(""17XjIPGwafStTRf_8bPPaoi2EFjHVy10_rRJ0uvy6YcU"",""AL:AL""))"),242881.0)</f>
        <v>242881</v>
      </c>
      <c r="D11" s="24">
        <f>IFERROR(__xludf.DUMMYFUNCTION("SUMPRODUCT((IMPORTRANGE(""17XjIPGwafStTRf_8bPPaoi2EFjHVy10_rRJ0uvy6YcU"",""M:M"")=B11)*1, IMPORTRANGE(""17XjIPGwafStTRf_8bPPaoi2EFjHVy10_rRJ0uvy6YcU"",""X:X""), IMPORTRANGE(""17XjIPGwafStTRf_8bPPaoi2EFjHVy10_rRJ0uvy6YcU"",""AA:AA"")) + SUMPRODUCT((IMPORTR"&amp;"ANGE(""17XjIPGwafStTRf_8bPPaoi2EFjHVy10_rRJ0uvy6YcU"",""M:M"")=B11)*1, IMPORTRANGE(""17XjIPGwafStTRf_8bPPaoi2EFjHVy10_rRJ0uvy6YcU"",""X:X""), IMPORTRANGE(""17XjIPGwafStTRf_8bPPaoi2EFjHVy10_rRJ0uvy6YcU"",""AE:AE"")) + SUMPRODUCT((IMPORTRANGE(""17XjIPGwafSt"&amp;"TRf_8bPPaoi2EFjHVy10_rRJ0uvy6YcU"",""M:M"")=B11)*1, IMPORTRANGE(""17XjIPGwafStTRf_8bPPaoi2EFjHVy10_rRJ0uvy6YcU"",""X:X""), IMPORTRANGE(""17XjIPGwafStTRf_8bPPaoi2EFjHVy10_rRJ0uvy6YcU"",""AF:AF""))"),147364.9936494872)</f>
        <v>147364.9936</v>
      </c>
      <c r="E11" s="24">
        <f>IFERROR(__xludf.DUMMYFUNCTION("SUMPRODUCT((IMPORTRANGE(""17XjIPGwafStTRf_8bPPaoi2EFjHVy10_rRJ0uvy6YcU"",""M:M"")=B11)*1, IMPORTRANGE(""17XjIPGwafStTRf_8bPPaoi2EFjHVy10_rRJ0uvy6YcU"",""X:X""), IMPORTRANGE(""17XjIPGwafStTRf_8bPPaoi2EFjHVy10_rRJ0uvy6YcU"",""AO:AO""))"),45958.00308004895)</f>
        <v>45958.00308</v>
      </c>
      <c r="F11" s="25">
        <f>IFERROR(__xludf.DUMMYFUNCTION("SUMPRODUCT((IMPORTRANGE(""17XjIPGwafStTRf_8bPPaoi2EFjHVy10_rRJ0uvy6YcU"",""M:M"")=B11)*1, IMPORTRANGE(""17XjIPGwafStTRf_8bPPaoi2EFjHVy10_rRJ0uvy6YcU"",""X:X""))"),50.0)</f>
        <v>50</v>
      </c>
      <c r="G11" s="26">
        <f>IFERROR(__xludf.DUMMYFUNCTION("COUNTIF(IMPORTRANGE(""17XjIPGwafStTRf_8bPPaoi2EFjHVy10_rRJ0uvy6YcU"",""M:M""), B11)"),28.0)</f>
        <v>28</v>
      </c>
      <c r="H11" s="27">
        <f t="shared" si="1"/>
        <v>1.785714286</v>
      </c>
      <c r="I11" s="28">
        <f t="shared" si="2"/>
        <v>0.1892202481</v>
      </c>
      <c r="J11" s="29">
        <f t="shared" si="3"/>
        <v>0.3118651312</v>
      </c>
      <c r="K11" s="30"/>
      <c r="L11" s="31" t="str">
        <f t="shared" si="4"/>
        <v/>
      </c>
      <c r="M11" s="31" t="str">
        <f t="shared" si="5"/>
        <v/>
      </c>
      <c r="N11" s="4"/>
    </row>
    <row r="12">
      <c r="A12" s="1"/>
      <c r="B12" s="23">
        <f t="shared" si="6"/>
        <v>44599</v>
      </c>
      <c r="C12" s="24">
        <f>IFERROR(__xludf.DUMMYFUNCTION("SUMPRODUCT((IMPORTRANGE(""17XjIPGwafStTRf_8bPPaoi2EFjHVy10_rRJ0uvy6YcU"",""M:M"")=B12)*1, IMPORTRANGE(""17XjIPGwafStTRf_8bPPaoi2EFjHVy10_rRJ0uvy6YcU"",""X:X""), IMPORTRANGE(""17XjIPGwafStTRf_8bPPaoi2EFjHVy10_rRJ0uvy6YcU"",""AK:AK"")) - SUMPRODUCT((IMPORTR"&amp;"ANGE(""17XjIPGwafStTRf_8bPPaoi2EFjHVy10_rRJ0uvy6YcU"",""M:M"")=B12)*1, IMPORTRANGE(""17XjIPGwafStTRf_8bPPaoi2EFjHVy10_rRJ0uvy6YcU"",""X:X""), IMPORTRANGE(""17XjIPGwafStTRf_8bPPaoi2EFjHVy10_rRJ0uvy6YcU"",""AL:AL""))"),939257.0)</f>
        <v>939257</v>
      </c>
      <c r="D12" s="24">
        <f>IFERROR(__xludf.DUMMYFUNCTION("SUMPRODUCT((IMPORTRANGE(""17XjIPGwafStTRf_8bPPaoi2EFjHVy10_rRJ0uvy6YcU"",""M:M"")=B12)*1, IMPORTRANGE(""17XjIPGwafStTRf_8bPPaoi2EFjHVy10_rRJ0uvy6YcU"",""X:X""), IMPORTRANGE(""17XjIPGwafStTRf_8bPPaoi2EFjHVy10_rRJ0uvy6YcU"",""AA:AA"")) + SUMPRODUCT((IMPORTR"&amp;"ANGE(""17XjIPGwafStTRf_8bPPaoi2EFjHVy10_rRJ0uvy6YcU"",""M:M"")=B12)*1, IMPORTRANGE(""17XjIPGwafStTRf_8bPPaoi2EFjHVy10_rRJ0uvy6YcU"",""X:X""), IMPORTRANGE(""17XjIPGwafStTRf_8bPPaoi2EFjHVy10_rRJ0uvy6YcU"",""AE:AE"")) + SUMPRODUCT((IMPORTRANGE(""17XjIPGwafSt"&amp;"TRf_8bPPaoi2EFjHVy10_rRJ0uvy6YcU"",""M:M"")=B12)*1, IMPORTRANGE(""17XjIPGwafStTRf_8bPPaoi2EFjHVy10_rRJ0uvy6YcU"",""X:X""), IMPORTRANGE(""17XjIPGwafStTRf_8bPPaoi2EFjHVy10_rRJ0uvy6YcU"",""AF:AF""))"),640371.2359599732)</f>
        <v>640371.236</v>
      </c>
      <c r="E12" s="24">
        <f>IFERROR(__xludf.DUMMYFUNCTION("SUMPRODUCT((IMPORTRANGE(""17XjIPGwafStTRf_8bPPaoi2EFjHVy10_rRJ0uvy6YcU"",""M:M"")=B12)*1, IMPORTRANGE(""17XjIPGwafStTRf_8bPPaoi2EFjHVy10_rRJ0uvy6YcU"",""X:X""), IMPORTRANGE(""17XjIPGwafStTRf_8bPPaoi2EFjHVy10_rRJ0uvy6YcU"",""AO:AO""))"),126810.00926727982)</f>
        <v>126810.0093</v>
      </c>
      <c r="F12" s="25">
        <f>IFERROR(__xludf.DUMMYFUNCTION("SUMPRODUCT((IMPORTRANGE(""17XjIPGwafStTRf_8bPPaoi2EFjHVy10_rRJ0uvy6YcU"",""M:M"")=B12)*1, IMPORTRANGE(""17XjIPGwafStTRf_8bPPaoi2EFjHVy10_rRJ0uvy6YcU"",""X:X""))"),155.0)</f>
        <v>155</v>
      </c>
      <c r="G12" s="26">
        <f>IFERROR(__xludf.DUMMYFUNCTION("COUNTIF(IMPORTRANGE(""17XjIPGwafStTRf_8bPPaoi2EFjHVy10_rRJ0uvy6YcU"",""M:M""), B12)"),50.0)</f>
        <v>50</v>
      </c>
      <c r="H12" s="27">
        <f t="shared" si="1"/>
        <v>3.1</v>
      </c>
      <c r="I12" s="28">
        <f t="shared" si="2"/>
        <v>0.1350109813</v>
      </c>
      <c r="J12" s="29">
        <f t="shared" si="3"/>
        <v>0.1980257734</v>
      </c>
      <c r="K12" s="32"/>
      <c r="L12" s="31" t="str">
        <f t="shared" si="4"/>
        <v/>
      </c>
      <c r="M12" s="31" t="str">
        <f t="shared" si="5"/>
        <v/>
      </c>
      <c r="N12" s="4"/>
    </row>
    <row r="13">
      <c r="A13" s="1"/>
      <c r="B13" s="23">
        <f t="shared" si="6"/>
        <v>44600</v>
      </c>
      <c r="C13" s="24">
        <f>IFERROR(__xludf.DUMMYFUNCTION("SUMPRODUCT((IMPORTRANGE(""17XjIPGwafStTRf_8bPPaoi2EFjHVy10_rRJ0uvy6YcU"",""M:M"")=B13)*1, IMPORTRANGE(""17XjIPGwafStTRf_8bPPaoi2EFjHVy10_rRJ0uvy6YcU"",""X:X""), IMPORTRANGE(""17XjIPGwafStTRf_8bPPaoi2EFjHVy10_rRJ0uvy6YcU"",""AK:AK"")) - SUMPRODUCT((IMPORTR"&amp;"ANGE(""17XjIPGwafStTRf_8bPPaoi2EFjHVy10_rRJ0uvy6YcU"",""M:M"")=B13)*1, IMPORTRANGE(""17XjIPGwafStTRf_8bPPaoi2EFjHVy10_rRJ0uvy6YcU"",""X:X""), IMPORTRANGE(""17XjIPGwafStTRf_8bPPaoi2EFjHVy10_rRJ0uvy6YcU"",""AL:AL""))"),628601.0)</f>
        <v>628601</v>
      </c>
      <c r="D13" s="24">
        <f>IFERROR(__xludf.DUMMYFUNCTION("SUMPRODUCT((IMPORTRANGE(""17XjIPGwafStTRf_8bPPaoi2EFjHVy10_rRJ0uvy6YcU"",""M:M"")=B13)*1, IMPORTRANGE(""17XjIPGwafStTRf_8bPPaoi2EFjHVy10_rRJ0uvy6YcU"",""X:X""), IMPORTRANGE(""17XjIPGwafStTRf_8bPPaoi2EFjHVy10_rRJ0uvy6YcU"",""AA:AA"")) + SUMPRODUCT((IMPORTR"&amp;"ANGE(""17XjIPGwafStTRf_8bPPaoi2EFjHVy10_rRJ0uvy6YcU"",""M:M"")=B13)*1, IMPORTRANGE(""17XjIPGwafStTRf_8bPPaoi2EFjHVy10_rRJ0uvy6YcU"",""X:X""), IMPORTRANGE(""17XjIPGwafStTRf_8bPPaoi2EFjHVy10_rRJ0uvy6YcU"",""AE:AE"")) + SUMPRODUCT((IMPORTRANGE(""17XjIPGwafSt"&amp;"TRf_8bPPaoi2EFjHVy10_rRJ0uvy6YcU"",""M:M"")=B13)*1, IMPORTRANGE(""17XjIPGwafStTRf_8bPPaoi2EFjHVy10_rRJ0uvy6YcU"",""X:X""), IMPORTRANGE(""17XjIPGwafStTRf_8bPPaoi2EFjHVy10_rRJ0uvy6YcU"",""AF:AF""))"),383681.01602988876)</f>
        <v>383681.016</v>
      </c>
      <c r="E13" s="24">
        <f>IFERROR(__xludf.DUMMYFUNCTION("SUMPRODUCT((IMPORTRANGE(""17XjIPGwafStTRf_8bPPaoi2EFjHVy10_rRJ0uvy6YcU"",""M:M"")=B13)*1, IMPORTRANGE(""17XjIPGwafStTRf_8bPPaoi2EFjHVy10_rRJ0uvy6YcU"",""X:X""), IMPORTRANGE(""17XjIPGwafStTRf_8bPPaoi2EFjHVy10_rRJ0uvy6YcU"",""AO:AO""))"),133667.15151336387)</f>
        <v>133667.1515</v>
      </c>
      <c r="F13" s="25">
        <f>IFERROR(__xludf.DUMMYFUNCTION("SUMPRODUCT((IMPORTRANGE(""17XjIPGwafStTRf_8bPPaoi2EFjHVy10_rRJ0uvy6YcU"",""M:M"")=B13)*1, IMPORTRANGE(""17XjIPGwafStTRf_8bPPaoi2EFjHVy10_rRJ0uvy6YcU"",""X:X""))"),125.0)</f>
        <v>125</v>
      </c>
      <c r="G13" s="26">
        <f>IFERROR(__xludf.DUMMYFUNCTION("COUNTIF(IMPORTRANGE(""17XjIPGwafStTRf_8bPPaoi2EFjHVy10_rRJ0uvy6YcU"",""M:M""), B13)"),31.0)</f>
        <v>31</v>
      </c>
      <c r="H13" s="27">
        <f t="shared" si="1"/>
        <v>4.032258065</v>
      </c>
      <c r="I13" s="28">
        <f t="shared" si="2"/>
        <v>0.2126422826</v>
      </c>
      <c r="J13" s="29">
        <f t="shared" si="3"/>
        <v>0.3483809361</v>
      </c>
      <c r="K13" s="32"/>
      <c r="L13" s="31" t="str">
        <f t="shared" si="4"/>
        <v/>
      </c>
      <c r="M13" s="31" t="str">
        <f t="shared" si="5"/>
        <v/>
      </c>
      <c r="N13" s="4"/>
    </row>
    <row r="14">
      <c r="A14" s="1"/>
      <c r="B14" s="23">
        <f t="shared" si="6"/>
        <v>44601</v>
      </c>
      <c r="C14" s="24">
        <f>IFERROR(__xludf.DUMMYFUNCTION("SUMPRODUCT((IMPORTRANGE(""17XjIPGwafStTRf_8bPPaoi2EFjHVy10_rRJ0uvy6YcU"",""M:M"")=B14)*1, IMPORTRANGE(""17XjIPGwafStTRf_8bPPaoi2EFjHVy10_rRJ0uvy6YcU"",""X:X""), IMPORTRANGE(""17XjIPGwafStTRf_8bPPaoi2EFjHVy10_rRJ0uvy6YcU"",""AK:AK"")) - SUMPRODUCT((IMPORTR"&amp;"ANGE(""17XjIPGwafStTRf_8bPPaoi2EFjHVy10_rRJ0uvy6YcU"",""M:M"")=B14)*1, IMPORTRANGE(""17XjIPGwafStTRf_8bPPaoi2EFjHVy10_rRJ0uvy6YcU"",""X:X""), IMPORTRANGE(""17XjIPGwafStTRf_8bPPaoi2EFjHVy10_rRJ0uvy6YcU"",""AL:AL""))"),703252.0)</f>
        <v>703252</v>
      </c>
      <c r="D14" s="24">
        <f>IFERROR(__xludf.DUMMYFUNCTION("SUMPRODUCT((IMPORTRANGE(""17XjIPGwafStTRf_8bPPaoi2EFjHVy10_rRJ0uvy6YcU"",""M:M"")=B14)*1, IMPORTRANGE(""17XjIPGwafStTRf_8bPPaoi2EFjHVy10_rRJ0uvy6YcU"",""X:X""), IMPORTRANGE(""17XjIPGwafStTRf_8bPPaoi2EFjHVy10_rRJ0uvy6YcU"",""AA:AA"")) + SUMPRODUCT((IMPORTR"&amp;"ANGE(""17XjIPGwafStTRf_8bPPaoi2EFjHVy10_rRJ0uvy6YcU"",""M:M"")=B14)*1, IMPORTRANGE(""17XjIPGwafStTRf_8bPPaoi2EFjHVy10_rRJ0uvy6YcU"",""X:X""), IMPORTRANGE(""17XjIPGwafStTRf_8bPPaoi2EFjHVy10_rRJ0uvy6YcU"",""AE:AE"")) + SUMPRODUCT((IMPORTRANGE(""17XjIPGwafSt"&amp;"TRf_8bPPaoi2EFjHVy10_rRJ0uvy6YcU"",""M:M"")=B14)*1, IMPORTRANGE(""17XjIPGwafStTRf_8bPPaoi2EFjHVy10_rRJ0uvy6YcU"",""X:X""), IMPORTRANGE(""17XjIPGwafStTRf_8bPPaoi2EFjHVy10_rRJ0uvy6YcU"",""AF:AF""))"),409116.4873278099)</f>
        <v>409116.4873</v>
      </c>
      <c r="E14" s="24">
        <f>IFERROR(__xludf.DUMMYFUNCTION("SUMPRODUCT((IMPORTRANGE(""17XjIPGwafStTRf_8bPPaoi2EFjHVy10_rRJ0uvy6YcU"",""M:M"")=B14)*1, IMPORTRANGE(""17XjIPGwafStTRf_8bPPaoi2EFjHVy10_rRJ0uvy6YcU"",""X:X""), IMPORTRANGE(""17XjIPGwafStTRf_8bPPaoi2EFjHVy10_rRJ0uvy6YcU"",""AO:AO""))"),192748.0074923207)</f>
        <v>192748.0075</v>
      </c>
      <c r="F14" s="25">
        <f>IFERROR(__xludf.DUMMYFUNCTION("SUMPRODUCT((IMPORTRANGE(""17XjIPGwafStTRf_8bPPaoi2EFjHVy10_rRJ0uvy6YcU"",""M:M"")=B14)*1, IMPORTRANGE(""17XjIPGwafStTRf_8bPPaoi2EFjHVy10_rRJ0uvy6YcU"",""X:X""))"),99.0)</f>
        <v>99</v>
      </c>
      <c r="G14" s="26">
        <f>IFERROR(__xludf.DUMMYFUNCTION("COUNTIF(IMPORTRANGE(""17XjIPGwafStTRf_8bPPaoi2EFjHVy10_rRJ0uvy6YcU"",""M:M""), B14)"),34.0)</f>
        <v>34</v>
      </c>
      <c r="H14" s="27">
        <f t="shared" si="1"/>
        <v>2.911764706</v>
      </c>
      <c r="I14" s="28">
        <f t="shared" si="2"/>
        <v>0.2740809944</v>
      </c>
      <c r="J14" s="29">
        <f t="shared" si="3"/>
        <v>0.4711323387</v>
      </c>
      <c r="K14" s="32"/>
      <c r="L14" s="31" t="str">
        <f t="shared" si="4"/>
        <v/>
      </c>
      <c r="M14" s="31" t="str">
        <f t="shared" si="5"/>
        <v/>
      </c>
      <c r="N14" s="4"/>
    </row>
    <row r="15">
      <c r="A15" s="1"/>
      <c r="B15" s="23">
        <f t="shared" si="6"/>
        <v>44602</v>
      </c>
      <c r="C15" s="24">
        <f>IFERROR(__xludf.DUMMYFUNCTION("SUMPRODUCT((IMPORTRANGE(""17XjIPGwafStTRf_8bPPaoi2EFjHVy10_rRJ0uvy6YcU"",""M:M"")=B15)*1, IMPORTRANGE(""17XjIPGwafStTRf_8bPPaoi2EFjHVy10_rRJ0uvy6YcU"",""X:X""), IMPORTRANGE(""17XjIPGwafStTRf_8bPPaoi2EFjHVy10_rRJ0uvy6YcU"",""AK:AK"")) - SUMPRODUCT((IMPORTR"&amp;"ANGE(""17XjIPGwafStTRf_8bPPaoi2EFjHVy10_rRJ0uvy6YcU"",""M:M"")=B15)*1, IMPORTRANGE(""17XjIPGwafStTRf_8bPPaoi2EFjHVy10_rRJ0uvy6YcU"",""X:X""), IMPORTRANGE(""17XjIPGwafStTRf_8bPPaoi2EFjHVy10_rRJ0uvy6YcU"",""AL:AL""))"),552439.0)</f>
        <v>552439</v>
      </c>
      <c r="D15" s="24">
        <f>IFERROR(__xludf.DUMMYFUNCTION("SUMPRODUCT((IMPORTRANGE(""17XjIPGwafStTRf_8bPPaoi2EFjHVy10_rRJ0uvy6YcU"",""M:M"")=B15)*1, IMPORTRANGE(""17XjIPGwafStTRf_8bPPaoi2EFjHVy10_rRJ0uvy6YcU"",""X:X""), IMPORTRANGE(""17XjIPGwafStTRf_8bPPaoi2EFjHVy10_rRJ0uvy6YcU"",""AA:AA"")) + SUMPRODUCT((IMPORTR"&amp;"ANGE(""17XjIPGwafStTRf_8bPPaoi2EFjHVy10_rRJ0uvy6YcU"",""M:M"")=B15)*1, IMPORTRANGE(""17XjIPGwafStTRf_8bPPaoi2EFjHVy10_rRJ0uvy6YcU"",""X:X""), IMPORTRANGE(""17XjIPGwafStTRf_8bPPaoi2EFjHVy10_rRJ0uvy6YcU"",""AE:AE"")) + SUMPRODUCT((IMPORTRANGE(""17XjIPGwafSt"&amp;"TRf_8bPPaoi2EFjHVy10_rRJ0uvy6YcU"",""M:M"")=B15)*1, IMPORTRANGE(""17XjIPGwafStTRf_8bPPaoi2EFjHVy10_rRJ0uvy6YcU"",""X:X""), IMPORTRANGE(""17XjIPGwafStTRf_8bPPaoi2EFjHVy10_rRJ0uvy6YcU"",""AF:AF""))"),381530.2522292488)</f>
        <v>381530.2522</v>
      </c>
      <c r="E15" s="24">
        <f>IFERROR(__xludf.DUMMYFUNCTION("SUMPRODUCT((IMPORTRANGE(""17XjIPGwafStTRf_8bPPaoi2EFjHVy10_rRJ0uvy6YcU"",""M:M"")=B15)*1, IMPORTRANGE(""17XjIPGwafStTRf_8bPPaoi2EFjHVy10_rRJ0uvy6YcU"",""X:X""), IMPORTRANGE(""17XjIPGwafStTRf_8bPPaoi2EFjHVy10_rRJ0uvy6YcU"",""AO:AO""))"),58468.52998663166)</f>
        <v>58468.52999</v>
      </c>
      <c r="F15" s="25">
        <f>IFERROR(__xludf.DUMMYFUNCTION("SUMPRODUCT((IMPORTRANGE(""17XjIPGwafStTRf_8bPPaoi2EFjHVy10_rRJ0uvy6YcU"",""M:M"")=B15)*1, IMPORTRANGE(""17XjIPGwafStTRf_8bPPaoi2EFjHVy10_rRJ0uvy6YcU"",""X:X""))"),114.0)</f>
        <v>114</v>
      </c>
      <c r="G15" s="26">
        <f>IFERROR(__xludf.DUMMYFUNCTION("COUNTIF(IMPORTRANGE(""17XjIPGwafStTRf_8bPPaoi2EFjHVy10_rRJ0uvy6YcU"",""M:M""), B15)"),28.0)</f>
        <v>28</v>
      </c>
      <c r="H15" s="27">
        <f t="shared" si="1"/>
        <v>4.071428571</v>
      </c>
      <c r="I15" s="28">
        <f t="shared" si="2"/>
        <v>0.1058370788</v>
      </c>
      <c r="J15" s="29">
        <f t="shared" si="3"/>
        <v>0.1532474283</v>
      </c>
      <c r="K15" s="30"/>
      <c r="L15" s="31" t="str">
        <f t="shared" si="4"/>
        <v/>
      </c>
      <c r="M15" s="31" t="str">
        <f t="shared" si="5"/>
        <v/>
      </c>
      <c r="N15" s="4"/>
    </row>
    <row r="16">
      <c r="A16" s="1"/>
      <c r="B16" s="23">
        <f t="shared" si="6"/>
        <v>44603</v>
      </c>
      <c r="C16" s="24">
        <f>IFERROR(__xludf.DUMMYFUNCTION("SUMPRODUCT((IMPORTRANGE(""17XjIPGwafStTRf_8bPPaoi2EFjHVy10_rRJ0uvy6YcU"",""M:M"")=B16)*1, IMPORTRANGE(""17XjIPGwafStTRf_8bPPaoi2EFjHVy10_rRJ0uvy6YcU"",""X:X""), IMPORTRANGE(""17XjIPGwafStTRf_8bPPaoi2EFjHVy10_rRJ0uvy6YcU"",""AK:AK"")) - SUMPRODUCT((IMPORTR"&amp;"ANGE(""17XjIPGwafStTRf_8bPPaoi2EFjHVy10_rRJ0uvy6YcU"",""M:M"")=B16)*1, IMPORTRANGE(""17XjIPGwafStTRf_8bPPaoi2EFjHVy10_rRJ0uvy6YcU"",""X:X""), IMPORTRANGE(""17XjIPGwafStTRf_8bPPaoi2EFjHVy10_rRJ0uvy6YcU"",""AL:AL""))"),683147.0)</f>
        <v>683147</v>
      </c>
      <c r="D16" s="24">
        <f>IFERROR(__xludf.DUMMYFUNCTION("SUMPRODUCT((IMPORTRANGE(""17XjIPGwafStTRf_8bPPaoi2EFjHVy10_rRJ0uvy6YcU"",""M:M"")=B16)*1, IMPORTRANGE(""17XjIPGwafStTRf_8bPPaoi2EFjHVy10_rRJ0uvy6YcU"",""X:X""), IMPORTRANGE(""17XjIPGwafStTRf_8bPPaoi2EFjHVy10_rRJ0uvy6YcU"",""AA:AA"")) + SUMPRODUCT((IMPORTR"&amp;"ANGE(""17XjIPGwafStTRf_8bPPaoi2EFjHVy10_rRJ0uvy6YcU"",""M:M"")=B16)*1, IMPORTRANGE(""17XjIPGwafStTRf_8bPPaoi2EFjHVy10_rRJ0uvy6YcU"",""X:X""), IMPORTRANGE(""17XjIPGwafStTRf_8bPPaoi2EFjHVy10_rRJ0uvy6YcU"",""AE:AE"")) + SUMPRODUCT((IMPORTRANGE(""17XjIPGwafSt"&amp;"TRf_8bPPaoi2EFjHVy10_rRJ0uvy6YcU"",""M:M"")=B16)*1, IMPORTRANGE(""17XjIPGwafStTRf_8bPPaoi2EFjHVy10_rRJ0uvy6YcU"",""X:X""), IMPORTRANGE(""17XjIPGwafStTRf_8bPPaoi2EFjHVy10_rRJ0uvy6YcU"",""AF:AF""))"),477614.68434243865)</f>
        <v>477614.6843</v>
      </c>
      <c r="E16" s="24">
        <f>IFERROR(__xludf.DUMMYFUNCTION("SUMPRODUCT((IMPORTRANGE(""17XjIPGwafStTRf_8bPPaoi2EFjHVy10_rRJ0uvy6YcU"",""M:M"")=B16)*1, IMPORTRANGE(""17XjIPGwafStTRf_8bPPaoi2EFjHVy10_rRJ0uvy6YcU"",""X:X""), IMPORTRANGE(""17XjIPGwafStTRf_8bPPaoi2EFjHVy10_rRJ0uvy6YcU"",""AO:AO""))"),92586.71565756144)</f>
        <v>92586.71566</v>
      </c>
      <c r="F16" s="25">
        <f>IFERROR(__xludf.DUMMYFUNCTION("SUMPRODUCT((IMPORTRANGE(""17XjIPGwafStTRf_8bPPaoi2EFjHVy10_rRJ0uvy6YcU"",""M:M"")=B16)*1, IMPORTRANGE(""17XjIPGwafStTRf_8bPPaoi2EFjHVy10_rRJ0uvy6YcU"",""X:X""))"),135.0)</f>
        <v>135</v>
      </c>
      <c r="G16" s="26">
        <f>IFERROR(__xludf.DUMMYFUNCTION("COUNTIF(IMPORTRANGE(""17XjIPGwafStTRf_8bPPaoi2EFjHVy10_rRJ0uvy6YcU"",""M:M""), B16)"),25.0)</f>
        <v>25</v>
      </c>
      <c r="H16" s="27">
        <f t="shared" si="1"/>
        <v>5.4</v>
      </c>
      <c r="I16" s="28">
        <f t="shared" si="2"/>
        <v>0.1355297113</v>
      </c>
      <c r="J16" s="29">
        <f t="shared" si="3"/>
        <v>0.1938523222</v>
      </c>
      <c r="K16" s="32"/>
      <c r="L16" s="31" t="str">
        <f t="shared" si="4"/>
        <v/>
      </c>
      <c r="M16" s="31" t="str">
        <f t="shared" si="5"/>
        <v/>
      </c>
      <c r="N16" s="4"/>
    </row>
    <row r="17">
      <c r="A17" s="1"/>
      <c r="B17" s="23">
        <f t="shared" si="6"/>
        <v>44604</v>
      </c>
      <c r="C17" s="24">
        <f>IFERROR(__xludf.DUMMYFUNCTION("SUMPRODUCT((IMPORTRANGE(""17XjIPGwafStTRf_8bPPaoi2EFjHVy10_rRJ0uvy6YcU"",""M:M"")=B17)*1, IMPORTRANGE(""17XjIPGwafStTRf_8bPPaoi2EFjHVy10_rRJ0uvy6YcU"",""X:X""), IMPORTRANGE(""17XjIPGwafStTRf_8bPPaoi2EFjHVy10_rRJ0uvy6YcU"",""AK:AK"")) - SUMPRODUCT((IMPORTR"&amp;"ANGE(""17XjIPGwafStTRf_8bPPaoi2EFjHVy10_rRJ0uvy6YcU"",""M:M"")=B17)*1, IMPORTRANGE(""17XjIPGwafStTRf_8bPPaoi2EFjHVy10_rRJ0uvy6YcU"",""X:X""), IMPORTRANGE(""17XjIPGwafStTRf_8bPPaoi2EFjHVy10_rRJ0uvy6YcU"",""AL:AL""))"),398258.0)</f>
        <v>398258</v>
      </c>
      <c r="D17" s="24">
        <f>IFERROR(__xludf.DUMMYFUNCTION("SUMPRODUCT((IMPORTRANGE(""17XjIPGwafStTRf_8bPPaoi2EFjHVy10_rRJ0uvy6YcU"",""M:M"")=B17)*1, IMPORTRANGE(""17XjIPGwafStTRf_8bPPaoi2EFjHVy10_rRJ0uvy6YcU"",""X:X""), IMPORTRANGE(""17XjIPGwafStTRf_8bPPaoi2EFjHVy10_rRJ0uvy6YcU"",""AA:AA"")) + SUMPRODUCT((IMPORTR"&amp;"ANGE(""17XjIPGwafStTRf_8bPPaoi2EFjHVy10_rRJ0uvy6YcU"",""M:M"")=B17)*1, IMPORTRANGE(""17XjIPGwafStTRf_8bPPaoi2EFjHVy10_rRJ0uvy6YcU"",""X:X""), IMPORTRANGE(""17XjIPGwafStTRf_8bPPaoi2EFjHVy10_rRJ0uvy6YcU"",""AE:AE"")) + SUMPRODUCT((IMPORTRANGE(""17XjIPGwafSt"&amp;"TRf_8bPPaoi2EFjHVy10_rRJ0uvy6YcU"",""M:M"")=B17)*1, IMPORTRANGE(""17XjIPGwafStTRf_8bPPaoi2EFjHVy10_rRJ0uvy6YcU"",""X:X""), IMPORTRANGE(""17XjIPGwafStTRf_8bPPaoi2EFjHVy10_rRJ0uvy6YcU"",""AF:AF""))"),247133.36468310925)</f>
        <v>247133.3647</v>
      </c>
      <c r="E17" s="24">
        <f>IFERROR(__xludf.DUMMYFUNCTION("SUMPRODUCT((IMPORTRANGE(""17XjIPGwafStTRf_8bPPaoi2EFjHVy10_rRJ0uvy6YcU"",""M:M"")=B17)*1, IMPORTRANGE(""17XjIPGwafStTRf_8bPPaoi2EFjHVy10_rRJ0uvy6YcU"",""X:X""), IMPORTRANGE(""17XjIPGwafStTRf_8bPPaoi2EFjHVy10_rRJ0uvy6YcU"",""AO:AO""))"),61947.906673674726)</f>
        <v>61947.90667</v>
      </c>
      <c r="F17" s="25">
        <f>IFERROR(__xludf.DUMMYFUNCTION("SUMPRODUCT((IMPORTRANGE(""17XjIPGwafStTRf_8bPPaoi2EFjHVy10_rRJ0uvy6YcU"",""M:M"")=B17)*1, IMPORTRANGE(""17XjIPGwafStTRf_8bPPaoi2EFjHVy10_rRJ0uvy6YcU"",""X:X""))"),108.0)</f>
        <v>108</v>
      </c>
      <c r="G17" s="26">
        <f>IFERROR(__xludf.DUMMYFUNCTION("COUNTIF(IMPORTRANGE(""17XjIPGwafStTRf_8bPPaoi2EFjHVy10_rRJ0uvy6YcU"",""M:M""), B17)"),37.0)</f>
        <v>37</v>
      </c>
      <c r="H17" s="27">
        <f t="shared" si="1"/>
        <v>2.918918919</v>
      </c>
      <c r="I17" s="28">
        <f t="shared" si="2"/>
        <v>0.1555471746</v>
      </c>
      <c r="J17" s="29">
        <f t="shared" si="3"/>
        <v>0.2506658976</v>
      </c>
      <c r="K17" s="32"/>
      <c r="L17" s="31" t="str">
        <f t="shared" si="4"/>
        <v/>
      </c>
      <c r="M17" s="31" t="str">
        <f t="shared" si="5"/>
        <v/>
      </c>
      <c r="N17" s="4"/>
    </row>
    <row r="18">
      <c r="A18" s="1"/>
      <c r="B18" s="23">
        <f t="shared" si="6"/>
        <v>44605</v>
      </c>
      <c r="C18" s="24">
        <f>IFERROR(__xludf.DUMMYFUNCTION("SUMPRODUCT((IMPORTRANGE(""17XjIPGwafStTRf_8bPPaoi2EFjHVy10_rRJ0uvy6YcU"",""M:M"")=B18)*1, IMPORTRANGE(""17XjIPGwafStTRf_8bPPaoi2EFjHVy10_rRJ0uvy6YcU"",""X:X""), IMPORTRANGE(""17XjIPGwafStTRf_8bPPaoi2EFjHVy10_rRJ0uvy6YcU"",""AK:AK"")) - SUMPRODUCT((IMPORTR"&amp;"ANGE(""17XjIPGwafStTRf_8bPPaoi2EFjHVy10_rRJ0uvy6YcU"",""M:M"")=B18)*1, IMPORTRANGE(""17XjIPGwafStTRf_8bPPaoi2EFjHVy10_rRJ0uvy6YcU"",""X:X""), IMPORTRANGE(""17XjIPGwafStTRf_8bPPaoi2EFjHVy10_rRJ0uvy6YcU"",""AL:AL""))"),981596.0)</f>
        <v>981596</v>
      </c>
      <c r="D18" s="24">
        <f>IFERROR(__xludf.DUMMYFUNCTION("SUMPRODUCT((IMPORTRANGE(""17XjIPGwafStTRf_8bPPaoi2EFjHVy10_rRJ0uvy6YcU"",""M:M"")=B18)*1, IMPORTRANGE(""17XjIPGwafStTRf_8bPPaoi2EFjHVy10_rRJ0uvy6YcU"",""X:X""), IMPORTRANGE(""17XjIPGwafStTRf_8bPPaoi2EFjHVy10_rRJ0uvy6YcU"",""AA:AA"")) + SUMPRODUCT((IMPORTR"&amp;"ANGE(""17XjIPGwafStTRf_8bPPaoi2EFjHVy10_rRJ0uvy6YcU"",""M:M"")=B18)*1, IMPORTRANGE(""17XjIPGwafStTRf_8bPPaoi2EFjHVy10_rRJ0uvy6YcU"",""X:X""), IMPORTRANGE(""17XjIPGwafStTRf_8bPPaoi2EFjHVy10_rRJ0uvy6YcU"",""AE:AE"")) + SUMPRODUCT((IMPORTRANGE(""17XjIPGwafSt"&amp;"TRf_8bPPaoi2EFjHVy10_rRJ0uvy6YcU"",""M:M"")=B18)*1, IMPORTRANGE(""17XjIPGwafStTRf_8bPPaoi2EFjHVy10_rRJ0uvy6YcU"",""X:X""), IMPORTRANGE(""17XjIPGwafStTRf_8bPPaoi2EFjHVy10_rRJ0uvy6YcU"",""AF:AF""))"),517498.2308438923)</f>
        <v>517498.2308</v>
      </c>
      <c r="E18" s="24">
        <f>IFERROR(__xludf.DUMMYFUNCTION("SUMPRODUCT((IMPORTRANGE(""17XjIPGwafStTRf_8bPPaoi2EFjHVy10_rRJ0uvy6YcU"",""M:M"")=B18)*1, IMPORTRANGE(""17XjIPGwafStTRf_8bPPaoi2EFjHVy10_rRJ0uvy6YcU"",""X:X""), IMPORTRANGE(""17XjIPGwafStTRf_8bPPaoi2EFjHVy10_rRJ0uvy6YcU"",""AO:AO""))"),249079.43456207792)</f>
        <v>249079.4346</v>
      </c>
      <c r="F18" s="25">
        <f>IFERROR(__xludf.DUMMYFUNCTION("SUMPRODUCT((IMPORTRANGE(""17XjIPGwafStTRf_8bPPaoi2EFjHVy10_rRJ0uvy6YcU"",""M:M"")=B18)*1, IMPORTRANGE(""17XjIPGwafStTRf_8bPPaoi2EFjHVy10_rRJ0uvy6YcU"",""X:X""))"),206.0)</f>
        <v>206</v>
      </c>
      <c r="G18" s="26">
        <f>IFERROR(__xludf.DUMMYFUNCTION("COUNTIF(IMPORTRANGE(""17XjIPGwafStTRf_8bPPaoi2EFjHVy10_rRJ0uvy6YcU"",""M:M""), B18)"),34.0)</f>
        <v>34</v>
      </c>
      <c r="H18" s="27">
        <f t="shared" si="1"/>
        <v>6.058823529</v>
      </c>
      <c r="I18" s="28">
        <f t="shared" si="2"/>
        <v>0.2537494392</v>
      </c>
      <c r="J18" s="29">
        <f t="shared" si="3"/>
        <v>0.4813145625</v>
      </c>
      <c r="K18" s="32"/>
      <c r="L18" s="31" t="str">
        <f t="shared" si="4"/>
        <v/>
      </c>
      <c r="M18" s="31" t="str">
        <f t="shared" si="5"/>
        <v/>
      </c>
      <c r="N18" s="4"/>
    </row>
    <row r="19">
      <c r="A19" s="1"/>
      <c r="B19" s="23">
        <f t="shared" si="6"/>
        <v>44606</v>
      </c>
      <c r="C19" s="24">
        <f>IFERROR(__xludf.DUMMYFUNCTION("SUMPRODUCT((IMPORTRANGE(""17XjIPGwafStTRf_8bPPaoi2EFjHVy10_rRJ0uvy6YcU"",""M:M"")=B19)*1, IMPORTRANGE(""17XjIPGwafStTRf_8bPPaoi2EFjHVy10_rRJ0uvy6YcU"",""X:X""), IMPORTRANGE(""17XjIPGwafStTRf_8bPPaoi2EFjHVy10_rRJ0uvy6YcU"",""AK:AK"")) - SUMPRODUCT((IMPORTR"&amp;"ANGE(""17XjIPGwafStTRf_8bPPaoi2EFjHVy10_rRJ0uvy6YcU"",""M:M"")=B19)*1, IMPORTRANGE(""17XjIPGwafStTRf_8bPPaoi2EFjHVy10_rRJ0uvy6YcU"",""X:X""), IMPORTRANGE(""17XjIPGwafStTRf_8bPPaoi2EFjHVy10_rRJ0uvy6YcU"",""AL:AL""))"),163675.0)</f>
        <v>163675</v>
      </c>
      <c r="D19" s="24">
        <f>IFERROR(__xludf.DUMMYFUNCTION("SUMPRODUCT((IMPORTRANGE(""17XjIPGwafStTRf_8bPPaoi2EFjHVy10_rRJ0uvy6YcU"",""M:M"")=B19)*1, IMPORTRANGE(""17XjIPGwafStTRf_8bPPaoi2EFjHVy10_rRJ0uvy6YcU"",""X:X""), IMPORTRANGE(""17XjIPGwafStTRf_8bPPaoi2EFjHVy10_rRJ0uvy6YcU"",""AA:AA"")) + SUMPRODUCT((IMPORTR"&amp;"ANGE(""17XjIPGwafStTRf_8bPPaoi2EFjHVy10_rRJ0uvy6YcU"",""M:M"")=B19)*1, IMPORTRANGE(""17XjIPGwafStTRf_8bPPaoi2EFjHVy10_rRJ0uvy6YcU"",""X:X""), IMPORTRANGE(""17XjIPGwafStTRf_8bPPaoi2EFjHVy10_rRJ0uvy6YcU"",""AE:AE"")) + SUMPRODUCT((IMPORTRANGE(""17XjIPGwafSt"&amp;"TRf_8bPPaoi2EFjHVy10_rRJ0uvy6YcU"",""M:M"")=B19)*1, IMPORTRANGE(""17XjIPGwafStTRf_8bPPaoi2EFjHVy10_rRJ0uvy6YcU"",""X:X""), IMPORTRANGE(""17XjIPGwafStTRf_8bPPaoi2EFjHVy10_rRJ0uvy6YcU"",""AF:AF""))"),107912.27213101905)</f>
        <v>107912.2721</v>
      </c>
      <c r="E19" s="24">
        <f>IFERROR(__xludf.DUMMYFUNCTION("SUMPRODUCT((IMPORTRANGE(""17XjIPGwafStTRf_8bPPaoi2EFjHVy10_rRJ0uvy6YcU"",""M:M"")=B19)*1, IMPORTRANGE(""17XjIPGwafStTRf_8bPPaoi2EFjHVy10_rRJ0uvy6YcU"",""X:X""), IMPORTRANGE(""17XjIPGwafStTRf_8bPPaoi2EFjHVy10_rRJ0uvy6YcU"",""AO:AO""))"),33722.03097209663)</f>
        <v>33722.03097</v>
      </c>
      <c r="F19" s="25">
        <f>IFERROR(__xludf.DUMMYFUNCTION("SUMPRODUCT((IMPORTRANGE(""17XjIPGwafStTRf_8bPPaoi2EFjHVy10_rRJ0uvy6YcU"",""M:M"")=B19)*1, IMPORTRANGE(""17XjIPGwafStTRf_8bPPaoi2EFjHVy10_rRJ0uvy6YcU"",""X:X""))"),41.0)</f>
        <v>41</v>
      </c>
      <c r="G19" s="26">
        <f>IFERROR(__xludf.DUMMYFUNCTION("COUNTIF(IMPORTRANGE(""17XjIPGwafStTRf_8bPPaoi2EFjHVy10_rRJ0uvy6YcU"",""M:M""), B19)"),21.0)</f>
        <v>21</v>
      </c>
      <c r="H19" s="27">
        <f t="shared" si="1"/>
        <v>1.952380952</v>
      </c>
      <c r="I19" s="28">
        <f t="shared" si="2"/>
        <v>0.2060304321</v>
      </c>
      <c r="J19" s="29">
        <f t="shared" si="3"/>
        <v>0.3124948656</v>
      </c>
      <c r="K19" s="32"/>
      <c r="L19" s="31" t="str">
        <f t="shared" si="4"/>
        <v/>
      </c>
      <c r="M19" s="31" t="str">
        <f t="shared" si="5"/>
        <v/>
      </c>
      <c r="N19" s="4"/>
    </row>
    <row r="20">
      <c r="A20" s="1"/>
      <c r="B20" s="23">
        <f t="shared" si="6"/>
        <v>44607</v>
      </c>
      <c r="C20" s="24">
        <f>IFERROR(__xludf.DUMMYFUNCTION("SUMPRODUCT((IMPORTRANGE(""17XjIPGwafStTRf_8bPPaoi2EFjHVy10_rRJ0uvy6YcU"",""M:M"")=B20)*1, IMPORTRANGE(""17XjIPGwafStTRf_8bPPaoi2EFjHVy10_rRJ0uvy6YcU"",""X:X""), IMPORTRANGE(""17XjIPGwafStTRf_8bPPaoi2EFjHVy10_rRJ0uvy6YcU"",""AK:AK"")) - SUMPRODUCT((IMPORTR"&amp;"ANGE(""17XjIPGwafStTRf_8bPPaoi2EFjHVy10_rRJ0uvy6YcU"",""M:M"")=B20)*1, IMPORTRANGE(""17XjIPGwafStTRf_8bPPaoi2EFjHVy10_rRJ0uvy6YcU"",""X:X""), IMPORTRANGE(""17XjIPGwafStTRf_8bPPaoi2EFjHVy10_rRJ0uvy6YcU"",""AL:AL""))"),636795.0)</f>
        <v>636795</v>
      </c>
      <c r="D20" s="24">
        <f>IFERROR(__xludf.DUMMYFUNCTION("SUMPRODUCT((IMPORTRANGE(""17XjIPGwafStTRf_8bPPaoi2EFjHVy10_rRJ0uvy6YcU"",""M:M"")=B20)*1, IMPORTRANGE(""17XjIPGwafStTRf_8bPPaoi2EFjHVy10_rRJ0uvy6YcU"",""X:X""), IMPORTRANGE(""17XjIPGwafStTRf_8bPPaoi2EFjHVy10_rRJ0uvy6YcU"",""AA:AA"")) + SUMPRODUCT((IMPORTR"&amp;"ANGE(""17XjIPGwafStTRf_8bPPaoi2EFjHVy10_rRJ0uvy6YcU"",""M:M"")=B20)*1, IMPORTRANGE(""17XjIPGwafStTRf_8bPPaoi2EFjHVy10_rRJ0uvy6YcU"",""X:X""), IMPORTRANGE(""17XjIPGwafStTRf_8bPPaoi2EFjHVy10_rRJ0uvy6YcU"",""AE:AE"")) + SUMPRODUCT((IMPORTRANGE(""17XjIPGwafSt"&amp;"TRf_8bPPaoi2EFjHVy10_rRJ0uvy6YcU"",""M:M"")=B20)*1, IMPORTRANGE(""17XjIPGwafStTRf_8bPPaoi2EFjHVy10_rRJ0uvy6YcU"",""X:X""), IMPORTRANGE(""17XjIPGwafStTRf_8bPPaoi2EFjHVy10_rRJ0uvy6YcU"",""AF:AF""))"),330401.578069135)</f>
        <v>330401.5781</v>
      </c>
      <c r="E20" s="24">
        <f>IFERROR(__xludf.DUMMYFUNCTION("SUMPRODUCT((IMPORTRANGE(""17XjIPGwafStTRf_8bPPaoi2EFjHVy10_rRJ0uvy6YcU"",""M:M"")=B20)*1, IMPORTRANGE(""17XjIPGwafStTRf_8bPPaoi2EFjHVy10_rRJ0uvy6YcU"",""X:X""), IMPORTRANGE(""17XjIPGwafStTRf_8bPPaoi2EFjHVy10_rRJ0uvy6YcU"",""AO:AO""))"),128644.705145574)</f>
        <v>128644.7051</v>
      </c>
      <c r="F20" s="25">
        <f>IFERROR(__xludf.DUMMYFUNCTION("SUMPRODUCT((IMPORTRANGE(""17XjIPGwafStTRf_8bPPaoi2EFjHVy10_rRJ0uvy6YcU"",""M:M"")=B20)*1, IMPORTRANGE(""17XjIPGwafStTRf_8bPPaoi2EFjHVy10_rRJ0uvy6YcU"",""X:X""))"),242.0)</f>
        <v>242</v>
      </c>
      <c r="G20" s="26">
        <f>IFERROR(__xludf.DUMMYFUNCTION("COUNTIF(IMPORTRANGE(""17XjIPGwafStTRf_8bPPaoi2EFjHVy10_rRJ0uvy6YcU"",""M:M""), B20)"),32.0)</f>
        <v>32</v>
      </c>
      <c r="H20" s="27">
        <f t="shared" si="1"/>
        <v>7.5625</v>
      </c>
      <c r="I20" s="28">
        <f t="shared" si="2"/>
        <v>0.2020190252</v>
      </c>
      <c r="J20" s="29">
        <f t="shared" si="3"/>
        <v>0.3893586281</v>
      </c>
      <c r="K20" s="32"/>
      <c r="L20" s="31" t="str">
        <f t="shared" si="4"/>
        <v/>
      </c>
      <c r="M20" s="31" t="str">
        <f t="shared" si="5"/>
        <v/>
      </c>
      <c r="N20" s="4"/>
    </row>
    <row r="21">
      <c r="A21" s="1"/>
      <c r="B21" s="23">
        <f t="shared" si="6"/>
        <v>44608</v>
      </c>
      <c r="C21" s="24">
        <f>IFERROR(__xludf.DUMMYFUNCTION("SUMPRODUCT((IMPORTRANGE(""17XjIPGwafStTRf_8bPPaoi2EFjHVy10_rRJ0uvy6YcU"",""M:M"")=B21)*1, IMPORTRANGE(""17XjIPGwafStTRf_8bPPaoi2EFjHVy10_rRJ0uvy6YcU"",""X:X""), IMPORTRANGE(""17XjIPGwafStTRf_8bPPaoi2EFjHVy10_rRJ0uvy6YcU"",""AK:AK"")) - SUMPRODUCT((IMPORTR"&amp;"ANGE(""17XjIPGwafStTRf_8bPPaoi2EFjHVy10_rRJ0uvy6YcU"",""M:M"")=B21)*1, IMPORTRANGE(""17XjIPGwafStTRf_8bPPaoi2EFjHVy10_rRJ0uvy6YcU"",""X:X""), IMPORTRANGE(""17XjIPGwafStTRf_8bPPaoi2EFjHVy10_rRJ0uvy6YcU"",""AL:AL""))"),1416760.0)</f>
        <v>1416760</v>
      </c>
      <c r="D21" s="24">
        <f>IFERROR(__xludf.DUMMYFUNCTION("SUMPRODUCT((IMPORTRANGE(""17XjIPGwafStTRf_8bPPaoi2EFjHVy10_rRJ0uvy6YcU"",""M:M"")=B21)*1, IMPORTRANGE(""17XjIPGwafStTRf_8bPPaoi2EFjHVy10_rRJ0uvy6YcU"",""X:X""), IMPORTRANGE(""17XjIPGwafStTRf_8bPPaoi2EFjHVy10_rRJ0uvy6YcU"",""AA:AA"")) + SUMPRODUCT((IMPORTR"&amp;"ANGE(""17XjIPGwafStTRf_8bPPaoi2EFjHVy10_rRJ0uvy6YcU"",""M:M"")=B21)*1, IMPORTRANGE(""17XjIPGwafStTRf_8bPPaoi2EFjHVy10_rRJ0uvy6YcU"",""X:X""), IMPORTRANGE(""17XjIPGwafStTRf_8bPPaoi2EFjHVy10_rRJ0uvy6YcU"",""AE:AE"")) + SUMPRODUCT((IMPORTRANGE(""17XjIPGwafSt"&amp;"TRf_8bPPaoi2EFjHVy10_rRJ0uvy6YcU"",""M:M"")=B21)*1, IMPORTRANGE(""17XjIPGwafStTRf_8bPPaoi2EFjHVy10_rRJ0uvy6YcU"",""X:X""), IMPORTRANGE(""17XjIPGwafStTRf_8bPPaoi2EFjHVy10_rRJ0uvy6YcU"",""AF:AF""))"),890814.2299965635)</f>
        <v>890814.23</v>
      </c>
      <c r="E21" s="24">
        <f>IFERROR(__xludf.DUMMYFUNCTION("SUMPRODUCT((IMPORTRANGE(""17XjIPGwafStTRf_8bPPaoi2EFjHVy10_rRJ0uvy6YcU"",""M:M"")=B21)*1, IMPORTRANGE(""17XjIPGwafStTRf_8bPPaoi2EFjHVy10_rRJ0uvy6YcU"",""X:X""), IMPORTRANGE(""17XjIPGwafStTRf_8bPPaoi2EFjHVy10_rRJ0uvy6YcU"",""AO:AO""))"),276215.18953265296)</f>
        <v>276215.1895</v>
      </c>
      <c r="F21" s="25">
        <f>IFERROR(__xludf.DUMMYFUNCTION("SUMPRODUCT((IMPORTRANGE(""17XjIPGwafStTRf_8bPPaoi2EFjHVy10_rRJ0uvy6YcU"",""M:M"")=B21)*1, IMPORTRANGE(""17XjIPGwafStTRf_8bPPaoi2EFjHVy10_rRJ0uvy6YcU"",""X:X""))"),273.0)</f>
        <v>273</v>
      </c>
      <c r="G21" s="26">
        <f>IFERROR(__xludf.DUMMYFUNCTION("COUNTIF(IMPORTRANGE(""17XjIPGwafStTRf_8bPPaoi2EFjHVy10_rRJ0uvy6YcU"",""M:M""), B21)"),40.0)</f>
        <v>40</v>
      </c>
      <c r="H21" s="27">
        <f t="shared" si="1"/>
        <v>6.825</v>
      </c>
      <c r="I21" s="28">
        <f t="shared" si="2"/>
        <v>0.1949625833</v>
      </c>
      <c r="J21" s="29">
        <f t="shared" si="3"/>
        <v>0.3100704729</v>
      </c>
      <c r="K21" s="32"/>
      <c r="L21" s="31" t="str">
        <f t="shared" si="4"/>
        <v/>
      </c>
      <c r="M21" s="31" t="str">
        <f t="shared" si="5"/>
        <v/>
      </c>
      <c r="N21" s="4"/>
    </row>
    <row r="22">
      <c r="A22" s="1"/>
      <c r="B22" s="23">
        <f t="shared" si="6"/>
        <v>44609</v>
      </c>
      <c r="C22" s="24">
        <f>IFERROR(__xludf.DUMMYFUNCTION("SUMPRODUCT((IMPORTRANGE(""17XjIPGwafStTRf_8bPPaoi2EFjHVy10_rRJ0uvy6YcU"",""M:M"")=B22)*1, IMPORTRANGE(""17XjIPGwafStTRf_8bPPaoi2EFjHVy10_rRJ0uvy6YcU"",""X:X""), IMPORTRANGE(""17XjIPGwafStTRf_8bPPaoi2EFjHVy10_rRJ0uvy6YcU"",""AK:AK"")) - SUMPRODUCT((IMPORTR"&amp;"ANGE(""17XjIPGwafStTRf_8bPPaoi2EFjHVy10_rRJ0uvy6YcU"",""M:M"")=B22)*1, IMPORTRANGE(""17XjIPGwafStTRf_8bPPaoi2EFjHVy10_rRJ0uvy6YcU"",""X:X""), IMPORTRANGE(""17XjIPGwafStTRf_8bPPaoi2EFjHVy10_rRJ0uvy6YcU"",""AL:AL""))"),208564.0)</f>
        <v>208564</v>
      </c>
      <c r="D22" s="24">
        <f>IFERROR(__xludf.DUMMYFUNCTION("SUMPRODUCT((IMPORTRANGE(""17XjIPGwafStTRf_8bPPaoi2EFjHVy10_rRJ0uvy6YcU"",""M:M"")=B22)*1, IMPORTRANGE(""17XjIPGwafStTRf_8bPPaoi2EFjHVy10_rRJ0uvy6YcU"",""X:X""), IMPORTRANGE(""17XjIPGwafStTRf_8bPPaoi2EFjHVy10_rRJ0uvy6YcU"",""AA:AA"")) + SUMPRODUCT((IMPORTR"&amp;"ANGE(""17XjIPGwafStTRf_8bPPaoi2EFjHVy10_rRJ0uvy6YcU"",""M:M"")=B22)*1, IMPORTRANGE(""17XjIPGwafStTRf_8bPPaoi2EFjHVy10_rRJ0uvy6YcU"",""X:X""), IMPORTRANGE(""17XjIPGwafStTRf_8bPPaoi2EFjHVy10_rRJ0uvy6YcU"",""AE:AE"")) + SUMPRODUCT((IMPORTRANGE(""17XjIPGwafSt"&amp;"TRf_8bPPaoi2EFjHVy10_rRJ0uvy6YcU"",""M:M"")=B22)*1, IMPORTRANGE(""17XjIPGwafStTRf_8bPPaoi2EFjHVy10_rRJ0uvy6YcU"",""X:X""), IMPORTRANGE(""17XjIPGwafStTRf_8bPPaoi2EFjHVy10_rRJ0uvy6YcU"",""AF:AF""))"),129566.79345382321)</f>
        <v>129566.7935</v>
      </c>
      <c r="E22" s="24">
        <f>IFERROR(__xludf.DUMMYFUNCTION("SUMPRODUCT((IMPORTRANGE(""17XjIPGwafStTRf_8bPPaoi2EFjHVy10_rRJ0uvy6YcU"",""M:M"")=B22)*1, IMPORTRANGE(""17XjIPGwafStTRf_8bPPaoi2EFjHVy10_rRJ0uvy6YcU"",""X:X""), IMPORTRANGE(""17XjIPGwafStTRf_8bPPaoi2EFjHVy10_rRJ0uvy6YcU"",""AO:AO""))"),30808.806546176773)</f>
        <v>30808.80655</v>
      </c>
      <c r="F22" s="25">
        <f>IFERROR(__xludf.DUMMYFUNCTION("SUMPRODUCT((IMPORTRANGE(""17XjIPGwafStTRf_8bPPaoi2EFjHVy10_rRJ0uvy6YcU"",""M:M"")=B22)*1, IMPORTRANGE(""17XjIPGwafStTRf_8bPPaoi2EFjHVy10_rRJ0uvy6YcU"",""X:X""))"),47.0)</f>
        <v>47</v>
      </c>
      <c r="G22" s="26">
        <f>IFERROR(__xludf.DUMMYFUNCTION("COUNTIF(IMPORTRANGE(""17XjIPGwafStTRf_8bPPaoi2EFjHVy10_rRJ0uvy6YcU"",""M:M""), B22)"),16.0)</f>
        <v>16</v>
      </c>
      <c r="H22" s="27">
        <f t="shared" si="1"/>
        <v>2.9375</v>
      </c>
      <c r="I22" s="28">
        <f t="shared" si="2"/>
        <v>0.1477187173</v>
      </c>
      <c r="J22" s="29">
        <f t="shared" si="3"/>
        <v>0.2377831983</v>
      </c>
      <c r="K22" s="32"/>
      <c r="L22" s="31" t="str">
        <f t="shared" si="4"/>
        <v/>
      </c>
      <c r="M22" s="31" t="str">
        <f t="shared" si="5"/>
        <v/>
      </c>
      <c r="N22" s="4"/>
    </row>
    <row r="23">
      <c r="A23" s="1"/>
      <c r="B23" s="23">
        <f t="shared" si="6"/>
        <v>44610</v>
      </c>
      <c r="C23" s="24">
        <f>IFERROR(__xludf.DUMMYFUNCTION("SUMPRODUCT((IMPORTRANGE(""17XjIPGwafStTRf_8bPPaoi2EFjHVy10_rRJ0uvy6YcU"",""M:M"")=B23)*1, IMPORTRANGE(""17XjIPGwafStTRf_8bPPaoi2EFjHVy10_rRJ0uvy6YcU"",""X:X""), IMPORTRANGE(""17XjIPGwafStTRf_8bPPaoi2EFjHVy10_rRJ0uvy6YcU"",""AK:AK"")) - SUMPRODUCT((IMPORTR"&amp;"ANGE(""17XjIPGwafStTRf_8bPPaoi2EFjHVy10_rRJ0uvy6YcU"",""M:M"")=B23)*1, IMPORTRANGE(""17XjIPGwafStTRf_8bPPaoi2EFjHVy10_rRJ0uvy6YcU"",""X:X""), IMPORTRANGE(""17XjIPGwafStTRf_8bPPaoi2EFjHVy10_rRJ0uvy6YcU"",""AL:AL""))"),1158082.0)</f>
        <v>1158082</v>
      </c>
      <c r="D23" s="24">
        <f>IFERROR(__xludf.DUMMYFUNCTION("SUMPRODUCT((IMPORTRANGE(""17XjIPGwafStTRf_8bPPaoi2EFjHVy10_rRJ0uvy6YcU"",""M:M"")=B23)*1, IMPORTRANGE(""17XjIPGwafStTRf_8bPPaoi2EFjHVy10_rRJ0uvy6YcU"",""X:X""), IMPORTRANGE(""17XjIPGwafStTRf_8bPPaoi2EFjHVy10_rRJ0uvy6YcU"",""AA:AA"")) + SUMPRODUCT((IMPORTR"&amp;"ANGE(""17XjIPGwafStTRf_8bPPaoi2EFjHVy10_rRJ0uvy6YcU"",""M:M"")=B23)*1, IMPORTRANGE(""17XjIPGwafStTRf_8bPPaoi2EFjHVy10_rRJ0uvy6YcU"",""X:X""), IMPORTRANGE(""17XjIPGwafStTRf_8bPPaoi2EFjHVy10_rRJ0uvy6YcU"",""AE:AE"")) + SUMPRODUCT((IMPORTRANGE(""17XjIPGwafSt"&amp;"TRf_8bPPaoi2EFjHVy10_rRJ0uvy6YcU"",""M:M"")=B23)*1, IMPORTRANGE(""17XjIPGwafStTRf_8bPPaoi2EFjHVy10_rRJ0uvy6YcU"",""X:X""), IMPORTRANGE(""17XjIPGwafStTRf_8bPPaoi2EFjHVy10_rRJ0uvy6YcU"",""AF:AF""))"),690943.1778221322)</f>
        <v>690943.1778</v>
      </c>
      <c r="E23" s="24">
        <f>IFERROR(__xludf.DUMMYFUNCTION("SUMPRODUCT((IMPORTRANGE(""17XjIPGwafStTRf_8bPPaoi2EFjHVy10_rRJ0uvy6YcU"",""M:M"")=B23)*1, IMPORTRANGE(""17XjIPGwafStTRf_8bPPaoi2EFjHVy10_rRJ0uvy6YcU"",""X:X""), IMPORTRANGE(""17XjIPGwafStTRf_8bPPaoi2EFjHVy10_rRJ0uvy6YcU"",""AO:AO""))"),182036.28609811404)</f>
        <v>182036.2861</v>
      </c>
      <c r="F23" s="25">
        <f>IFERROR(__xludf.DUMMYFUNCTION("SUMPRODUCT((IMPORTRANGE(""17XjIPGwafStTRf_8bPPaoi2EFjHVy10_rRJ0uvy6YcU"",""M:M"")=B23)*1, IMPORTRANGE(""17XjIPGwafStTRf_8bPPaoi2EFjHVy10_rRJ0uvy6YcU"",""X:X""))"),249.0)</f>
        <v>249</v>
      </c>
      <c r="G23" s="26">
        <f>IFERROR(__xludf.DUMMYFUNCTION("COUNTIF(IMPORTRANGE(""17XjIPGwafStTRf_8bPPaoi2EFjHVy10_rRJ0uvy6YcU"",""M:M""), B23)"),23.0)</f>
        <v>23</v>
      </c>
      <c r="H23" s="27">
        <f t="shared" si="1"/>
        <v>10.82608696</v>
      </c>
      <c r="I23" s="28">
        <f t="shared" si="2"/>
        <v>0.1571877346</v>
      </c>
      <c r="J23" s="29">
        <f t="shared" si="3"/>
        <v>0.2634605738</v>
      </c>
      <c r="K23" s="32"/>
      <c r="L23" s="31" t="str">
        <f t="shared" si="4"/>
        <v/>
      </c>
      <c r="M23" s="31" t="str">
        <f t="shared" si="5"/>
        <v/>
      </c>
      <c r="N23" s="4"/>
    </row>
    <row r="24">
      <c r="A24" s="1"/>
      <c r="B24" s="23">
        <f t="shared" si="6"/>
        <v>44611</v>
      </c>
      <c r="C24" s="24">
        <f>IFERROR(__xludf.DUMMYFUNCTION("SUMPRODUCT((IMPORTRANGE(""17XjIPGwafStTRf_8bPPaoi2EFjHVy10_rRJ0uvy6YcU"",""M:M"")=B24)*1, IMPORTRANGE(""17XjIPGwafStTRf_8bPPaoi2EFjHVy10_rRJ0uvy6YcU"",""X:X""), IMPORTRANGE(""17XjIPGwafStTRf_8bPPaoi2EFjHVy10_rRJ0uvy6YcU"",""AK:AK"")) - SUMPRODUCT((IMPORTR"&amp;"ANGE(""17XjIPGwafStTRf_8bPPaoi2EFjHVy10_rRJ0uvy6YcU"",""M:M"")=B24)*1, IMPORTRANGE(""17XjIPGwafStTRf_8bPPaoi2EFjHVy10_rRJ0uvy6YcU"",""X:X""), IMPORTRANGE(""17XjIPGwafStTRf_8bPPaoi2EFjHVy10_rRJ0uvy6YcU"",""AL:AL""))"),260772.0)</f>
        <v>260772</v>
      </c>
      <c r="D24" s="24">
        <f>IFERROR(__xludf.DUMMYFUNCTION("SUMPRODUCT((IMPORTRANGE(""17XjIPGwafStTRf_8bPPaoi2EFjHVy10_rRJ0uvy6YcU"",""M:M"")=B24)*1, IMPORTRANGE(""17XjIPGwafStTRf_8bPPaoi2EFjHVy10_rRJ0uvy6YcU"",""X:X""), IMPORTRANGE(""17XjIPGwafStTRf_8bPPaoi2EFjHVy10_rRJ0uvy6YcU"",""AA:AA"")) + SUMPRODUCT((IMPORTR"&amp;"ANGE(""17XjIPGwafStTRf_8bPPaoi2EFjHVy10_rRJ0uvy6YcU"",""M:M"")=B24)*1, IMPORTRANGE(""17XjIPGwafStTRf_8bPPaoi2EFjHVy10_rRJ0uvy6YcU"",""X:X""), IMPORTRANGE(""17XjIPGwafStTRf_8bPPaoi2EFjHVy10_rRJ0uvy6YcU"",""AE:AE"")) + SUMPRODUCT((IMPORTRANGE(""17XjIPGwafSt"&amp;"TRf_8bPPaoi2EFjHVy10_rRJ0uvy6YcU"",""M:M"")=B24)*1, IMPORTRANGE(""17XjIPGwafStTRf_8bPPaoi2EFjHVy10_rRJ0uvy6YcU"",""X:X""), IMPORTRANGE(""17XjIPGwafStTRf_8bPPaoi2EFjHVy10_rRJ0uvy6YcU"",""AF:AF""))"),156993.9316175917)</f>
        <v>156993.9316</v>
      </c>
      <c r="E24" s="24">
        <f>IFERROR(__xludf.DUMMYFUNCTION("SUMPRODUCT((IMPORTRANGE(""17XjIPGwafStTRf_8bPPaoi2EFjHVy10_rRJ0uvy6YcU"",""M:M"")=B24)*1, IMPORTRANGE(""17XjIPGwafStTRf_8bPPaoi2EFjHVy10_rRJ0uvy6YcU"",""X:X""), IMPORTRANGE(""17XjIPGwafStTRf_8bPPaoi2EFjHVy10_rRJ0uvy6YcU"",""AO:AO""))"),46918.768382408285)</f>
        <v>46918.76838</v>
      </c>
      <c r="F24" s="25">
        <f>IFERROR(__xludf.DUMMYFUNCTION("SUMPRODUCT((IMPORTRANGE(""17XjIPGwafStTRf_8bPPaoi2EFjHVy10_rRJ0uvy6YcU"",""M:M"")=B24)*1, IMPORTRANGE(""17XjIPGwafStTRf_8bPPaoi2EFjHVy10_rRJ0uvy6YcU"",""X:X""))"),60.0)</f>
        <v>60</v>
      </c>
      <c r="G24" s="26">
        <f>IFERROR(__xludf.DUMMYFUNCTION("COUNTIF(IMPORTRANGE(""17XjIPGwafStTRf_8bPPaoi2EFjHVy10_rRJ0uvy6YcU"",""M:M""), B24)"),22.0)</f>
        <v>22</v>
      </c>
      <c r="H24" s="27">
        <f t="shared" si="1"/>
        <v>2.727272727</v>
      </c>
      <c r="I24" s="28">
        <f t="shared" si="2"/>
        <v>0.1799225698</v>
      </c>
      <c r="J24" s="29">
        <f t="shared" si="3"/>
        <v>0.29885721</v>
      </c>
      <c r="K24" s="30"/>
      <c r="L24" s="31" t="str">
        <f t="shared" si="4"/>
        <v/>
      </c>
      <c r="M24" s="31" t="str">
        <f t="shared" si="5"/>
        <v/>
      </c>
      <c r="N24" s="4"/>
    </row>
    <row r="25">
      <c r="A25" s="1"/>
      <c r="B25" s="23">
        <f t="shared" si="6"/>
        <v>44612</v>
      </c>
      <c r="C25" s="24">
        <f>IFERROR(__xludf.DUMMYFUNCTION("SUMPRODUCT((IMPORTRANGE(""17XjIPGwafStTRf_8bPPaoi2EFjHVy10_rRJ0uvy6YcU"",""M:M"")=B25)*1, IMPORTRANGE(""17XjIPGwafStTRf_8bPPaoi2EFjHVy10_rRJ0uvy6YcU"",""X:X""), IMPORTRANGE(""17XjIPGwafStTRf_8bPPaoi2EFjHVy10_rRJ0uvy6YcU"",""AK:AK"")) - SUMPRODUCT((IMPORTR"&amp;"ANGE(""17XjIPGwafStTRf_8bPPaoi2EFjHVy10_rRJ0uvy6YcU"",""M:M"")=B25)*1, IMPORTRANGE(""17XjIPGwafStTRf_8bPPaoi2EFjHVy10_rRJ0uvy6YcU"",""X:X""), IMPORTRANGE(""17XjIPGwafStTRf_8bPPaoi2EFjHVy10_rRJ0uvy6YcU"",""AL:AL""))"),676549.0)</f>
        <v>676549</v>
      </c>
      <c r="D25" s="24">
        <f>IFERROR(__xludf.DUMMYFUNCTION("SUMPRODUCT((IMPORTRANGE(""17XjIPGwafStTRf_8bPPaoi2EFjHVy10_rRJ0uvy6YcU"",""M:M"")=B25)*1, IMPORTRANGE(""17XjIPGwafStTRf_8bPPaoi2EFjHVy10_rRJ0uvy6YcU"",""X:X""), IMPORTRANGE(""17XjIPGwafStTRf_8bPPaoi2EFjHVy10_rRJ0uvy6YcU"",""AA:AA"")) + SUMPRODUCT((IMPORTR"&amp;"ANGE(""17XjIPGwafStTRf_8bPPaoi2EFjHVy10_rRJ0uvy6YcU"",""M:M"")=B25)*1, IMPORTRANGE(""17XjIPGwafStTRf_8bPPaoi2EFjHVy10_rRJ0uvy6YcU"",""X:X""), IMPORTRANGE(""17XjIPGwafStTRf_8bPPaoi2EFjHVy10_rRJ0uvy6YcU"",""AE:AE"")) + SUMPRODUCT((IMPORTRANGE(""17XjIPGwafSt"&amp;"TRf_8bPPaoi2EFjHVy10_rRJ0uvy6YcU"",""M:M"")=B25)*1, IMPORTRANGE(""17XjIPGwafStTRf_8bPPaoi2EFjHVy10_rRJ0uvy6YcU"",""X:X""), IMPORTRANGE(""17XjIPGwafStTRf_8bPPaoi2EFjHVy10_rRJ0uvy6YcU"",""AF:AF""))"),453557.6437127386)</f>
        <v>453557.6437</v>
      </c>
      <c r="E25" s="24">
        <f>IFERROR(__xludf.DUMMYFUNCTION("SUMPRODUCT((IMPORTRANGE(""17XjIPGwafStTRf_8bPPaoi2EFjHVy10_rRJ0uvy6YcU"",""M:M"")=B25)*1, IMPORTRANGE(""17XjIPGwafStTRf_8bPPaoi2EFjHVy10_rRJ0uvy6YcU"",""X:X""), IMPORTRANGE(""17XjIPGwafStTRf_8bPPaoi2EFjHVy10_rRJ0uvy6YcU"",""AO:AO""))"),106280.35628726141)</f>
        <v>106280.3563</v>
      </c>
      <c r="F25" s="25">
        <f>IFERROR(__xludf.DUMMYFUNCTION("SUMPRODUCT((IMPORTRANGE(""17XjIPGwafStTRf_8bPPaoi2EFjHVy10_rRJ0uvy6YcU"",""M:M"")=B25)*1, IMPORTRANGE(""17XjIPGwafStTRf_8bPPaoi2EFjHVy10_rRJ0uvy6YcU"",""X:X""))"),117.0)</f>
        <v>117</v>
      </c>
      <c r="G25" s="26">
        <f>IFERROR(__xludf.DUMMYFUNCTION("COUNTIF(IMPORTRANGE(""17XjIPGwafStTRf_8bPPaoi2EFjHVy10_rRJ0uvy6YcU"",""M:M""), B25)"),42.0)</f>
        <v>42</v>
      </c>
      <c r="H25" s="27">
        <f t="shared" si="1"/>
        <v>2.785714286</v>
      </c>
      <c r="I25" s="28">
        <f t="shared" si="2"/>
        <v>0.1570918829</v>
      </c>
      <c r="J25" s="29">
        <f t="shared" si="3"/>
        <v>0.2343260173</v>
      </c>
      <c r="K25" s="32"/>
      <c r="L25" s="31" t="str">
        <f t="shared" si="4"/>
        <v/>
      </c>
      <c r="M25" s="31" t="str">
        <f t="shared" si="5"/>
        <v/>
      </c>
      <c r="N25" s="4"/>
    </row>
    <row r="26">
      <c r="A26" s="1"/>
      <c r="B26" s="23">
        <f t="shared" si="6"/>
        <v>44613</v>
      </c>
      <c r="C26" s="24">
        <f>IFERROR(__xludf.DUMMYFUNCTION("SUMPRODUCT((IMPORTRANGE(""17XjIPGwafStTRf_8bPPaoi2EFjHVy10_rRJ0uvy6YcU"",""M:M"")=B26)*1, IMPORTRANGE(""17XjIPGwafStTRf_8bPPaoi2EFjHVy10_rRJ0uvy6YcU"",""X:X""), IMPORTRANGE(""17XjIPGwafStTRf_8bPPaoi2EFjHVy10_rRJ0uvy6YcU"",""AK:AK"")) - SUMPRODUCT((IMPORTR"&amp;"ANGE(""17XjIPGwafStTRf_8bPPaoi2EFjHVy10_rRJ0uvy6YcU"",""M:M"")=B26)*1, IMPORTRANGE(""17XjIPGwafStTRf_8bPPaoi2EFjHVy10_rRJ0uvy6YcU"",""X:X""), IMPORTRANGE(""17XjIPGwafStTRf_8bPPaoi2EFjHVy10_rRJ0uvy6YcU"",""AL:AL""))"),436055.0)</f>
        <v>436055</v>
      </c>
      <c r="D26" s="24">
        <f>IFERROR(__xludf.DUMMYFUNCTION("SUMPRODUCT((IMPORTRANGE(""17XjIPGwafStTRf_8bPPaoi2EFjHVy10_rRJ0uvy6YcU"",""M:M"")=B26)*1, IMPORTRANGE(""17XjIPGwafStTRf_8bPPaoi2EFjHVy10_rRJ0uvy6YcU"",""X:X""), IMPORTRANGE(""17XjIPGwafStTRf_8bPPaoi2EFjHVy10_rRJ0uvy6YcU"",""AA:AA"")) + SUMPRODUCT((IMPORTR"&amp;"ANGE(""17XjIPGwafStTRf_8bPPaoi2EFjHVy10_rRJ0uvy6YcU"",""M:M"")=B26)*1, IMPORTRANGE(""17XjIPGwafStTRf_8bPPaoi2EFjHVy10_rRJ0uvy6YcU"",""X:X""), IMPORTRANGE(""17XjIPGwafStTRf_8bPPaoi2EFjHVy10_rRJ0uvy6YcU"",""AE:AE"")) + SUMPRODUCT((IMPORTRANGE(""17XjIPGwafSt"&amp;"TRf_8bPPaoi2EFjHVy10_rRJ0uvy6YcU"",""M:M"")=B26)*1, IMPORTRANGE(""17XjIPGwafStTRf_8bPPaoi2EFjHVy10_rRJ0uvy6YcU"",""X:X""), IMPORTRANGE(""17XjIPGwafStTRf_8bPPaoi2EFjHVy10_rRJ0uvy6YcU"",""AF:AF""))"),284915.05623678974)</f>
        <v>284915.0562</v>
      </c>
      <c r="E26" s="24">
        <f>IFERROR(__xludf.DUMMYFUNCTION("SUMPRODUCT((IMPORTRANGE(""17XjIPGwafStTRf_8bPPaoi2EFjHVy10_rRJ0uvy6YcU"",""M:M"")=B26)*1, IMPORTRANGE(""17XjIPGwafStTRf_8bPPaoi2EFjHVy10_rRJ0uvy6YcU"",""X:X""), IMPORTRANGE(""17XjIPGwafStTRf_8bPPaoi2EFjHVy10_rRJ0uvy6YcU"",""AO:AO""))"),82926.14376321028)</f>
        <v>82926.14376</v>
      </c>
      <c r="F26" s="25">
        <f>IFERROR(__xludf.DUMMYFUNCTION("SUMPRODUCT((IMPORTRANGE(""17XjIPGwafStTRf_8bPPaoi2EFjHVy10_rRJ0uvy6YcU"",""M:M"")=B26)*1, IMPORTRANGE(""17XjIPGwafStTRf_8bPPaoi2EFjHVy10_rRJ0uvy6YcU"",""X:X""))"),62.0)</f>
        <v>62</v>
      </c>
      <c r="G26" s="26">
        <f>IFERROR(__xludf.DUMMYFUNCTION("COUNTIF(IMPORTRANGE(""17XjIPGwafStTRf_8bPPaoi2EFjHVy10_rRJ0uvy6YcU"",""M:M""), B26)"),32.0)</f>
        <v>32</v>
      </c>
      <c r="H26" s="27">
        <f t="shared" si="1"/>
        <v>1.9375</v>
      </c>
      <c r="I26" s="28">
        <f t="shared" si="2"/>
        <v>0.1901735877</v>
      </c>
      <c r="J26" s="29">
        <f t="shared" si="3"/>
        <v>0.2910556741</v>
      </c>
      <c r="K26" s="30"/>
      <c r="L26" s="31" t="str">
        <f t="shared" si="4"/>
        <v/>
      </c>
      <c r="M26" s="31" t="str">
        <f t="shared" si="5"/>
        <v/>
      </c>
      <c r="N26" s="4"/>
    </row>
    <row r="27">
      <c r="A27" s="1"/>
      <c r="B27" s="23">
        <f t="shared" si="6"/>
        <v>44614</v>
      </c>
      <c r="C27" s="24">
        <f>IFERROR(__xludf.DUMMYFUNCTION("SUMPRODUCT((IMPORTRANGE(""17XjIPGwafStTRf_8bPPaoi2EFjHVy10_rRJ0uvy6YcU"",""M:M"")=B27)*1, IMPORTRANGE(""17XjIPGwafStTRf_8bPPaoi2EFjHVy10_rRJ0uvy6YcU"",""X:X""), IMPORTRANGE(""17XjIPGwafStTRf_8bPPaoi2EFjHVy10_rRJ0uvy6YcU"",""AK:AK"")) - SUMPRODUCT((IMPORTR"&amp;"ANGE(""17XjIPGwafStTRf_8bPPaoi2EFjHVy10_rRJ0uvy6YcU"",""M:M"")=B27)*1, IMPORTRANGE(""17XjIPGwafStTRf_8bPPaoi2EFjHVy10_rRJ0uvy6YcU"",""X:X""), IMPORTRANGE(""17XjIPGwafStTRf_8bPPaoi2EFjHVy10_rRJ0uvy6YcU"",""AL:AL""))"),445188.0)</f>
        <v>445188</v>
      </c>
      <c r="D27" s="24">
        <f>IFERROR(__xludf.DUMMYFUNCTION("SUMPRODUCT((IMPORTRANGE(""17XjIPGwafStTRf_8bPPaoi2EFjHVy10_rRJ0uvy6YcU"",""M:M"")=B27)*1, IMPORTRANGE(""17XjIPGwafStTRf_8bPPaoi2EFjHVy10_rRJ0uvy6YcU"",""X:X""), IMPORTRANGE(""17XjIPGwafStTRf_8bPPaoi2EFjHVy10_rRJ0uvy6YcU"",""AA:AA"")) + SUMPRODUCT((IMPORTR"&amp;"ANGE(""17XjIPGwafStTRf_8bPPaoi2EFjHVy10_rRJ0uvy6YcU"",""M:M"")=B27)*1, IMPORTRANGE(""17XjIPGwafStTRf_8bPPaoi2EFjHVy10_rRJ0uvy6YcU"",""X:X""), IMPORTRANGE(""17XjIPGwafStTRf_8bPPaoi2EFjHVy10_rRJ0uvy6YcU"",""AE:AE"")) + SUMPRODUCT((IMPORTRANGE(""17XjIPGwafSt"&amp;"TRf_8bPPaoi2EFjHVy10_rRJ0uvy6YcU"",""M:M"")=B27)*1, IMPORTRANGE(""17XjIPGwafStTRf_8bPPaoi2EFjHVy10_rRJ0uvy6YcU"",""X:X""), IMPORTRANGE(""17XjIPGwafStTRf_8bPPaoi2EFjHVy10_rRJ0uvy6YcU"",""AF:AF""))"),279131.0621604362)</f>
        <v>279131.0622</v>
      </c>
      <c r="E27" s="24">
        <f>IFERROR(__xludf.DUMMYFUNCTION("SUMPRODUCT((IMPORTRANGE(""17XjIPGwafStTRf_8bPPaoi2EFjHVy10_rRJ0uvy6YcU"",""M:M"")=B27)*1, IMPORTRANGE(""17XjIPGwafStTRf_8bPPaoi2EFjHVy10_rRJ0uvy6YcU"",""X:X""), IMPORTRANGE(""17XjIPGwafStTRf_8bPPaoi2EFjHVy10_rRJ0uvy6YcU"",""AO:AO""))"),85299.23783956382)</f>
        <v>85299.23784</v>
      </c>
      <c r="F27" s="25">
        <f>IFERROR(__xludf.DUMMYFUNCTION("SUMPRODUCT((IMPORTRANGE(""17XjIPGwafStTRf_8bPPaoi2EFjHVy10_rRJ0uvy6YcU"",""M:M"")=B27)*1, IMPORTRANGE(""17XjIPGwafStTRf_8bPPaoi2EFjHVy10_rRJ0uvy6YcU"",""X:X""))"),68.0)</f>
        <v>68</v>
      </c>
      <c r="G27" s="26">
        <f>IFERROR(__xludf.DUMMYFUNCTION("COUNTIF(IMPORTRANGE(""17XjIPGwafStTRf_8bPPaoi2EFjHVy10_rRJ0uvy6YcU"",""M:M""), B27)"),34.0)</f>
        <v>34</v>
      </c>
      <c r="H27" s="27">
        <f t="shared" si="1"/>
        <v>2</v>
      </c>
      <c r="I27" s="28">
        <f t="shared" si="2"/>
        <v>0.1916027338</v>
      </c>
      <c r="J27" s="29">
        <f t="shared" si="3"/>
        <v>0.305588483</v>
      </c>
      <c r="K27" s="32"/>
      <c r="L27" s="31" t="str">
        <f t="shared" si="4"/>
        <v/>
      </c>
      <c r="M27" s="31" t="str">
        <f t="shared" si="5"/>
        <v/>
      </c>
      <c r="N27" s="4"/>
    </row>
    <row r="28">
      <c r="A28" s="1"/>
      <c r="B28" s="23">
        <f t="shared" si="6"/>
        <v>44615</v>
      </c>
      <c r="C28" s="24">
        <f>IFERROR(__xludf.DUMMYFUNCTION("SUMPRODUCT((IMPORTRANGE(""17XjIPGwafStTRf_8bPPaoi2EFjHVy10_rRJ0uvy6YcU"",""M:M"")=B28)*1, IMPORTRANGE(""17XjIPGwafStTRf_8bPPaoi2EFjHVy10_rRJ0uvy6YcU"",""X:X""), IMPORTRANGE(""17XjIPGwafStTRf_8bPPaoi2EFjHVy10_rRJ0uvy6YcU"",""AK:AK"")) - SUMPRODUCT((IMPORTR"&amp;"ANGE(""17XjIPGwafStTRf_8bPPaoi2EFjHVy10_rRJ0uvy6YcU"",""M:M"")=B28)*1, IMPORTRANGE(""17XjIPGwafStTRf_8bPPaoi2EFjHVy10_rRJ0uvy6YcU"",""X:X""), IMPORTRANGE(""17XjIPGwafStTRf_8bPPaoi2EFjHVy10_rRJ0uvy6YcU"",""AL:AL""))"),295667.0)</f>
        <v>295667</v>
      </c>
      <c r="D28" s="24">
        <f>IFERROR(__xludf.DUMMYFUNCTION("SUMPRODUCT((IMPORTRANGE(""17XjIPGwafStTRf_8bPPaoi2EFjHVy10_rRJ0uvy6YcU"",""M:M"")=B28)*1, IMPORTRANGE(""17XjIPGwafStTRf_8bPPaoi2EFjHVy10_rRJ0uvy6YcU"",""X:X""), IMPORTRANGE(""17XjIPGwafStTRf_8bPPaoi2EFjHVy10_rRJ0uvy6YcU"",""AA:AA"")) + SUMPRODUCT((IMPORTR"&amp;"ANGE(""17XjIPGwafStTRf_8bPPaoi2EFjHVy10_rRJ0uvy6YcU"",""M:M"")=B28)*1, IMPORTRANGE(""17XjIPGwafStTRf_8bPPaoi2EFjHVy10_rRJ0uvy6YcU"",""X:X""), IMPORTRANGE(""17XjIPGwafStTRf_8bPPaoi2EFjHVy10_rRJ0uvy6YcU"",""AE:AE"")) + SUMPRODUCT((IMPORTRANGE(""17XjIPGwafSt"&amp;"TRf_8bPPaoi2EFjHVy10_rRJ0uvy6YcU"",""M:M"")=B28)*1, IMPORTRANGE(""17XjIPGwafStTRf_8bPPaoi2EFjHVy10_rRJ0uvy6YcU"",""X:X""), IMPORTRANGE(""17XjIPGwafStTRf_8bPPaoi2EFjHVy10_rRJ0uvy6YcU"",""AF:AF""))"),175303.18171506247)</f>
        <v>175303.1817</v>
      </c>
      <c r="E28" s="24">
        <f>IFERROR(__xludf.DUMMYFUNCTION("SUMPRODUCT((IMPORTRANGE(""17XjIPGwafStTRf_8bPPaoi2EFjHVy10_rRJ0uvy6YcU"",""M:M"")=B28)*1, IMPORTRANGE(""17XjIPGwafStTRf_8bPPaoi2EFjHVy10_rRJ0uvy6YcU"",""X:X""), IMPORTRANGE(""17XjIPGwafStTRf_8bPPaoi2EFjHVy10_rRJ0uvy6YcU"",""AO:AO""))"),67337.21828493751)</f>
        <v>67337.21828</v>
      </c>
      <c r="F28" s="25">
        <f>IFERROR(__xludf.DUMMYFUNCTION("SUMPRODUCT((IMPORTRANGE(""17XjIPGwafStTRf_8bPPaoi2EFjHVy10_rRJ0uvy6YcU"",""M:M"")=B28)*1, IMPORTRANGE(""17XjIPGwafStTRf_8bPPaoi2EFjHVy10_rRJ0uvy6YcU"",""X:X""))"),56.0)</f>
        <v>56</v>
      </c>
      <c r="G28" s="26">
        <f>IFERROR(__xludf.DUMMYFUNCTION("COUNTIF(IMPORTRANGE(""17XjIPGwafStTRf_8bPPaoi2EFjHVy10_rRJ0uvy6YcU"",""M:M""), B28)"),28.0)</f>
        <v>28</v>
      </c>
      <c r="H28" s="27">
        <f t="shared" si="1"/>
        <v>2</v>
      </c>
      <c r="I28" s="28">
        <f t="shared" si="2"/>
        <v>0.2277468175</v>
      </c>
      <c r="J28" s="29">
        <f t="shared" si="3"/>
        <v>0.3841186317</v>
      </c>
      <c r="K28" s="32"/>
      <c r="L28" s="31" t="str">
        <f t="shared" si="4"/>
        <v/>
      </c>
      <c r="M28" s="31" t="str">
        <f t="shared" si="5"/>
        <v/>
      </c>
      <c r="N28" s="4"/>
    </row>
    <row r="29">
      <c r="A29" s="1"/>
      <c r="B29" s="23">
        <f t="shared" si="6"/>
        <v>44616</v>
      </c>
      <c r="C29" s="24">
        <f>IFERROR(__xludf.DUMMYFUNCTION("SUMPRODUCT((IMPORTRANGE(""17XjIPGwafStTRf_8bPPaoi2EFjHVy10_rRJ0uvy6YcU"",""M:M"")=B29)*1, IMPORTRANGE(""17XjIPGwafStTRf_8bPPaoi2EFjHVy10_rRJ0uvy6YcU"",""X:X""), IMPORTRANGE(""17XjIPGwafStTRf_8bPPaoi2EFjHVy10_rRJ0uvy6YcU"",""AK:AK"")) - SUMPRODUCT((IMPORTR"&amp;"ANGE(""17XjIPGwafStTRf_8bPPaoi2EFjHVy10_rRJ0uvy6YcU"",""M:M"")=B29)*1, IMPORTRANGE(""17XjIPGwafStTRf_8bPPaoi2EFjHVy10_rRJ0uvy6YcU"",""X:X""), IMPORTRANGE(""17XjIPGwafStTRf_8bPPaoi2EFjHVy10_rRJ0uvy6YcU"",""AL:AL""))"),530971.0)</f>
        <v>530971</v>
      </c>
      <c r="D29" s="24">
        <f>IFERROR(__xludf.DUMMYFUNCTION("SUMPRODUCT((IMPORTRANGE(""17XjIPGwafStTRf_8bPPaoi2EFjHVy10_rRJ0uvy6YcU"",""M:M"")=B29)*1, IMPORTRANGE(""17XjIPGwafStTRf_8bPPaoi2EFjHVy10_rRJ0uvy6YcU"",""X:X""), IMPORTRANGE(""17XjIPGwafStTRf_8bPPaoi2EFjHVy10_rRJ0uvy6YcU"",""AA:AA"")) + SUMPRODUCT((IMPORTR"&amp;"ANGE(""17XjIPGwafStTRf_8bPPaoi2EFjHVy10_rRJ0uvy6YcU"",""M:M"")=B29)*1, IMPORTRANGE(""17XjIPGwafStTRf_8bPPaoi2EFjHVy10_rRJ0uvy6YcU"",""X:X""), IMPORTRANGE(""17XjIPGwafStTRf_8bPPaoi2EFjHVy10_rRJ0uvy6YcU"",""AE:AE"")) + SUMPRODUCT((IMPORTRANGE(""17XjIPGwafSt"&amp;"TRf_8bPPaoi2EFjHVy10_rRJ0uvy6YcU"",""M:M"")=B29)*1, IMPORTRANGE(""17XjIPGwafStTRf_8bPPaoi2EFjHVy10_rRJ0uvy6YcU"",""X:X""), IMPORTRANGE(""17XjIPGwafStTRf_8bPPaoi2EFjHVy10_rRJ0uvy6YcU"",""AF:AF""))"),304506.5677134096)</f>
        <v>304506.5677</v>
      </c>
      <c r="E29" s="24">
        <f>IFERROR(__xludf.DUMMYFUNCTION("SUMPRODUCT((IMPORTRANGE(""17XjIPGwafStTRf_8bPPaoi2EFjHVy10_rRJ0uvy6YcU"",""M:M"")=B29)*1, IMPORTRANGE(""17XjIPGwafStTRf_8bPPaoi2EFjHVy10_rRJ0uvy6YcU"",""X:X""), IMPORTRANGE(""17XjIPGwafStTRf_8bPPaoi2EFjHVy10_rRJ0uvy6YcU"",""AO:AO""))"),123512.03228659034)</f>
        <v>123512.0323</v>
      </c>
      <c r="F29" s="25">
        <f>IFERROR(__xludf.DUMMYFUNCTION("SUMPRODUCT((IMPORTRANGE(""17XjIPGwafStTRf_8bPPaoi2EFjHVy10_rRJ0uvy6YcU"",""M:M"")=B29)*1, IMPORTRANGE(""17XjIPGwafStTRf_8bPPaoi2EFjHVy10_rRJ0uvy6YcU"",""X:X""))"),103.0)</f>
        <v>103</v>
      </c>
      <c r="G29" s="26">
        <f>IFERROR(__xludf.DUMMYFUNCTION("COUNTIF(IMPORTRANGE(""17XjIPGwafStTRf_8bPPaoi2EFjHVy10_rRJ0uvy6YcU"",""M:M""), B29)"),29.0)</f>
        <v>29</v>
      </c>
      <c r="H29" s="27">
        <f t="shared" si="1"/>
        <v>3.551724138</v>
      </c>
      <c r="I29" s="28">
        <f t="shared" si="2"/>
        <v>0.2326154014</v>
      </c>
      <c r="J29" s="29">
        <f t="shared" si="3"/>
        <v>0.4056136891</v>
      </c>
      <c r="K29" s="32"/>
      <c r="L29" s="31" t="str">
        <f t="shared" si="4"/>
        <v/>
      </c>
      <c r="M29" s="31" t="str">
        <f t="shared" si="5"/>
        <v/>
      </c>
      <c r="N29" s="4"/>
    </row>
    <row r="30">
      <c r="A30" s="1"/>
      <c r="B30" s="23">
        <f t="shared" si="6"/>
        <v>44617</v>
      </c>
      <c r="C30" s="24">
        <f>IFERROR(__xludf.DUMMYFUNCTION("SUMPRODUCT((IMPORTRANGE(""17XjIPGwafStTRf_8bPPaoi2EFjHVy10_rRJ0uvy6YcU"",""M:M"")=B30)*1, IMPORTRANGE(""17XjIPGwafStTRf_8bPPaoi2EFjHVy10_rRJ0uvy6YcU"",""X:X""), IMPORTRANGE(""17XjIPGwafStTRf_8bPPaoi2EFjHVy10_rRJ0uvy6YcU"",""AK:AK"")) - SUMPRODUCT((IMPORTR"&amp;"ANGE(""17XjIPGwafStTRf_8bPPaoi2EFjHVy10_rRJ0uvy6YcU"",""M:M"")=B30)*1, IMPORTRANGE(""17XjIPGwafStTRf_8bPPaoi2EFjHVy10_rRJ0uvy6YcU"",""X:X""), IMPORTRANGE(""17XjIPGwafStTRf_8bPPaoi2EFjHVy10_rRJ0uvy6YcU"",""AL:AL""))"),0.0)</f>
        <v>0</v>
      </c>
      <c r="D30" s="24">
        <f>IFERROR(__xludf.DUMMYFUNCTION("SUMPRODUCT((IMPORTRANGE(""17XjIPGwafStTRf_8bPPaoi2EFjHVy10_rRJ0uvy6YcU"",""M:M"")=B30)*1, IMPORTRANGE(""17XjIPGwafStTRf_8bPPaoi2EFjHVy10_rRJ0uvy6YcU"",""X:X""), IMPORTRANGE(""17XjIPGwafStTRf_8bPPaoi2EFjHVy10_rRJ0uvy6YcU"",""AA:AA"")) + SUMPRODUCT((IMPORTR"&amp;"ANGE(""17XjIPGwafStTRf_8bPPaoi2EFjHVy10_rRJ0uvy6YcU"",""M:M"")=B30)*1, IMPORTRANGE(""17XjIPGwafStTRf_8bPPaoi2EFjHVy10_rRJ0uvy6YcU"",""X:X""), IMPORTRANGE(""17XjIPGwafStTRf_8bPPaoi2EFjHVy10_rRJ0uvy6YcU"",""AE:AE"")) + SUMPRODUCT((IMPORTRANGE(""17XjIPGwafSt"&amp;"TRf_8bPPaoi2EFjHVy10_rRJ0uvy6YcU"",""M:M"")=B30)*1, IMPORTRANGE(""17XjIPGwafStTRf_8bPPaoi2EFjHVy10_rRJ0uvy6YcU"",""X:X""), IMPORTRANGE(""17XjIPGwafStTRf_8bPPaoi2EFjHVy10_rRJ0uvy6YcU"",""AF:AF""))"),0.0)</f>
        <v>0</v>
      </c>
      <c r="E30" s="24">
        <f>IFERROR(__xludf.DUMMYFUNCTION("SUMPRODUCT((IMPORTRANGE(""17XjIPGwafStTRf_8bPPaoi2EFjHVy10_rRJ0uvy6YcU"",""M:M"")=B30)*1, IMPORTRANGE(""17XjIPGwafStTRf_8bPPaoi2EFjHVy10_rRJ0uvy6YcU"",""X:X""), IMPORTRANGE(""17XjIPGwafStTRf_8bPPaoi2EFjHVy10_rRJ0uvy6YcU"",""AO:AO""))"),0.0)</f>
        <v>0</v>
      </c>
      <c r="F30" s="25">
        <f>IFERROR(__xludf.DUMMYFUNCTION("SUMPRODUCT((IMPORTRANGE(""17XjIPGwafStTRf_8bPPaoi2EFjHVy10_rRJ0uvy6YcU"",""M:M"")=B30)*1, IMPORTRANGE(""17XjIPGwafStTRf_8bPPaoi2EFjHVy10_rRJ0uvy6YcU"",""X:X""))"),0.0)</f>
        <v>0</v>
      </c>
      <c r="G30" s="26">
        <f>IFERROR(__xludf.DUMMYFUNCTION("COUNTIF(IMPORTRANGE(""17XjIPGwafStTRf_8bPPaoi2EFjHVy10_rRJ0uvy6YcU"",""M:M""), B30)"),0.0)</f>
        <v>0</v>
      </c>
      <c r="H30" s="27" t="str">
        <f t="shared" si="1"/>
        <v/>
      </c>
      <c r="I30" s="28" t="str">
        <f t="shared" si="2"/>
        <v/>
      </c>
      <c r="J30" s="29" t="str">
        <f t="shared" si="3"/>
        <v/>
      </c>
      <c r="K30" s="30"/>
      <c r="L30" s="31" t="str">
        <f t="shared" si="4"/>
        <v/>
      </c>
      <c r="M30" s="31" t="str">
        <f t="shared" si="5"/>
        <v/>
      </c>
      <c r="N30" s="4"/>
    </row>
    <row r="31">
      <c r="A31" s="1"/>
      <c r="B31" s="23">
        <f t="shared" si="6"/>
        <v>44618</v>
      </c>
      <c r="C31" s="24">
        <f>IFERROR(__xludf.DUMMYFUNCTION("SUMPRODUCT((IMPORTRANGE(""17XjIPGwafStTRf_8bPPaoi2EFjHVy10_rRJ0uvy6YcU"",""M:M"")=B31)*1, IMPORTRANGE(""17XjIPGwafStTRf_8bPPaoi2EFjHVy10_rRJ0uvy6YcU"",""X:X""), IMPORTRANGE(""17XjIPGwafStTRf_8bPPaoi2EFjHVy10_rRJ0uvy6YcU"",""AK:AK"")) - SUMPRODUCT((IMPORTR"&amp;"ANGE(""17XjIPGwafStTRf_8bPPaoi2EFjHVy10_rRJ0uvy6YcU"",""M:M"")=B31)*1, IMPORTRANGE(""17XjIPGwafStTRf_8bPPaoi2EFjHVy10_rRJ0uvy6YcU"",""X:X""), IMPORTRANGE(""17XjIPGwafStTRf_8bPPaoi2EFjHVy10_rRJ0uvy6YcU"",""AL:AL""))"),0.0)</f>
        <v>0</v>
      </c>
      <c r="D31" s="24">
        <f>IFERROR(__xludf.DUMMYFUNCTION("SUMPRODUCT((IMPORTRANGE(""17XjIPGwafStTRf_8bPPaoi2EFjHVy10_rRJ0uvy6YcU"",""M:M"")=B31)*1, IMPORTRANGE(""17XjIPGwafStTRf_8bPPaoi2EFjHVy10_rRJ0uvy6YcU"",""X:X""), IMPORTRANGE(""17XjIPGwafStTRf_8bPPaoi2EFjHVy10_rRJ0uvy6YcU"",""AA:AA"")) + SUMPRODUCT((IMPORTR"&amp;"ANGE(""17XjIPGwafStTRf_8bPPaoi2EFjHVy10_rRJ0uvy6YcU"",""M:M"")=B31)*1, IMPORTRANGE(""17XjIPGwafStTRf_8bPPaoi2EFjHVy10_rRJ0uvy6YcU"",""X:X""), IMPORTRANGE(""17XjIPGwafStTRf_8bPPaoi2EFjHVy10_rRJ0uvy6YcU"",""AE:AE"")) + SUMPRODUCT((IMPORTRANGE(""17XjIPGwafSt"&amp;"TRf_8bPPaoi2EFjHVy10_rRJ0uvy6YcU"",""M:M"")=B31)*1, IMPORTRANGE(""17XjIPGwafStTRf_8bPPaoi2EFjHVy10_rRJ0uvy6YcU"",""X:X""), IMPORTRANGE(""17XjIPGwafStTRf_8bPPaoi2EFjHVy10_rRJ0uvy6YcU"",""AF:AF""))"),0.0)</f>
        <v>0</v>
      </c>
      <c r="E31" s="24">
        <f>IFERROR(__xludf.DUMMYFUNCTION("SUMPRODUCT((IMPORTRANGE(""17XjIPGwafStTRf_8bPPaoi2EFjHVy10_rRJ0uvy6YcU"",""M:M"")=B31)*1, IMPORTRANGE(""17XjIPGwafStTRf_8bPPaoi2EFjHVy10_rRJ0uvy6YcU"",""X:X""), IMPORTRANGE(""17XjIPGwafStTRf_8bPPaoi2EFjHVy10_rRJ0uvy6YcU"",""AO:AO""))"),0.0)</f>
        <v>0</v>
      </c>
      <c r="F31" s="25">
        <f>IFERROR(__xludf.DUMMYFUNCTION("SUMPRODUCT((IMPORTRANGE(""17XjIPGwafStTRf_8bPPaoi2EFjHVy10_rRJ0uvy6YcU"",""M:M"")=B31)*1, IMPORTRANGE(""17XjIPGwafStTRf_8bPPaoi2EFjHVy10_rRJ0uvy6YcU"",""X:X""))"),0.0)</f>
        <v>0</v>
      </c>
      <c r="G31" s="26">
        <f>IFERROR(__xludf.DUMMYFUNCTION("COUNTIF(IMPORTRANGE(""17XjIPGwafStTRf_8bPPaoi2EFjHVy10_rRJ0uvy6YcU"",""M:M""), B31)"),0.0)</f>
        <v>0</v>
      </c>
      <c r="H31" s="27" t="str">
        <f t="shared" si="1"/>
        <v/>
      </c>
      <c r="I31" s="28" t="str">
        <f t="shared" si="2"/>
        <v/>
      </c>
      <c r="J31" s="29" t="str">
        <f t="shared" si="3"/>
        <v/>
      </c>
      <c r="K31" s="30"/>
      <c r="L31" s="31" t="str">
        <f t="shared" si="4"/>
        <v/>
      </c>
      <c r="M31" s="31" t="str">
        <f t="shared" si="5"/>
        <v/>
      </c>
      <c r="N31" s="4"/>
    </row>
    <row r="32">
      <c r="A32" s="1"/>
      <c r="B32" s="23">
        <f t="shared" si="6"/>
        <v>44619</v>
      </c>
      <c r="C32" s="24">
        <f>IFERROR(__xludf.DUMMYFUNCTION("SUMPRODUCT((IMPORTRANGE(""17XjIPGwafStTRf_8bPPaoi2EFjHVy10_rRJ0uvy6YcU"",""M:M"")=B32)*1, IMPORTRANGE(""17XjIPGwafStTRf_8bPPaoi2EFjHVy10_rRJ0uvy6YcU"",""X:X""), IMPORTRANGE(""17XjIPGwafStTRf_8bPPaoi2EFjHVy10_rRJ0uvy6YcU"",""AK:AK"")) - SUMPRODUCT((IMPORTR"&amp;"ANGE(""17XjIPGwafStTRf_8bPPaoi2EFjHVy10_rRJ0uvy6YcU"",""M:M"")=B32)*1, IMPORTRANGE(""17XjIPGwafStTRf_8bPPaoi2EFjHVy10_rRJ0uvy6YcU"",""X:X""), IMPORTRANGE(""17XjIPGwafStTRf_8bPPaoi2EFjHVy10_rRJ0uvy6YcU"",""AL:AL""))"),0.0)</f>
        <v>0</v>
      </c>
      <c r="D32" s="24">
        <f>IFERROR(__xludf.DUMMYFUNCTION("SUMPRODUCT((IMPORTRANGE(""17XjIPGwafStTRf_8bPPaoi2EFjHVy10_rRJ0uvy6YcU"",""M:M"")=B32)*1, IMPORTRANGE(""17XjIPGwafStTRf_8bPPaoi2EFjHVy10_rRJ0uvy6YcU"",""X:X""), IMPORTRANGE(""17XjIPGwafStTRf_8bPPaoi2EFjHVy10_rRJ0uvy6YcU"",""AA:AA"")) + SUMPRODUCT((IMPORTR"&amp;"ANGE(""17XjIPGwafStTRf_8bPPaoi2EFjHVy10_rRJ0uvy6YcU"",""M:M"")=B32)*1, IMPORTRANGE(""17XjIPGwafStTRf_8bPPaoi2EFjHVy10_rRJ0uvy6YcU"",""X:X""), IMPORTRANGE(""17XjIPGwafStTRf_8bPPaoi2EFjHVy10_rRJ0uvy6YcU"",""AE:AE"")) + SUMPRODUCT((IMPORTRANGE(""17XjIPGwafSt"&amp;"TRf_8bPPaoi2EFjHVy10_rRJ0uvy6YcU"",""M:M"")=B32)*1, IMPORTRANGE(""17XjIPGwafStTRf_8bPPaoi2EFjHVy10_rRJ0uvy6YcU"",""X:X""), IMPORTRANGE(""17XjIPGwafStTRf_8bPPaoi2EFjHVy10_rRJ0uvy6YcU"",""AF:AF""))"),0.0)</f>
        <v>0</v>
      </c>
      <c r="E32" s="24">
        <f>IFERROR(__xludf.DUMMYFUNCTION("SUMPRODUCT((IMPORTRANGE(""17XjIPGwafStTRf_8bPPaoi2EFjHVy10_rRJ0uvy6YcU"",""M:M"")=B32)*1, IMPORTRANGE(""17XjIPGwafStTRf_8bPPaoi2EFjHVy10_rRJ0uvy6YcU"",""X:X""), IMPORTRANGE(""17XjIPGwafStTRf_8bPPaoi2EFjHVy10_rRJ0uvy6YcU"",""AO:AO""))"),0.0)</f>
        <v>0</v>
      </c>
      <c r="F32" s="25">
        <f>IFERROR(__xludf.DUMMYFUNCTION("SUMPRODUCT((IMPORTRANGE(""17XjIPGwafStTRf_8bPPaoi2EFjHVy10_rRJ0uvy6YcU"",""M:M"")=B32)*1, IMPORTRANGE(""17XjIPGwafStTRf_8bPPaoi2EFjHVy10_rRJ0uvy6YcU"",""X:X""))"),0.0)</f>
        <v>0</v>
      </c>
      <c r="G32" s="26">
        <f>IFERROR(__xludf.DUMMYFUNCTION("COUNTIF(IMPORTRANGE(""17XjIPGwafStTRf_8bPPaoi2EFjHVy10_rRJ0uvy6YcU"",""M:M""), B32)"),0.0)</f>
        <v>0</v>
      </c>
      <c r="H32" s="27" t="str">
        <f t="shared" si="1"/>
        <v/>
      </c>
      <c r="I32" s="28" t="str">
        <f t="shared" si="2"/>
        <v/>
      </c>
      <c r="J32" s="29" t="str">
        <f t="shared" si="3"/>
        <v/>
      </c>
      <c r="K32" s="32"/>
      <c r="L32" s="31" t="str">
        <f t="shared" si="4"/>
        <v/>
      </c>
      <c r="M32" s="31" t="str">
        <f t="shared" si="5"/>
        <v/>
      </c>
      <c r="N32" s="4"/>
    </row>
    <row r="33">
      <c r="A33" s="1"/>
      <c r="B33" s="23">
        <f t="shared" si="6"/>
        <v>44620</v>
      </c>
      <c r="C33" s="24">
        <f>IFERROR(__xludf.DUMMYFUNCTION("SUMPRODUCT((IMPORTRANGE(""17XjIPGwafStTRf_8bPPaoi2EFjHVy10_rRJ0uvy6YcU"",""M:M"")=B33)*1, IMPORTRANGE(""17XjIPGwafStTRf_8bPPaoi2EFjHVy10_rRJ0uvy6YcU"",""X:X""), IMPORTRANGE(""17XjIPGwafStTRf_8bPPaoi2EFjHVy10_rRJ0uvy6YcU"",""AK:AK"")) - SUMPRODUCT((IMPORTR"&amp;"ANGE(""17XjIPGwafStTRf_8bPPaoi2EFjHVy10_rRJ0uvy6YcU"",""M:M"")=B33)*1, IMPORTRANGE(""17XjIPGwafStTRf_8bPPaoi2EFjHVy10_rRJ0uvy6YcU"",""X:X""), IMPORTRANGE(""17XjIPGwafStTRf_8bPPaoi2EFjHVy10_rRJ0uvy6YcU"",""AL:AL""))"),0.0)</f>
        <v>0</v>
      </c>
      <c r="D33" s="24">
        <f>IFERROR(__xludf.DUMMYFUNCTION("SUMPRODUCT((IMPORTRANGE(""17XjIPGwafStTRf_8bPPaoi2EFjHVy10_rRJ0uvy6YcU"",""M:M"")=B33)*1, IMPORTRANGE(""17XjIPGwafStTRf_8bPPaoi2EFjHVy10_rRJ0uvy6YcU"",""X:X""), IMPORTRANGE(""17XjIPGwafStTRf_8bPPaoi2EFjHVy10_rRJ0uvy6YcU"",""AA:AA"")) + SUMPRODUCT((IMPORTR"&amp;"ANGE(""17XjIPGwafStTRf_8bPPaoi2EFjHVy10_rRJ0uvy6YcU"",""M:M"")=B33)*1, IMPORTRANGE(""17XjIPGwafStTRf_8bPPaoi2EFjHVy10_rRJ0uvy6YcU"",""X:X""), IMPORTRANGE(""17XjIPGwafStTRf_8bPPaoi2EFjHVy10_rRJ0uvy6YcU"",""AE:AE"")) + SUMPRODUCT((IMPORTRANGE(""17XjIPGwafSt"&amp;"TRf_8bPPaoi2EFjHVy10_rRJ0uvy6YcU"",""M:M"")=B33)*1, IMPORTRANGE(""17XjIPGwafStTRf_8bPPaoi2EFjHVy10_rRJ0uvy6YcU"",""X:X""), IMPORTRANGE(""17XjIPGwafStTRf_8bPPaoi2EFjHVy10_rRJ0uvy6YcU"",""AF:AF""))"),0.0)</f>
        <v>0</v>
      </c>
      <c r="E33" s="24">
        <f>IFERROR(__xludf.DUMMYFUNCTION("SUMPRODUCT((IMPORTRANGE(""17XjIPGwafStTRf_8bPPaoi2EFjHVy10_rRJ0uvy6YcU"",""M:M"")=B33)*1, IMPORTRANGE(""17XjIPGwafStTRf_8bPPaoi2EFjHVy10_rRJ0uvy6YcU"",""X:X""), IMPORTRANGE(""17XjIPGwafStTRf_8bPPaoi2EFjHVy10_rRJ0uvy6YcU"",""AO:AO""))"),0.0)</f>
        <v>0</v>
      </c>
      <c r="F33" s="25">
        <f>IFERROR(__xludf.DUMMYFUNCTION("SUMPRODUCT((IMPORTRANGE(""17XjIPGwafStTRf_8bPPaoi2EFjHVy10_rRJ0uvy6YcU"",""M:M"")=B33)*1, IMPORTRANGE(""17XjIPGwafStTRf_8bPPaoi2EFjHVy10_rRJ0uvy6YcU"",""X:X""))"),0.0)</f>
        <v>0</v>
      </c>
      <c r="G33" s="26">
        <f>IFERROR(__xludf.DUMMYFUNCTION("COUNTIF(IMPORTRANGE(""17XjIPGwafStTRf_8bPPaoi2EFjHVy10_rRJ0uvy6YcU"",""M:M""), B33)"),0.0)</f>
        <v>0</v>
      </c>
      <c r="H33" s="27" t="str">
        <f t="shared" si="1"/>
        <v/>
      </c>
      <c r="I33" s="28" t="str">
        <f t="shared" si="2"/>
        <v/>
      </c>
      <c r="J33" s="29" t="str">
        <f t="shared" si="3"/>
        <v/>
      </c>
      <c r="K33" s="30"/>
      <c r="L33" s="31" t="str">
        <f t="shared" si="4"/>
        <v/>
      </c>
      <c r="M33" s="31" t="str">
        <f t="shared" si="5"/>
        <v/>
      </c>
      <c r="N33" s="4"/>
    </row>
    <row r="34">
      <c r="A34" s="1"/>
      <c r="B34" s="23" t="str">
        <f t="shared" ref="B34:B36" si="7">IFERROR(IF(MONTH(B33)=MONTH(B33+1),B33+1,"--"),"--")</f>
        <v>--</v>
      </c>
      <c r="C34" s="24">
        <f>IFERROR(__xludf.DUMMYFUNCTION("SUMPRODUCT((IMPORTRANGE(""17XjIPGwafStTRf_8bPPaoi2EFjHVy10_rRJ0uvy6YcU"",""M:M"")=B34)*1, IMPORTRANGE(""17XjIPGwafStTRf_8bPPaoi2EFjHVy10_rRJ0uvy6YcU"",""X:X""), IMPORTRANGE(""17XjIPGwafStTRf_8bPPaoi2EFjHVy10_rRJ0uvy6YcU"",""AK:AK"")) - SUMPRODUCT((IMPORTR"&amp;"ANGE(""17XjIPGwafStTRf_8bPPaoi2EFjHVy10_rRJ0uvy6YcU"",""M:M"")=B34)*1, IMPORTRANGE(""17XjIPGwafStTRf_8bPPaoi2EFjHVy10_rRJ0uvy6YcU"",""X:X""), IMPORTRANGE(""17XjIPGwafStTRf_8bPPaoi2EFjHVy10_rRJ0uvy6YcU"",""AL:AL""))"),0.0)</f>
        <v>0</v>
      </c>
      <c r="D34" s="24">
        <f>IFERROR(__xludf.DUMMYFUNCTION("SUMPRODUCT((IMPORTRANGE(""17XjIPGwafStTRf_8bPPaoi2EFjHVy10_rRJ0uvy6YcU"",""M:M"")=B34)*1, IMPORTRANGE(""17XjIPGwafStTRf_8bPPaoi2EFjHVy10_rRJ0uvy6YcU"",""X:X""), IMPORTRANGE(""17XjIPGwafStTRf_8bPPaoi2EFjHVy10_rRJ0uvy6YcU"",""AA:AA"")) + SUMPRODUCT((IMPORTR"&amp;"ANGE(""17XjIPGwafStTRf_8bPPaoi2EFjHVy10_rRJ0uvy6YcU"",""M:M"")=B34)*1, IMPORTRANGE(""17XjIPGwafStTRf_8bPPaoi2EFjHVy10_rRJ0uvy6YcU"",""X:X""), IMPORTRANGE(""17XjIPGwafStTRf_8bPPaoi2EFjHVy10_rRJ0uvy6YcU"",""AE:AE"")) + SUMPRODUCT((IMPORTRANGE(""17XjIPGwafSt"&amp;"TRf_8bPPaoi2EFjHVy10_rRJ0uvy6YcU"",""M:M"")=B34)*1, IMPORTRANGE(""17XjIPGwafStTRf_8bPPaoi2EFjHVy10_rRJ0uvy6YcU"",""X:X""), IMPORTRANGE(""17XjIPGwafStTRf_8bPPaoi2EFjHVy10_rRJ0uvy6YcU"",""AF:AF""))"),0.0)</f>
        <v>0</v>
      </c>
      <c r="E34" s="24">
        <f>IFERROR(__xludf.DUMMYFUNCTION("SUMPRODUCT((IMPORTRANGE(""17XjIPGwafStTRf_8bPPaoi2EFjHVy10_rRJ0uvy6YcU"",""M:M"")=B34)*1, IMPORTRANGE(""17XjIPGwafStTRf_8bPPaoi2EFjHVy10_rRJ0uvy6YcU"",""X:X""), IMPORTRANGE(""17XjIPGwafStTRf_8bPPaoi2EFjHVy10_rRJ0uvy6YcU"",""AO:AO""))"),0.0)</f>
        <v>0</v>
      </c>
      <c r="F34" s="25">
        <f>IFERROR(__xludf.DUMMYFUNCTION("SUMPRODUCT((IMPORTRANGE(""17XjIPGwafStTRf_8bPPaoi2EFjHVy10_rRJ0uvy6YcU"",""M:M"")=B34)*1, IMPORTRANGE(""17XjIPGwafStTRf_8bPPaoi2EFjHVy10_rRJ0uvy6YcU"",""X:X""))"),0.0)</f>
        <v>0</v>
      </c>
      <c r="G34" s="26">
        <f>IFERROR(__xludf.DUMMYFUNCTION("COUNTIF(IMPORTRANGE(""17XjIPGwafStTRf_8bPPaoi2EFjHVy10_rRJ0uvy6YcU"",""M:M""), B34)"),0.0)</f>
        <v>0</v>
      </c>
      <c r="H34" s="27" t="str">
        <f t="shared" si="1"/>
        <v/>
      </c>
      <c r="I34" s="28" t="str">
        <f t="shared" si="2"/>
        <v/>
      </c>
      <c r="J34" s="29" t="str">
        <f t="shared" si="3"/>
        <v/>
      </c>
      <c r="K34" s="30"/>
      <c r="L34" s="31" t="str">
        <f t="shared" si="4"/>
        <v/>
      </c>
      <c r="M34" s="31" t="str">
        <f t="shared" si="5"/>
        <v/>
      </c>
      <c r="N34" s="4"/>
    </row>
    <row r="35">
      <c r="A35" s="1"/>
      <c r="B35" s="23" t="str">
        <f t="shared" si="7"/>
        <v>--</v>
      </c>
      <c r="C35" s="24">
        <f>IFERROR(__xludf.DUMMYFUNCTION("SUMPRODUCT((IMPORTRANGE(""17XjIPGwafStTRf_8bPPaoi2EFjHVy10_rRJ0uvy6YcU"",""M:M"")=B35)*1, IMPORTRANGE(""17XjIPGwafStTRf_8bPPaoi2EFjHVy10_rRJ0uvy6YcU"",""X:X""), IMPORTRANGE(""17XjIPGwafStTRf_8bPPaoi2EFjHVy10_rRJ0uvy6YcU"",""AK:AK"")) - SUMPRODUCT((IMPORTR"&amp;"ANGE(""17XjIPGwafStTRf_8bPPaoi2EFjHVy10_rRJ0uvy6YcU"",""M:M"")=B35)*1, IMPORTRANGE(""17XjIPGwafStTRf_8bPPaoi2EFjHVy10_rRJ0uvy6YcU"",""X:X""), IMPORTRANGE(""17XjIPGwafStTRf_8bPPaoi2EFjHVy10_rRJ0uvy6YcU"",""AL:AL""))"),0.0)</f>
        <v>0</v>
      </c>
      <c r="D35" s="24">
        <f>IFERROR(__xludf.DUMMYFUNCTION("SUMPRODUCT((IMPORTRANGE(""17XjIPGwafStTRf_8bPPaoi2EFjHVy10_rRJ0uvy6YcU"",""M:M"")=B35)*1, IMPORTRANGE(""17XjIPGwafStTRf_8bPPaoi2EFjHVy10_rRJ0uvy6YcU"",""X:X""), IMPORTRANGE(""17XjIPGwafStTRf_8bPPaoi2EFjHVy10_rRJ0uvy6YcU"",""AA:AA"")) + SUMPRODUCT((IMPORTR"&amp;"ANGE(""17XjIPGwafStTRf_8bPPaoi2EFjHVy10_rRJ0uvy6YcU"",""M:M"")=B35)*1, IMPORTRANGE(""17XjIPGwafStTRf_8bPPaoi2EFjHVy10_rRJ0uvy6YcU"",""X:X""), IMPORTRANGE(""17XjIPGwafStTRf_8bPPaoi2EFjHVy10_rRJ0uvy6YcU"",""AE:AE"")) + SUMPRODUCT((IMPORTRANGE(""17XjIPGwafSt"&amp;"TRf_8bPPaoi2EFjHVy10_rRJ0uvy6YcU"",""M:M"")=B35)*1, IMPORTRANGE(""17XjIPGwafStTRf_8bPPaoi2EFjHVy10_rRJ0uvy6YcU"",""X:X""), IMPORTRANGE(""17XjIPGwafStTRf_8bPPaoi2EFjHVy10_rRJ0uvy6YcU"",""AF:AF""))"),0.0)</f>
        <v>0</v>
      </c>
      <c r="E35" s="24">
        <f>IFERROR(__xludf.DUMMYFUNCTION("SUMPRODUCT((IMPORTRANGE(""17XjIPGwafStTRf_8bPPaoi2EFjHVy10_rRJ0uvy6YcU"",""M:M"")=B35)*1, IMPORTRANGE(""17XjIPGwafStTRf_8bPPaoi2EFjHVy10_rRJ0uvy6YcU"",""X:X""), IMPORTRANGE(""17XjIPGwafStTRf_8bPPaoi2EFjHVy10_rRJ0uvy6YcU"",""AO:AO""))"),0.0)</f>
        <v>0</v>
      </c>
      <c r="F35" s="25">
        <f>IFERROR(__xludf.DUMMYFUNCTION("SUMPRODUCT((IMPORTRANGE(""17XjIPGwafStTRf_8bPPaoi2EFjHVy10_rRJ0uvy6YcU"",""M:M"")=B35)*1, IMPORTRANGE(""17XjIPGwafStTRf_8bPPaoi2EFjHVy10_rRJ0uvy6YcU"",""X:X""))"),0.0)</f>
        <v>0</v>
      </c>
      <c r="G35" s="26">
        <f>IFERROR(__xludf.DUMMYFUNCTION("COUNTIF(IMPORTRANGE(""17XjIPGwafStTRf_8bPPaoi2EFjHVy10_rRJ0uvy6YcU"",""M:M""), B35)"),0.0)</f>
        <v>0</v>
      </c>
      <c r="H35" s="27" t="str">
        <f t="shared" si="1"/>
        <v/>
      </c>
      <c r="I35" s="28" t="str">
        <f t="shared" si="2"/>
        <v/>
      </c>
      <c r="J35" s="29" t="str">
        <f t="shared" si="3"/>
        <v/>
      </c>
      <c r="K35" s="32"/>
      <c r="L35" s="31" t="str">
        <f t="shared" si="4"/>
        <v/>
      </c>
      <c r="M35" s="31" t="str">
        <f t="shared" si="5"/>
        <v/>
      </c>
      <c r="N35" s="4"/>
    </row>
    <row r="36">
      <c r="A36" s="1"/>
      <c r="B36" s="23" t="str">
        <f t="shared" si="7"/>
        <v>--</v>
      </c>
      <c r="C36" s="24">
        <f>IFERROR(__xludf.DUMMYFUNCTION("SUMPRODUCT((IMPORTRANGE(""17XjIPGwafStTRf_8bPPaoi2EFjHVy10_rRJ0uvy6YcU"",""M:M"")=B36)*1, IMPORTRANGE(""17XjIPGwafStTRf_8bPPaoi2EFjHVy10_rRJ0uvy6YcU"",""X:X""), IMPORTRANGE(""17XjIPGwafStTRf_8bPPaoi2EFjHVy10_rRJ0uvy6YcU"",""AK:AK"")) - SUMPRODUCT((IMPORTR"&amp;"ANGE(""17XjIPGwafStTRf_8bPPaoi2EFjHVy10_rRJ0uvy6YcU"",""M:M"")=B36)*1, IMPORTRANGE(""17XjIPGwafStTRf_8bPPaoi2EFjHVy10_rRJ0uvy6YcU"",""X:X""), IMPORTRANGE(""17XjIPGwafStTRf_8bPPaoi2EFjHVy10_rRJ0uvy6YcU"",""AL:AL""))"),0.0)</f>
        <v>0</v>
      </c>
      <c r="D36" s="24">
        <f>IFERROR(__xludf.DUMMYFUNCTION("SUMPRODUCT((IMPORTRANGE(""17XjIPGwafStTRf_8bPPaoi2EFjHVy10_rRJ0uvy6YcU"",""M:M"")=B36)*1, IMPORTRANGE(""17XjIPGwafStTRf_8bPPaoi2EFjHVy10_rRJ0uvy6YcU"",""X:X""), IMPORTRANGE(""17XjIPGwafStTRf_8bPPaoi2EFjHVy10_rRJ0uvy6YcU"",""AA:AA"")) + SUMPRODUCT((IMPORTR"&amp;"ANGE(""17XjIPGwafStTRf_8bPPaoi2EFjHVy10_rRJ0uvy6YcU"",""M:M"")=B36)*1, IMPORTRANGE(""17XjIPGwafStTRf_8bPPaoi2EFjHVy10_rRJ0uvy6YcU"",""X:X""), IMPORTRANGE(""17XjIPGwafStTRf_8bPPaoi2EFjHVy10_rRJ0uvy6YcU"",""AE:AE"")) + SUMPRODUCT((IMPORTRANGE(""17XjIPGwafSt"&amp;"TRf_8bPPaoi2EFjHVy10_rRJ0uvy6YcU"",""M:M"")=B36)*1, IMPORTRANGE(""17XjIPGwafStTRf_8bPPaoi2EFjHVy10_rRJ0uvy6YcU"",""X:X""), IMPORTRANGE(""17XjIPGwafStTRf_8bPPaoi2EFjHVy10_rRJ0uvy6YcU"",""AF:AF""))"),0.0)</f>
        <v>0</v>
      </c>
      <c r="E36" s="24">
        <f>IFERROR(__xludf.DUMMYFUNCTION("SUMPRODUCT((IMPORTRANGE(""17XjIPGwafStTRf_8bPPaoi2EFjHVy10_rRJ0uvy6YcU"",""M:M"")=B36)*1, IMPORTRANGE(""17XjIPGwafStTRf_8bPPaoi2EFjHVy10_rRJ0uvy6YcU"",""X:X""), IMPORTRANGE(""17XjIPGwafStTRf_8bPPaoi2EFjHVy10_rRJ0uvy6YcU"",""AO:AO""))"),0.0)</f>
        <v>0</v>
      </c>
      <c r="F36" s="25">
        <f>IFERROR(__xludf.DUMMYFUNCTION("SUMPRODUCT((IMPORTRANGE(""17XjIPGwafStTRf_8bPPaoi2EFjHVy10_rRJ0uvy6YcU"",""M:M"")=B36)*1, IMPORTRANGE(""17XjIPGwafStTRf_8bPPaoi2EFjHVy10_rRJ0uvy6YcU"",""X:X""))"),0.0)</f>
        <v>0</v>
      </c>
      <c r="G36" s="26">
        <f>IFERROR(__xludf.DUMMYFUNCTION("COUNTIF(IMPORTRANGE(""17XjIPGwafStTRf_8bPPaoi2EFjHVy10_rRJ0uvy6YcU"",""M:M""), B36)"),0.0)</f>
        <v>0</v>
      </c>
      <c r="H36" s="27" t="str">
        <f t="shared" si="1"/>
        <v/>
      </c>
      <c r="I36" s="28" t="str">
        <f t="shared" si="2"/>
        <v/>
      </c>
      <c r="J36" s="29" t="str">
        <f t="shared" si="3"/>
        <v/>
      </c>
      <c r="K36" s="30"/>
      <c r="L36" s="31" t="str">
        <f>if(B36="","",IF(K36="","",E36/K36))</f>
        <v/>
      </c>
      <c r="M36" s="31" t="str">
        <f>if(B36="","",IF(K36="","",D36/K36))</f>
        <v/>
      </c>
      <c r="N36" s="4"/>
    </row>
    <row r="37">
      <c r="A37" s="4"/>
      <c r="B37" s="33" t="s">
        <v>16</v>
      </c>
      <c r="C37" s="34">
        <f t="shared" ref="C37:H37" si="8">SUM(C6:C36)</f>
        <v>13854649</v>
      </c>
      <c r="D37" s="34">
        <f t="shared" si="8"/>
        <v>8529992.267</v>
      </c>
      <c r="E37" s="34">
        <f t="shared" si="8"/>
        <v>2674193.953</v>
      </c>
      <c r="F37" s="34">
        <f t="shared" si="8"/>
        <v>2747</v>
      </c>
      <c r="G37" s="34">
        <f t="shared" si="8"/>
        <v>729</v>
      </c>
      <c r="H37" s="34">
        <f t="shared" si="8"/>
        <v>90.88819464</v>
      </c>
      <c r="I37" s="35">
        <f t="shared" si="2"/>
        <v>0.193017806</v>
      </c>
      <c r="J37" s="35">
        <f t="shared" si="3"/>
        <v>0.3135048507</v>
      </c>
      <c r="K37" s="33">
        <f>SUM(K6:K36)</f>
        <v>0</v>
      </c>
      <c r="L37" s="34" t="str">
        <f>iferror(IF(K37="","",E37/K37),"")</f>
        <v/>
      </c>
      <c r="M37" s="34" t="str">
        <f>iferror(IF(K37="","",D37/K37),"")</f>
        <v/>
      </c>
      <c r="N37" s="4"/>
    </row>
    <row r="38">
      <c r="A38" s="4"/>
      <c r="B38" s="4"/>
      <c r="C38" s="4"/>
      <c r="D38" s="36" t="s">
        <v>17</v>
      </c>
      <c r="E38" s="4"/>
      <c r="F38" s="4"/>
      <c r="G38" s="4"/>
      <c r="H38" s="4"/>
      <c r="I38" s="4"/>
      <c r="J38" s="4"/>
      <c r="K38" s="4"/>
      <c r="L38" s="4"/>
      <c r="M38" s="4"/>
      <c r="N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.25"/>
    <col customWidth="1" min="2" max="2" width="11.13"/>
    <col customWidth="1" min="3" max="5" width="11.38"/>
    <col customWidth="1" min="6" max="8" width="5.75"/>
    <col customWidth="1" min="9" max="11" width="8.88"/>
    <col customWidth="1" min="12" max="13" width="11.38"/>
    <col customWidth="1" min="14" max="14" width="2.38"/>
  </cols>
  <sheetData>
    <row r="1" ht="7.5" customHeight="1">
      <c r="A1" s="37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</row>
    <row r="2">
      <c r="A2" s="1"/>
      <c r="B2" s="38">
        <v>44562.0</v>
      </c>
      <c r="C2" s="6"/>
      <c r="D2" s="3"/>
      <c r="E2" s="4"/>
      <c r="F2" s="4"/>
      <c r="G2" s="4"/>
      <c r="H2" s="4"/>
      <c r="I2" s="4"/>
      <c r="J2" s="4"/>
      <c r="K2" s="4"/>
      <c r="L2" s="7" t="s">
        <v>0</v>
      </c>
      <c r="M2" s="8">
        <v>1.5</v>
      </c>
      <c r="N2" s="4"/>
    </row>
    <row r="3">
      <c r="A3" s="4"/>
      <c r="B3" s="9"/>
      <c r="C3" s="10">
        <f>iferror((E3*M2)/I37,"")</f>
        <v>14809016.91</v>
      </c>
      <c r="D3" s="11" t="s">
        <v>2</v>
      </c>
      <c r="E3" s="12">
        <v>2000000.0</v>
      </c>
      <c r="F3" s="13"/>
      <c r="G3" s="4"/>
      <c r="H3" s="4"/>
      <c r="I3" s="4"/>
      <c r="J3" s="4"/>
      <c r="K3" s="4"/>
      <c r="L3" s="14"/>
      <c r="M3" s="15"/>
      <c r="N3" s="13"/>
    </row>
    <row r="4">
      <c r="A4" s="4"/>
      <c r="B4" s="9" t="s">
        <v>3</v>
      </c>
      <c r="C4" s="16">
        <f>iferror(C37/C3,"")</f>
        <v>0.9110630936</v>
      </c>
      <c r="D4" s="9"/>
      <c r="E4" s="16"/>
      <c r="F4" s="4"/>
      <c r="G4" s="4"/>
      <c r="H4" s="4"/>
      <c r="I4" s="4"/>
      <c r="J4" s="4"/>
      <c r="K4" s="17"/>
      <c r="L4" s="4"/>
      <c r="M4" s="4"/>
      <c r="N4" s="4"/>
    </row>
    <row r="5" ht="28.5" customHeight="1">
      <c r="A5" s="18"/>
      <c r="B5" s="19" t="s">
        <v>4</v>
      </c>
      <c r="C5" s="20" t="s">
        <v>5</v>
      </c>
      <c r="D5" s="20" t="s">
        <v>6</v>
      </c>
      <c r="E5" s="20" t="s">
        <v>7</v>
      </c>
      <c r="F5" s="21" t="s">
        <v>8</v>
      </c>
      <c r="G5" s="22" t="s">
        <v>9</v>
      </c>
      <c r="H5" s="22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18"/>
    </row>
    <row r="6">
      <c r="A6" s="1"/>
      <c r="B6" s="23">
        <f>B2</f>
        <v>44562</v>
      </c>
      <c r="C6" s="24">
        <f>IFERROR(__xludf.DUMMYFUNCTION("SUMPRODUCT((IMPORTRANGE(""17XjIPGwafStTRf_8bPPaoi2EFjHVy10_rRJ0uvy6YcU"",""M:M"")=B6)*1, IMPORTRANGE(""17XjIPGwafStTRf_8bPPaoi2EFjHVy10_rRJ0uvy6YcU"",""X:X""), IMPORTRANGE(""17XjIPGwafStTRf_8bPPaoi2EFjHVy10_rRJ0uvy6YcU"",""AK:AK"")) - SUMPRODUCT((IMPORTRA"&amp;"NGE(""17XjIPGwafStTRf_8bPPaoi2EFjHVy10_rRJ0uvy6YcU"",""M:M"")=B6)*1, IMPORTRANGE(""17XjIPGwafStTRf_8bPPaoi2EFjHVy10_rRJ0uvy6YcU"",""X:X""), IMPORTRANGE(""17XjIPGwafStTRf_8bPPaoi2EFjHVy10_rRJ0uvy6YcU"",""AL:AL""))"),263609.0)</f>
        <v>263609</v>
      </c>
      <c r="D6" s="24">
        <f>IFERROR(__xludf.DUMMYFUNCTION("SUMPRODUCT((IMPORTRANGE(""17XjIPGwafStTRf_8bPPaoi2EFjHVy10_rRJ0uvy6YcU"",""M:M"")=B6)*1, IMPORTRANGE(""17XjIPGwafStTRf_8bPPaoi2EFjHVy10_rRJ0uvy6YcU"",""X:X""), IMPORTRANGE(""17XjIPGwafStTRf_8bPPaoi2EFjHVy10_rRJ0uvy6YcU"",""AA:AA"")) + SUMPRODUCT((IMPORTRA"&amp;"NGE(""17XjIPGwafStTRf_8bPPaoi2EFjHVy10_rRJ0uvy6YcU"",""M:M"")=B6)*1, IMPORTRANGE(""17XjIPGwafStTRf_8bPPaoi2EFjHVy10_rRJ0uvy6YcU"",""X:X""), IMPORTRANGE(""17XjIPGwafStTRf_8bPPaoi2EFjHVy10_rRJ0uvy6YcU"",""AE:AE"")) + SUMPRODUCT((IMPORTRANGE(""17XjIPGwafStTR"&amp;"f_8bPPaoi2EFjHVy10_rRJ0uvy6YcU"",""M:M"")=B6)*1, IMPORTRANGE(""17XjIPGwafStTRf_8bPPaoi2EFjHVy10_rRJ0uvy6YcU"",""X:X""), IMPORTRANGE(""17XjIPGwafStTRf_8bPPaoi2EFjHVy10_rRJ0uvy6YcU"",""AF:AF""))"),183351.65924096364)</f>
        <v>183351.6592</v>
      </c>
      <c r="E6" s="24">
        <f>IFERROR(__xludf.DUMMYFUNCTION("SUMPRODUCT((IMPORTRANGE(""17XjIPGwafStTRf_8bPPaoi2EFjHVy10_rRJ0uvy6YcU"",""M:M"")=B6)*1, IMPORTRANGE(""17XjIPGwafStTRf_8bPPaoi2EFjHVy10_rRJ0uvy6YcU"",""X:X""), IMPORTRANGE(""17XjIPGwafStTRf_8bPPaoi2EFjHVy10_rRJ0uvy6YcU"",""AO:AO""))"),46226.07409236971)</f>
        <v>46226.07409</v>
      </c>
      <c r="F6" s="25">
        <f>IFERROR(__xludf.DUMMYFUNCTION("SUMPRODUCT((IMPORTRANGE(""17XjIPGwafStTRf_8bPPaoi2EFjHVy10_rRJ0uvy6YcU"",""M:M"")=B6)*1, IMPORTRANGE(""17XjIPGwafStTRf_8bPPaoi2EFjHVy10_rRJ0uvy6YcU"",""X:X""))"),23.0)</f>
        <v>23</v>
      </c>
      <c r="G6" s="26">
        <f>IFERROR(__xludf.DUMMYFUNCTION("COUNTIF(IMPORTRANGE(""17XjIPGwafStTRf_8bPPaoi2EFjHVy10_rRJ0uvy6YcU"",""M:M""), B6)"),11.0)</f>
        <v>11</v>
      </c>
      <c r="H6" s="27">
        <f t="shared" ref="H6:H36" si="1">IF(F6=0,"",F6/G6)</f>
        <v>2.090909091</v>
      </c>
      <c r="I6" s="28">
        <f t="shared" ref="I6:I37" si="2">IF(C6=0,"",E6/C6)</f>
        <v>0.175358482</v>
      </c>
      <c r="J6" s="29">
        <f t="shared" ref="J6:J37" si="3">IF(D6=0,"",E6/D6)</f>
        <v>0.2521170208</v>
      </c>
      <c r="K6" s="30"/>
      <c r="L6" s="31" t="str">
        <f t="shared" ref="L6:L35" si="4">IF(K6="","",E6/K6)</f>
        <v/>
      </c>
      <c r="M6" s="31" t="str">
        <f t="shared" ref="M6:M35" si="5">IF(K6="","",D6/K6)</f>
        <v/>
      </c>
      <c r="N6" s="4"/>
    </row>
    <row r="7" ht="15.0" customHeight="1">
      <c r="A7" s="1"/>
      <c r="B7" s="23">
        <f t="shared" ref="B7:B33" si="6">B6+1</f>
        <v>44563</v>
      </c>
      <c r="C7" s="24">
        <f>IFERROR(__xludf.DUMMYFUNCTION("SUMPRODUCT((IMPORTRANGE(""17XjIPGwafStTRf_8bPPaoi2EFjHVy10_rRJ0uvy6YcU"",""M:M"")=B7)*1, IMPORTRANGE(""17XjIPGwafStTRf_8bPPaoi2EFjHVy10_rRJ0uvy6YcU"",""X:X""), IMPORTRANGE(""17XjIPGwafStTRf_8bPPaoi2EFjHVy10_rRJ0uvy6YcU"",""AK:AK"")) - SUMPRODUCT((IMPORTRA"&amp;"NGE(""17XjIPGwafStTRf_8bPPaoi2EFjHVy10_rRJ0uvy6YcU"",""M:M"")=B7)*1, IMPORTRANGE(""17XjIPGwafStTRf_8bPPaoi2EFjHVy10_rRJ0uvy6YcU"",""X:X""), IMPORTRANGE(""17XjIPGwafStTRf_8bPPaoi2EFjHVy10_rRJ0uvy6YcU"",""AL:AL""))"),305281.0)</f>
        <v>305281</v>
      </c>
      <c r="D7" s="24">
        <f>IFERROR(__xludf.DUMMYFUNCTION("SUMPRODUCT((IMPORTRANGE(""17XjIPGwafStTRf_8bPPaoi2EFjHVy10_rRJ0uvy6YcU"",""M:M"")=B7)*1, IMPORTRANGE(""17XjIPGwafStTRf_8bPPaoi2EFjHVy10_rRJ0uvy6YcU"",""X:X""), IMPORTRANGE(""17XjIPGwafStTRf_8bPPaoi2EFjHVy10_rRJ0uvy6YcU"",""AA:AA"")) + SUMPRODUCT((IMPORTRA"&amp;"NGE(""17XjIPGwafStTRf_8bPPaoi2EFjHVy10_rRJ0uvy6YcU"",""M:M"")=B7)*1, IMPORTRANGE(""17XjIPGwafStTRf_8bPPaoi2EFjHVy10_rRJ0uvy6YcU"",""X:X""), IMPORTRANGE(""17XjIPGwafStTRf_8bPPaoi2EFjHVy10_rRJ0uvy6YcU"",""AE:AE"")) + SUMPRODUCT((IMPORTRANGE(""17XjIPGwafStTR"&amp;"f_8bPPaoi2EFjHVy10_rRJ0uvy6YcU"",""M:M"")=B7)*1, IMPORTRANGE(""17XjIPGwafStTRf_8bPPaoi2EFjHVy10_rRJ0uvy6YcU"",""X:X""), IMPORTRANGE(""17XjIPGwafStTRf_8bPPaoi2EFjHVy10_rRJ0uvy6YcU"",""AF:AF""))"),182917.52684829652)</f>
        <v>182917.5268</v>
      </c>
      <c r="E7" s="24">
        <f>IFERROR(__xludf.DUMMYFUNCTION("SUMPRODUCT((IMPORTRANGE(""17XjIPGwafStTRf_8bPPaoi2EFjHVy10_rRJ0uvy6YcU"",""M:M"")=B7)*1, IMPORTRANGE(""17XjIPGwafStTRf_8bPPaoi2EFjHVy10_rRJ0uvy6YcU"",""X:X""), IMPORTRANGE(""17XjIPGwafStTRf_8bPPaoi2EFjHVy10_rRJ0uvy6YcU"",""AO:AO""))"),69624.15256876586)</f>
        <v>69624.15257</v>
      </c>
      <c r="F7" s="25">
        <f>IFERROR(__xludf.DUMMYFUNCTION("SUMPRODUCT((IMPORTRANGE(""17XjIPGwafStTRf_8bPPaoi2EFjHVy10_rRJ0uvy6YcU"",""M:M"")=B7)*1, IMPORTRANGE(""17XjIPGwafStTRf_8bPPaoi2EFjHVy10_rRJ0uvy6YcU"",""X:X""))"),62.0)</f>
        <v>62</v>
      </c>
      <c r="G7" s="26">
        <f>IFERROR(__xludf.DUMMYFUNCTION("COUNTIF(IMPORTRANGE(""17XjIPGwafStTRf_8bPPaoi2EFjHVy10_rRJ0uvy6YcU"",""M:M""), B7)"),32.0)</f>
        <v>32</v>
      </c>
      <c r="H7" s="27">
        <f t="shared" si="1"/>
        <v>1.9375</v>
      </c>
      <c r="I7" s="28">
        <f t="shared" si="2"/>
        <v>0.2280657904</v>
      </c>
      <c r="J7" s="29">
        <f t="shared" si="3"/>
        <v>0.3806313904</v>
      </c>
      <c r="K7" s="30"/>
      <c r="L7" s="31" t="str">
        <f t="shared" si="4"/>
        <v/>
      </c>
      <c r="M7" s="31" t="str">
        <f t="shared" si="5"/>
        <v/>
      </c>
      <c r="N7" s="4"/>
    </row>
    <row r="8">
      <c r="A8" s="1"/>
      <c r="B8" s="23">
        <f t="shared" si="6"/>
        <v>44564</v>
      </c>
      <c r="C8" s="24">
        <f>IFERROR(__xludf.DUMMYFUNCTION("SUMPRODUCT((IMPORTRANGE(""17XjIPGwafStTRf_8bPPaoi2EFjHVy10_rRJ0uvy6YcU"",""M:M"")=B8)*1, IMPORTRANGE(""17XjIPGwafStTRf_8bPPaoi2EFjHVy10_rRJ0uvy6YcU"",""X:X""), IMPORTRANGE(""17XjIPGwafStTRf_8bPPaoi2EFjHVy10_rRJ0uvy6YcU"",""AK:AK"")) - SUMPRODUCT((IMPORTRA"&amp;"NGE(""17XjIPGwafStTRf_8bPPaoi2EFjHVy10_rRJ0uvy6YcU"",""M:M"")=B8)*1, IMPORTRANGE(""17XjIPGwafStTRf_8bPPaoi2EFjHVy10_rRJ0uvy6YcU"",""X:X""), IMPORTRANGE(""17XjIPGwafStTRf_8bPPaoi2EFjHVy10_rRJ0uvy6YcU"",""AL:AL""))"),189697.0)</f>
        <v>189697</v>
      </c>
      <c r="D8" s="24">
        <f>IFERROR(__xludf.DUMMYFUNCTION("SUMPRODUCT((IMPORTRANGE(""17XjIPGwafStTRf_8bPPaoi2EFjHVy10_rRJ0uvy6YcU"",""M:M"")=B8)*1, IMPORTRANGE(""17XjIPGwafStTRf_8bPPaoi2EFjHVy10_rRJ0uvy6YcU"",""X:X""), IMPORTRANGE(""17XjIPGwafStTRf_8bPPaoi2EFjHVy10_rRJ0uvy6YcU"",""AA:AA"")) + SUMPRODUCT((IMPORTRA"&amp;"NGE(""17XjIPGwafStTRf_8bPPaoi2EFjHVy10_rRJ0uvy6YcU"",""M:M"")=B8)*1, IMPORTRANGE(""17XjIPGwafStTRf_8bPPaoi2EFjHVy10_rRJ0uvy6YcU"",""X:X""), IMPORTRANGE(""17XjIPGwafStTRf_8bPPaoi2EFjHVy10_rRJ0uvy6YcU"",""AE:AE"")) + SUMPRODUCT((IMPORTRANGE(""17XjIPGwafStTR"&amp;"f_8bPPaoi2EFjHVy10_rRJ0uvy6YcU"",""M:M"")=B8)*1, IMPORTRANGE(""17XjIPGwafStTRf_8bPPaoi2EFjHVy10_rRJ0uvy6YcU"",""X:X""), IMPORTRANGE(""17XjIPGwafStTRf_8bPPaoi2EFjHVy10_rRJ0uvy6YcU"",""AF:AF""))"),113447.33447126066)</f>
        <v>113447.3345</v>
      </c>
      <c r="E8" s="24">
        <f>IFERROR(__xludf.DUMMYFUNCTION("SUMPRODUCT((IMPORTRANGE(""17XjIPGwafStTRf_8bPPaoi2EFjHVy10_rRJ0uvy6YcU"",""M:M"")=B8)*1, IMPORTRANGE(""17XjIPGwafStTRf_8bPPaoi2EFjHVy10_rRJ0uvy6YcU"",""X:X""), IMPORTRANGE(""17XjIPGwafStTRf_8bPPaoi2EFjHVy10_rRJ0uvy6YcU"",""AO:AO""))"),51920.20231792581)</f>
        <v>51920.20232</v>
      </c>
      <c r="F8" s="25">
        <f>IFERROR(__xludf.DUMMYFUNCTION("SUMPRODUCT((IMPORTRANGE(""17XjIPGwafStTRf_8bPPaoi2EFjHVy10_rRJ0uvy6YcU"",""M:M"")=B8)*1, IMPORTRANGE(""17XjIPGwafStTRf_8bPPaoi2EFjHVy10_rRJ0uvy6YcU"",""X:X""))"),45.0)</f>
        <v>45</v>
      </c>
      <c r="G8" s="26">
        <f>IFERROR(__xludf.DUMMYFUNCTION("COUNTIF(IMPORTRANGE(""17XjIPGwafStTRf_8bPPaoi2EFjHVy10_rRJ0uvy6YcU"",""M:M""), B8)"),18.0)</f>
        <v>18</v>
      </c>
      <c r="H8" s="27">
        <f t="shared" si="1"/>
        <v>2.5</v>
      </c>
      <c r="I8" s="28">
        <f t="shared" si="2"/>
        <v>0.2737007033</v>
      </c>
      <c r="J8" s="29">
        <f t="shared" si="3"/>
        <v>0.4576590764</v>
      </c>
      <c r="K8" s="30"/>
      <c r="L8" s="31" t="str">
        <f t="shared" si="4"/>
        <v/>
      </c>
      <c r="M8" s="31" t="str">
        <f t="shared" si="5"/>
        <v/>
      </c>
      <c r="N8" s="4"/>
    </row>
    <row r="9">
      <c r="A9" s="1"/>
      <c r="B9" s="23">
        <f t="shared" si="6"/>
        <v>44565</v>
      </c>
      <c r="C9" s="24">
        <f>IFERROR(__xludf.DUMMYFUNCTION("SUMPRODUCT((IMPORTRANGE(""17XjIPGwafStTRf_8bPPaoi2EFjHVy10_rRJ0uvy6YcU"",""M:M"")=B9)*1, IMPORTRANGE(""17XjIPGwafStTRf_8bPPaoi2EFjHVy10_rRJ0uvy6YcU"",""X:X""), IMPORTRANGE(""17XjIPGwafStTRf_8bPPaoi2EFjHVy10_rRJ0uvy6YcU"",""AK:AK"")) - SUMPRODUCT((IMPORTRA"&amp;"NGE(""17XjIPGwafStTRf_8bPPaoi2EFjHVy10_rRJ0uvy6YcU"",""M:M"")=B9)*1, IMPORTRANGE(""17XjIPGwafStTRf_8bPPaoi2EFjHVy10_rRJ0uvy6YcU"",""X:X""), IMPORTRANGE(""17XjIPGwafStTRf_8bPPaoi2EFjHVy10_rRJ0uvy6YcU"",""AL:AL""))"),576937.0)</f>
        <v>576937</v>
      </c>
      <c r="D9" s="24">
        <f>IFERROR(__xludf.DUMMYFUNCTION("SUMPRODUCT((IMPORTRANGE(""17XjIPGwafStTRf_8bPPaoi2EFjHVy10_rRJ0uvy6YcU"",""M:M"")=B9)*1, IMPORTRANGE(""17XjIPGwafStTRf_8bPPaoi2EFjHVy10_rRJ0uvy6YcU"",""X:X""), IMPORTRANGE(""17XjIPGwafStTRf_8bPPaoi2EFjHVy10_rRJ0uvy6YcU"",""AA:AA"")) + SUMPRODUCT((IMPORTRA"&amp;"NGE(""17XjIPGwafStTRf_8bPPaoi2EFjHVy10_rRJ0uvy6YcU"",""M:M"")=B9)*1, IMPORTRANGE(""17XjIPGwafStTRf_8bPPaoi2EFjHVy10_rRJ0uvy6YcU"",""X:X""), IMPORTRANGE(""17XjIPGwafStTRf_8bPPaoi2EFjHVy10_rRJ0uvy6YcU"",""AE:AE"")) + SUMPRODUCT((IMPORTRANGE(""17XjIPGwafStTR"&amp;"f_8bPPaoi2EFjHVy10_rRJ0uvy6YcU"",""M:M"")=B9)*1, IMPORTRANGE(""17XjIPGwafStTRf_8bPPaoi2EFjHVy10_rRJ0uvy6YcU"",""X:X""), IMPORTRANGE(""17XjIPGwafStTRf_8bPPaoi2EFjHVy10_rRJ0uvy6YcU"",""AF:AF""))"),438715.3206964515)</f>
        <v>438715.3207</v>
      </c>
      <c r="E9" s="24">
        <f>IFERROR(__xludf.DUMMYFUNCTION("SUMPRODUCT((IMPORTRANGE(""17XjIPGwafStTRf_8bPPaoi2EFjHVy10_rRJ0uvy6YcU"",""M:M"")=B9)*1, IMPORTRANGE(""17XjIPGwafStTRf_8bPPaoi2EFjHVy10_rRJ0uvy6YcU"",""X:X""), IMPORTRANGE(""17XjIPGwafStTRf_8bPPaoi2EFjHVy10_rRJ0uvy6YcU"",""AO:AO""))"),78831.61392075589)</f>
        <v>78831.61392</v>
      </c>
      <c r="F9" s="25">
        <f>IFERROR(__xludf.DUMMYFUNCTION("SUMPRODUCT((IMPORTRANGE(""17XjIPGwafStTRf_8bPPaoi2EFjHVy10_rRJ0uvy6YcU"",""M:M"")=B9)*1, IMPORTRANGE(""17XjIPGwafStTRf_8bPPaoi2EFjHVy10_rRJ0uvy6YcU"",""X:X""))"),119.0)</f>
        <v>119</v>
      </c>
      <c r="G9" s="26">
        <f>IFERROR(__xludf.DUMMYFUNCTION("COUNTIF(IMPORTRANGE(""17XjIPGwafStTRf_8bPPaoi2EFjHVy10_rRJ0uvy6YcU"",""M:M""), B9)"),44.0)</f>
        <v>44</v>
      </c>
      <c r="H9" s="27">
        <f t="shared" si="1"/>
        <v>2.704545455</v>
      </c>
      <c r="I9" s="28">
        <f t="shared" si="2"/>
        <v>0.1366381666</v>
      </c>
      <c r="J9" s="29">
        <f t="shared" si="3"/>
        <v>0.1796873968</v>
      </c>
      <c r="K9" s="32"/>
      <c r="L9" s="31" t="str">
        <f t="shared" si="4"/>
        <v/>
      </c>
      <c r="M9" s="31" t="str">
        <f t="shared" si="5"/>
        <v/>
      </c>
      <c r="N9" s="4"/>
    </row>
    <row r="10">
      <c r="A10" s="1"/>
      <c r="B10" s="23">
        <f t="shared" si="6"/>
        <v>44566</v>
      </c>
      <c r="C10" s="24">
        <f>IFERROR(__xludf.DUMMYFUNCTION("SUMPRODUCT((IMPORTRANGE(""17XjIPGwafStTRf_8bPPaoi2EFjHVy10_rRJ0uvy6YcU"",""M:M"")=B10)*1, IMPORTRANGE(""17XjIPGwafStTRf_8bPPaoi2EFjHVy10_rRJ0uvy6YcU"",""X:X""), IMPORTRANGE(""17XjIPGwafStTRf_8bPPaoi2EFjHVy10_rRJ0uvy6YcU"",""AK:AK"")) - SUMPRODUCT((IMPORTR"&amp;"ANGE(""17XjIPGwafStTRf_8bPPaoi2EFjHVy10_rRJ0uvy6YcU"",""M:M"")=B10)*1, IMPORTRANGE(""17XjIPGwafStTRf_8bPPaoi2EFjHVy10_rRJ0uvy6YcU"",""X:X""), IMPORTRANGE(""17XjIPGwafStTRf_8bPPaoi2EFjHVy10_rRJ0uvy6YcU"",""AL:AL""))"),299481.0)</f>
        <v>299481</v>
      </c>
      <c r="D10" s="24">
        <f>IFERROR(__xludf.DUMMYFUNCTION("SUMPRODUCT((IMPORTRANGE(""17XjIPGwafStTRf_8bPPaoi2EFjHVy10_rRJ0uvy6YcU"",""M:M"")=B10)*1, IMPORTRANGE(""17XjIPGwafStTRf_8bPPaoi2EFjHVy10_rRJ0uvy6YcU"",""X:X""), IMPORTRANGE(""17XjIPGwafStTRf_8bPPaoi2EFjHVy10_rRJ0uvy6YcU"",""AA:AA"")) + SUMPRODUCT((IMPORTR"&amp;"ANGE(""17XjIPGwafStTRf_8bPPaoi2EFjHVy10_rRJ0uvy6YcU"",""M:M"")=B10)*1, IMPORTRANGE(""17XjIPGwafStTRf_8bPPaoi2EFjHVy10_rRJ0uvy6YcU"",""X:X""), IMPORTRANGE(""17XjIPGwafStTRf_8bPPaoi2EFjHVy10_rRJ0uvy6YcU"",""AE:AE"")) + SUMPRODUCT((IMPORTRANGE(""17XjIPGwafSt"&amp;"TRf_8bPPaoi2EFjHVy10_rRJ0uvy6YcU"",""M:M"")=B10)*1, IMPORTRANGE(""17XjIPGwafStTRf_8bPPaoi2EFjHVy10_rRJ0uvy6YcU"",""X:X""), IMPORTRANGE(""17XjIPGwafStTRf_8bPPaoi2EFjHVy10_rRJ0uvy6YcU"",""AF:AF""))"),205449.63940686284)</f>
        <v>205449.6394</v>
      </c>
      <c r="E10" s="24">
        <f>IFERROR(__xludf.DUMMYFUNCTION("SUMPRODUCT((IMPORTRANGE(""17XjIPGwafStTRf_8bPPaoi2EFjHVy10_rRJ0uvy6YcU"",""M:M"")=B10)*1, IMPORTRANGE(""17XjIPGwafStTRf_8bPPaoi2EFjHVy10_rRJ0uvy6YcU"",""X:X""), IMPORTRANGE(""17XjIPGwafStTRf_8bPPaoi2EFjHVy10_rRJ0uvy6YcU"",""AO:AO""))"),55334.88469041036)</f>
        <v>55334.88469</v>
      </c>
      <c r="F10" s="25">
        <f>IFERROR(__xludf.DUMMYFUNCTION("SUMPRODUCT((IMPORTRANGE(""17XjIPGwafStTRf_8bPPaoi2EFjHVy10_rRJ0uvy6YcU"",""M:M"")=B10)*1, IMPORTRANGE(""17XjIPGwafStTRf_8bPPaoi2EFjHVy10_rRJ0uvy6YcU"",""X:X""))"),54.0)</f>
        <v>54</v>
      </c>
      <c r="G10" s="26">
        <f>IFERROR(__xludf.DUMMYFUNCTION("COUNTIF(IMPORTRANGE(""17XjIPGwafStTRf_8bPPaoi2EFjHVy10_rRJ0uvy6YcU"",""M:M""), B10)"),23.0)</f>
        <v>23</v>
      </c>
      <c r="H10" s="27">
        <f t="shared" si="1"/>
        <v>2.347826087</v>
      </c>
      <c r="I10" s="28">
        <f t="shared" si="2"/>
        <v>0.1847692665</v>
      </c>
      <c r="J10" s="29">
        <f t="shared" si="3"/>
        <v>0.2693355162</v>
      </c>
      <c r="K10" s="32"/>
      <c r="L10" s="31" t="str">
        <f t="shared" si="4"/>
        <v/>
      </c>
      <c r="M10" s="31" t="str">
        <f t="shared" si="5"/>
        <v/>
      </c>
      <c r="N10" s="4"/>
    </row>
    <row r="11">
      <c r="A11" s="1"/>
      <c r="B11" s="23">
        <f t="shared" si="6"/>
        <v>44567</v>
      </c>
      <c r="C11" s="24">
        <f>IFERROR(__xludf.DUMMYFUNCTION("SUMPRODUCT((IMPORTRANGE(""17XjIPGwafStTRf_8bPPaoi2EFjHVy10_rRJ0uvy6YcU"",""M:M"")=B11)*1, IMPORTRANGE(""17XjIPGwafStTRf_8bPPaoi2EFjHVy10_rRJ0uvy6YcU"",""X:X""), IMPORTRANGE(""17XjIPGwafStTRf_8bPPaoi2EFjHVy10_rRJ0uvy6YcU"",""AK:AK"")) - SUMPRODUCT((IMPORTR"&amp;"ANGE(""17XjIPGwafStTRf_8bPPaoi2EFjHVy10_rRJ0uvy6YcU"",""M:M"")=B11)*1, IMPORTRANGE(""17XjIPGwafStTRf_8bPPaoi2EFjHVy10_rRJ0uvy6YcU"",""X:X""), IMPORTRANGE(""17XjIPGwafStTRf_8bPPaoi2EFjHVy10_rRJ0uvy6YcU"",""AL:AL""))"),290800.0)</f>
        <v>290800</v>
      </c>
      <c r="D11" s="24">
        <f>IFERROR(__xludf.DUMMYFUNCTION("SUMPRODUCT((IMPORTRANGE(""17XjIPGwafStTRf_8bPPaoi2EFjHVy10_rRJ0uvy6YcU"",""M:M"")=B11)*1, IMPORTRANGE(""17XjIPGwafStTRf_8bPPaoi2EFjHVy10_rRJ0uvy6YcU"",""X:X""), IMPORTRANGE(""17XjIPGwafStTRf_8bPPaoi2EFjHVy10_rRJ0uvy6YcU"",""AA:AA"")) + SUMPRODUCT((IMPORTR"&amp;"ANGE(""17XjIPGwafStTRf_8bPPaoi2EFjHVy10_rRJ0uvy6YcU"",""M:M"")=B11)*1, IMPORTRANGE(""17XjIPGwafStTRf_8bPPaoi2EFjHVy10_rRJ0uvy6YcU"",""X:X""), IMPORTRANGE(""17XjIPGwafStTRf_8bPPaoi2EFjHVy10_rRJ0uvy6YcU"",""AE:AE"")) + SUMPRODUCT((IMPORTRANGE(""17XjIPGwafSt"&amp;"TRf_8bPPaoi2EFjHVy10_rRJ0uvy6YcU"",""M:M"")=B11)*1, IMPORTRANGE(""17XjIPGwafStTRf_8bPPaoi2EFjHVy10_rRJ0uvy6YcU"",""X:X""), IMPORTRANGE(""17XjIPGwafStTRf_8bPPaoi2EFjHVy10_rRJ0uvy6YcU"",""AF:AF""))"),176820.86441384084)</f>
        <v>176820.8644</v>
      </c>
      <c r="E11" s="24">
        <f>IFERROR(__xludf.DUMMYFUNCTION("SUMPRODUCT((IMPORTRANGE(""17XjIPGwafStTRf_8bPPaoi2EFjHVy10_rRJ0uvy6YcU"",""M:M"")=B11)*1, IMPORTRANGE(""17XjIPGwafStTRf_8bPPaoi2EFjHVy10_rRJ0uvy6YcU"",""X:X""), IMPORTRANGE(""17XjIPGwafStTRf_8bPPaoi2EFjHVy10_rRJ0uvy6YcU"",""AO:AO""))"),62763.42524292339)</f>
        <v>62763.42524</v>
      </c>
      <c r="F11" s="25">
        <f>IFERROR(__xludf.DUMMYFUNCTION("SUMPRODUCT((IMPORTRANGE(""17XjIPGwafStTRf_8bPPaoi2EFjHVy10_rRJ0uvy6YcU"",""M:M"")=B11)*1, IMPORTRANGE(""17XjIPGwafStTRf_8bPPaoi2EFjHVy10_rRJ0uvy6YcU"",""X:X""))"),52.0)</f>
        <v>52</v>
      </c>
      <c r="G11" s="26">
        <f>IFERROR(__xludf.DUMMYFUNCTION("COUNTIF(IMPORTRANGE(""17XjIPGwafStTRf_8bPPaoi2EFjHVy10_rRJ0uvy6YcU"",""M:M""), B11)"),28.0)</f>
        <v>28</v>
      </c>
      <c r="H11" s="27">
        <f t="shared" si="1"/>
        <v>1.857142857</v>
      </c>
      <c r="I11" s="28">
        <f t="shared" si="2"/>
        <v>0.2158302106</v>
      </c>
      <c r="J11" s="29">
        <f t="shared" si="3"/>
        <v>0.3549548604</v>
      </c>
      <c r="K11" s="30"/>
      <c r="L11" s="31" t="str">
        <f t="shared" si="4"/>
        <v/>
      </c>
      <c r="M11" s="31" t="str">
        <f t="shared" si="5"/>
        <v/>
      </c>
      <c r="N11" s="4"/>
    </row>
    <row r="12">
      <c r="A12" s="1"/>
      <c r="B12" s="23">
        <f t="shared" si="6"/>
        <v>44568</v>
      </c>
      <c r="C12" s="24">
        <f>IFERROR(__xludf.DUMMYFUNCTION("SUMPRODUCT((IMPORTRANGE(""17XjIPGwafStTRf_8bPPaoi2EFjHVy10_rRJ0uvy6YcU"",""M:M"")=B12)*1, IMPORTRANGE(""17XjIPGwafStTRf_8bPPaoi2EFjHVy10_rRJ0uvy6YcU"",""X:X""), IMPORTRANGE(""17XjIPGwafStTRf_8bPPaoi2EFjHVy10_rRJ0uvy6YcU"",""AK:AK"")) - SUMPRODUCT((IMPORTR"&amp;"ANGE(""17XjIPGwafStTRf_8bPPaoi2EFjHVy10_rRJ0uvy6YcU"",""M:M"")=B12)*1, IMPORTRANGE(""17XjIPGwafStTRf_8bPPaoi2EFjHVy10_rRJ0uvy6YcU"",""X:X""), IMPORTRANGE(""17XjIPGwafStTRf_8bPPaoi2EFjHVy10_rRJ0uvy6YcU"",""AL:AL""))"),411066.0)</f>
        <v>411066</v>
      </c>
      <c r="D12" s="24">
        <f>IFERROR(__xludf.DUMMYFUNCTION("SUMPRODUCT((IMPORTRANGE(""17XjIPGwafStTRf_8bPPaoi2EFjHVy10_rRJ0uvy6YcU"",""M:M"")=B12)*1, IMPORTRANGE(""17XjIPGwafStTRf_8bPPaoi2EFjHVy10_rRJ0uvy6YcU"",""X:X""), IMPORTRANGE(""17XjIPGwafStTRf_8bPPaoi2EFjHVy10_rRJ0uvy6YcU"",""AA:AA"")) + SUMPRODUCT((IMPORTR"&amp;"ANGE(""17XjIPGwafStTRf_8bPPaoi2EFjHVy10_rRJ0uvy6YcU"",""M:M"")=B12)*1, IMPORTRANGE(""17XjIPGwafStTRf_8bPPaoi2EFjHVy10_rRJ0uvy6YcU"",""X:X""), IMPORTRANGE(""17XjIPGwafStTRf_8bPPaoi2EFjHVy10_rRJ0uvy6YcU"",""AE:AE"")) + SUMPRODUCT((IMPORTRANGE(""17XjIPGwafSt"&amp;"TRf_8bPPaoi2EFjHVy10_rRJ0uvy6YcU"",""M:M"")=B12)*1, IMPORTRANGE(""17XjIPGwafStTRf_8bPPaoi2EFjHVy10_rRJ0uvy6YcU"",""X:X""), IMPORTRANGE(""17XjIPGwafStTRf_8bPPaoi2EFjHVy10_rRJ0uvy6YcU"",""AF:AF""))"),279368.0289420929)</f>
        <v>279368.0289</v>
      </c>
      <c r="E12" s="24">
        <f>IFERROR(__xludf.DUMMYFUNCTION("SUMPRODUCT((IMPORTRANGE(""17XjIPGwafStTRf_8bPPaoi2EFjHVy10_rRJ0uvy6YcU"",""M:M"")=B12)*1, IMPORTRANGE(""17XjIPGwafStTRf_8bPPaoi2EFjHVy10_rRJ0uvy6YcU"",""X:X""), IMPORTRANGE(""17XjIPGwafStTRf_8bPPaoi2EFjHVy10_rRJ0uvy6YcU"",""AO:AO""))"),63615.03687621751)</f>
        <v>63615.03688</v>
      </c>
      <c r="F12" s="25">
        <f>IFERROR(__xludf.DUMMYFUNCTION("SUMPRODUCT((IMPORTRANGE(""17XjIPGwafStTRf_8bPPaoi2EFjHVy10_rRJ0uvy6YcU"",""M:M"")=B12)*1, IMPORTRANGE(""17XjIPGwafStTRf_8bPPaoi2EFjHVy10_rRJ0uvy6YcU"",""X:X""))"),64.0)</f>
        <v>64</v>
      </c>
      <c r="G12" s="26">
        <f>IFERROR(__xludf.DUMMYFUNCTION("COUNTIF(IMPORTRANGE(""17XjIPGwafStTRf_8bPPaoi2EFjHVy10_rRJ0uvy6YcU"",""M:M""), B12)"),23.0)</f>
        <v>23</v>
      </c>
      <c r="H12" s="27">
        <f t="shared" si="1"/>
        <v>2.782608696</v>
      </c>
      <c r="I12" s="28">
        <f t="shared" si="2"/>
        <v>0.1547562603</v>
      </c>
      <c r="J12" s="29">
        <f t="shared" si="3"/>
        <v>0.2277105119</v>
      </c>
      <c r="K12" s="32"/>
      <c r="L12" s="31" t="str">
        <f t="shared" si="4"/>
        <v/>
      </c>
      <c r="M12" s="31" t="str">
        <f t="shared" si="5"/>
        <v/>
      </c>
      <c r="N12" s="4"/>
    </row>
    <row r="13">
      <c r="A13" s="1"/>
      <c r="B13" s="23">
        <f t="shared" si="6"/>
        <v>44569</v>
      </c>
      <c r="C13" s="24">
        <f>IFERROR(__xludf.DUMMYFUNCTION("SUMPRODUCT((IMPORTRANGE(""17XjIPGwafStTRf_8bPPaoi2EFjHVy10_rRJ0uvy6YcU"",""M:M"")=B13)*1, IMPORTRANGE(""17XjIPGwafStTRf_8bPPaoi2EFjHVy10_rRJ0uvy6YcU"",""X:X""), IMPORTRANGE(""17XjIPGwafStTRf_8bPPaoi2EFjHVy10_rRJ0uvy6YcU"",""AK:AK"")) - SUMPRODUCT((IMPORTR"&amp;"ANGE(""17XjIPGwafStTRf_8bPPaoi2EFjHVy10_rRJ0uvy6YcU"",""M:M"")=B13)*1, IMPORTRANGE(""17XjIPGwafStTRf_8bPPaoi2EFjHVy10_rRJ0uvy6YcU"",""X:X""), IMPORTRANGE(""17XjIPGwafStTRf_8bPPaoi2EFjHVy10_rRJ0uvy6YcU"",""AL:AL""))"),0.0)</f>
        <v>0</v>
      </c>
      <c r="D13" s="24">
        <f>IFERROR(__xludf.DUMMYFUNCTION("SUMPRODUCT((IMPORTRANGE(""17XjIPGwafStTRf_8bPPaoi2EFjHVy10_rRJ0uvy6YcU"",""M:M"")=B13)*1, IMPORTRANGE(""17XjIPGwafStTRf_8bPPaoi2EFjHVy10_rRJ0uvy6YcU"",""X:X""), IMPORTRANGE(""17XjIPGwafStTRf_8bPPaoi2EFjHVy10_rRJ0uvy6YcU"",""AA:AA"")) + SUMPRODUCT((IMPORTR"&amp;"ANGE(""17XjIPGwafStTRf_8bPPaoi2EFjHVy10_rRJ0uvy6YcU"",""M:M"")=B13)*1, IMPORTRANGE(""17XjIPGwafStTRf_8bPPaoi2EFjHVy10_rRJ0uvy6YcU"",""X:X""), IMPORTRANGE(""17XjIPGwafStTRf_8bPPaoi2EFjHVy10_rRJ0uvy6YcU"",""AE:AE"")) + SUMPRODUCT((IMPORTRANGE(""17XjIPGwafSt"&amp;"TRf_8bPPaoi2EFjHVy10_rRJ0uvy6YcU"",""M:M"")=B13)*1, IMPORTRANGE(""17XjIPGwafStTRf_8bPPaoi2EFjHVy10_rRJ0uvy6YcU"",""X:X""), IMPORTRANGE(""17XjIPGwafStTRf_8bPPaoi2EFjHVy10_rRJ0uvy6YcU"",""AF:AF""))"),0.0)</f>
        <v>0</v>
      </c>
      <c r="E13" s="24">
        <f>IFERROR(__xludf.DUMMYFUNCTION("SUMPRODUCT((IMPORTRANGE(""17XjIPGwafStTRf_8bPPaoi2EFjHVy10_rRJ0uvy6YcU"",""M:M"")=B13)*1, IMPORTRANGE(""17XjIPGwafStTRf_8bPPaoi2EFjHVy10_rRJ0uvy6YcU"",""X:X""), IMPORTRANGE(""17XjIPGwafStTRf_8bPPaoi2EFjHVy10_rRJ0uvy6YcU"",""AO:AO""))"),0.0)</f>
        <v>0</v>
      </c>
      <c r="F13" s="25">
        <f>IFERROR(__xludf.DUMMYFUNCTION("SUMPRODUCT((IMPORTRANGE(""17XjIPGwafStTRf_8bPPaoi2EFjHVy10_rRJ0uvy6YcU"",""M:M"")=B13)*1, IMPORTRANGE(""17XjIPGwafStTRf_8bPPaoi2EFjHVy10_rRJ0uvy6YcU"",""X:X""))"),0.0)</f>
        <v>0</v>
      </c>
      <c r="G13" s="26">
        <f>IFERROR(__xludf.DUMMYFUNCTION("COUNTIF(IMPORTRANGE(""17XjIPGwafStTRf_8bPPaoi2EFjHVy10_rRJ0uvy6YcU"",""M:M""), B13)"),0.0)</f>
        <v>0</v>
      </c>
      <c r="H13" s="27" t="str">
        <f t="shared" si="1"/>
        <v/>
      </c>
      <c r="I13" s="28" t="str">
        <f t="shared" si="2"/>
        <v/>
      </c>
      <c r="J13" s="29" t="str">
        <f t="shared" si="3"/>
        <v/>
      </c>
      <c r="K13" s="32"/>
      <c r="L13" s="31" t="str">
        <f t="shared" si="4"/>
        <v/>
      </c>
      <c r="M13" s="31" t="str">
        <f t="shared" si="5"/>
        <v/>
      </c>
      <c r="N13" s="4"/>
    </row>
    <row r="14">
      <c r="A14" s="1"/>
      <c r="B14" s="23">
        <f t="shared" si="6"/>
        <v>44570</v>
      </c>
      <c r="C14" s="24">
        <f>IFERROR(__xludf.DUMMYFUNCTION("SUMPRODUCT((IMPORTRANGE(""17XjIPGwafStTRf_8bPPaoi2EFjHVy10_rRJ0uvy6YcU"",""M:M"")=B14)*1, IMPORTRANGE(""17XjIPGwafStTRf_8bPPaoi2EFjHVy10_rRJ0uvy6YcU"",""X:X""), IMPORTRANGE(""17XjIPGwafStTRf_8bPPaoi2EFjHVy10_rRJ0uvy6YcU"",""AK:AK"")) - SUMPRODUCT((IMPORTR"&amp;"ANGE(""17XjIPGwafStTRf_8bPPaoi2EFjHVy10_rRJ0uvy6YcU"",""M:M"")=B14)*1, IMPORTRANGE(""17XjIPGwafStTRf_8bPPaoi2EFjHVy10_rRJ0uvy6YcU"",""X:X""), IMPORTRANGE(""17XjIPGwafStTRf_8bPPaoi2EFjHVy10_rRJ0uvy6YcU"",""AL:AL""))"),873640.0)</f>
        <v>873640</v>
      </c>
      <c r="D14" s="24">
        <f>IFERROR(__xludf.DUMMYFUNCTION("SUMPRODUCT((IMPORTRANGE(""17XjIPGwafStTRf_8bPPaoi2EFjHVy10_rRJ0uvy6YcU"",""M:M"")=B14)*1, IMPORTRANGE(""17XjIPGwafStTRf_8bPPaoi2EFjHVy10_rRJ0uvy6YcU"",""X:X""), IMPORTRANGE(""17XjIPGwafStTRf_8bPPaoi2EFjHVy10_rRJ0uvy6YcU"",""AA:AA"")) + SUMPRODUCT((IMPORTR"&amp;"ANGE(""17XjIPGwafStTRf_8bPPaoi2EFjHVy10_rRJ0uvy6YcU"",""M:M"")=B14)*1, IMPORTRANGE(""17XjIPGwafStTRf_8bPPaoi2EFjHVy10_rRJ0uvy6YcU"",""X:X""), IMPORTRANGE(""17XjIPGwafStTRf_8bPPaoi2EFjHVy10_rRJ0uvy6YcU"",""AE:AE"")) + SUMPRODUCT((IMPORTRANGE(""17XjIPGwafSt"&amp;"TRf_8bPPaoi2EFjHVy10_rRJ0uvy6YcU"",""M:M"")=B14)*1, IMPORTRANGE(""17XjIPGwafStTRf_8bPPaoi2EFjHVy10_rRJ0uvy6YcU"",""X:X""), IMPORTRANGE(""17XjIPGwafStTRf_8bPPaoi2EFjHVy10_rRJ0uvy6YcU"",""AF:AF""))"),548402.698690113)</f>
        <v>548402.6987</v>
      </c>
      <c r="E14" s="24">
        <f>IFERROR(__xludf.DUMMYFUNCTION("SUMPRODUCT((IMPORTRANGE(""17XjIPGwafStTRf_8bPPaoi2EFjHVy10_rRJ0uvy6YcU"",""M:M"")=B14)*1, IMPORTRANGE(""17XjIPGwafStTRf_8bPPaoi2EFjHVy10_rRJ0uvy6YcU"",""X:X""), IMPORTRANGE(""17XjIPGwafStTRf_8bPPaoi2EFjHVy10_rRJ0uvy6YcU"",""AO:AO""))"),155501.41462730488)</f>
        <v>155501.4146</v>
      </c>
      <c r="F14" s="25">
        <f>IFERROR(__xludf.DUMMYFUNCTION("SUMPRODUCT((IMPORTRANGE(""17XjIPGwafStTRf_8bPPaoi2EFjHVy10_rRJ0uvy6YcU"",""M:M"")=B14)*1, IMPORTRANGE(""17XjIPGwafStTRf_8bPPaoi2EFjHVy10_rRJ0uvy6YcU"",""X:X""))"),145.0)</f>
        <v>145</v>
      </c>
      <c r="G14" s="26">
        <f>IFERROR(__xludf.DUMMYFUNCTION("COUNTIF(IMPORTRANGE(""17XjIPGwafStTRf_8bPPaoi2EFjHVy10_rRJ0uvy6YcU"",""M:M""), B14)"),47.0)</f>
        <v>47</v>
      </c>
      <c r="H14" s="27">
        <f t="shared" si="1"/>
        <v>3.085106383</v>
      </c>
      <c r="I14" s="28">
        <f t="shared" si="2"/>
        <v>0.1779925537</v>
      </c>
      <c r="J14" s="29">
        <f t="shared" si="3"/>
        <v>0.2835533359</v>
      </c>
      <c r="K14" s="32"/>
      <c r="L14" s="31" t="str">
        <f t="shared" si="4"/>
        <v/>
      </c>
      <c r="M14" s="31" t="str">
        <f t="shared" si="5"/>
        <v/>
      </c>
      <c r="N14" s="4"/>
    </row>
    <row r="15">
      <c r="A15" s="1"/>
      <c r="B15" s="23">
        <f t="shared" si="6"/>
        <v>44571</v>
      </c>
      <c r="C15" s="24">
        <f>IFERROR(__xludf.DUMMYFUNCTION("SUMPRODUCT((IMPORTRANGE(""17XjIPGwafStTRf_8bPPaoi2EFjHVy10_rRJ0uvy6YcU"",""M:M"")=B15)*1, IMPORTRANGE(""17XjIPGwafStTRf_8bPPaoi2EFjHVy10_rRJ0uvy6YcU"",""X:X""), IMPORTRANGE(""17XjIPGwafStTRf_8bPPaoi2EFjHVy10_rRJ0uvy6YcU"",""AK:AK"")) - SUMPRODUCT((IMPORTR"&amp;"ANGE(""17XjIPGwafStTRf_8bPPaoi2EFjHVy10_rRJ0uvy6YcU"",""M:M"")=B15)*1, IMPORTRANGE(""17XjIPGwafStTRf_8bPPaoi2EFjHVy10_rRJ0uvy6YcU"",""X:X""), IMPORTRANGE(""17XjIPGwafStTRf_8bPPaoi2EFjHVy10_rRJ0uvy6YcU"",""AL:AL""))"),576695.0)</f>
        <v>576695</v>
      </c>
      <c r="D15" s="24">
        <f>IFERROR(__xludf.DUMMYFUNCTION("SUMPRODUCT((IMPORTRANGE(""17XjIPGwafStTRf_8bPPaoi2EFjHVy10_rRJ0uvy6YcU"",""M:M"")=B15)*1, IMPORTRANGE(""17XjIPGwafStTRf_8bPPaoi2EFjHVy10_rRJ0uvy6YcU"",""X:X""), IMPORTRANGE(""17XjIPGwafStTRf_8bPPaoi2EFjHVy10_rRJ0uvy6YcU"",""AA:AA"")) + SUMPRODUCT((IMPORTR"&amp;"ANGE(""17XjIPGwafStTRf_8bPPaoi2EFjHVy10_rRJ0uvy6YcU"",""M:M"")=B15)*1, IMPORTRANGE(""17XjIPGwafStTRf_8bPPaoi2EFjHVy10_rRJ0uvy6YcU"",""X:X""), IMPORTRANGE(""17XjIPGwafStTRf_8bPPaoi2EFjHVy10_rRJ0uvy6YcU"",""AE:AE"")) + SUMPRODUCT((IMPORTRANGE(""17XjIPGwafSt"&amp;"TRf_8bPPaoi2EFjHVy10_rRJ0uvy6YcU"",""M:M"")=B15)*1, IMPORTRANGE(""17XjIPGwafStTRf_8bPPaoi2EFjHVy10_rRJ0uvy6YcU"",""X:X""), IMPORTRANGE(""17XjIPGwafStTRf_8bPPaoi2EFjHVy10_rRJ0uvy6YcU"",""AF:AF""))"),265972.2280837755)</f>
        <v>265972.2281</v>
      </c>
      <c r="E15" s="24">
        <f>IFERROR(__xludf.DUMMYFUNCTION("SUMPRODUCT((IMPORTRANGE(""17XjIPGwafStTRf_8bPPaoi2EFjHVy10_rRJ0uvy6YcU"",""M:M"")=B15)*1, IMPORTRANGE(""17XjIPGwafStTRf_8bPPaoi2EFjHVy10_rRJ0uvy6YcU"",""X:X""), IMPORTRANGE(""17XjIPGwafStTRf_8bPPaoi2EFjHVy10_rRJ0uvy6YcU"",""AO:AO""))"),178033.27175263682)</f>
        <v>178033.2718</v>
      </c>
      <c r="F15" s="25">
        <f>IFERROR(__xludf.DUMMYFUNCTION("SUMPRODUCT((IMPORTRANGE(""17XjIPGwafStTRf_8bPPaoi2EFjHVy10_rRJ0uvy6YcU"",""M:M"")=B15)*1, IMPORTRANGE(""17XjIPGwafStTRf_8bPPaoi2EFjHVy10_rRJ0uvy6YcU"",""X:X""))"),208.0)</f>
        <v>208</v>
      </c>
      <c r="G15" s="26">
        <f>IFERROR(__xludf.DUMMYFUNCTION("COUNTIF(IMPORTRANGE(""17XjIPGwafStTRf_8bPPaoi2EFjHVy10_rRJ0uvy6YcU"",""M:M""), B15)"),31.0)</f>
        <v>31</v>
      </c>
      <c r="H15" s="27">
        <f t="shared" si="1"/>
        <v>6.709677419</v>
      </c>
      <c r="I15" s="28">
        <f t="shared" si="2"/>
        <v>0.3087130489</v>
      </c>
      <c r="J15" s="29">
        <f t="shared" si="3"/>
        <v>0.6693678999</v>
      </c>
      <c r="K15" s="30"/>
      <c r="L15" s="31" t="str">
        <f t="shared" si="4"/>
        <v/>
      </c>
      <c r="M15" s="31" t="str">
        <f t="shared" si="5"/>
        <v/>
      </c>
      <c r="N15" s="4"/>
    </row>
    <row r="16">
      <c r="A16" s="1"/>
      <c r="B16" s="23">
        <f t="shared" si="6"/>
        <v>44572</v>
      </c>
      <c r="C16" s="24">
        <f>IFERROR(__xludf.DUMMYFUNCTION("SUMPRODUCT((IMPORTRANGE(""17XjIPGwafStTRf_8bPPaoi2EFjHVy10_rRJ0uvy6YcU"",""M:M"")=B16)*1, IMPORTRANGE(""17XjIPGwafStTRf_8bPPaoi2EFjHVy10_rRJ0uvy6YcU"",""X:X""), IMPORTRANGE(""17XjIPGwafStTRf_8bPPaoi2EFjHVy10_rRJ0uvy6YcU"",""AK:AK"")) - SUMPRODUCT((IMPORTR"&amp;"ANGE(""17XjIPGwafStTRf_8bPPaoi2EFjHVy10_rRJ0uvy6YcU"",""M:M"")=B16)*1, IMPORTRANGE(""17XjIPGwafStTRf_8bPPaoi2EFjHVy10_rRJ0uvy6YcU"",""X:X""), IMPORTRANGE(""17XjIPGwafStTRf_8bPPaoi2EFjHVy10_rRJ0uvy6YcU"",""AL:AL""))"),590359.0)</f>
        <v>590359</v>
      </c>
      <c r="D16" s="24">
        <f>IFERROR(__xludf.DUMMYFUNCTION("SUMPRODUCT((IMPORTRANGE(""17XjIPGwafStTRf_8bPPaoi2EFjHVy10_rRJ0uvy6YcU"",""M:M"")=B16)*1, IMPORTRANGE(""17XjIPGwafStTRf_8bPPaoi2EFjHVy10_rRJ0uvy6YcU"",""X:X""), IMPORTRANGE(""17XjIPGwafStTRf_8bPPaoi2EFjHVy10_rRJ0uvy6YcU"",""AA:AA"")) + SUMPRODUCT((IMPORTR"&amp;"ANGE(""17XjIPGwafStTRf_8bPPaoi2EFjHVy10_rRJ0uvy6YcU"",""M:M"")=B16)*1, IMPORTRANGE(""17XjIPGwafStTRf_8bPPaoi2EFjHVy10_rRJ0uvy6YcU"",""X:X""), IMPORTRANGE(""17XjIPGwafStTRf_8bPPaoi2EFjHVy10_rRJ0uvy6YcU"",""AE:AE"")) + SUMPRODUCT((IMPORTRANGE(""17XjIPGwafSt"&amp;"TRf_8bPPaoi2EFjHVy10_rRJ0uvy6YcU"",""M:M"")=B16)*1, IMPORTRANGE(""17XjIPGwafStTRf_8bPPaoi2EFjHVy10_rRJ0uvy6YcU"",""X:X""), IMPORTRANGE(""17XjIPGwafStTRf_8bPPaoi2EFjHVy10_rRJ0uvy6YcU"",""AF:AF""))"),346604.45227625454)</f>
        <v>346604.4523</v>
      </c>
      <c r="E16" s="24">
        <f>IFERROR(__xludf.DUMMYFUNCTION("SUMPRODUCT((IMPORTRANGE(""17XjIPGwafStTRf_8bPPaoi2EFjHVy10_rRJ0uvy6YcU"",""M:M"")=B16)*1, IMPORTRANGE(""17XjIPGwafStTRf_8bPPaoi2EFjHVy10_rRJ0uvy6YcU"",""X:X""), IMPORTRANGE(""17XjIPGwafStTRf_8bPPaoi2EFjHVy10_rRJ0uvy6YcU"",""AO:AO""))"),124457.64364643495)</f>
        <v>124457.6436</v>
      </c>
      <c r="F16" s="25">
        <f>IFERROR(__xludf.DUMMYFUNCTION("SUMPRODUCT((IMPORTRANGE(""17XjIPGwafStTRf_8bPPaoi2EFjHVy10_rRJ0uvy6YcU"",""M:M"")=B16)*1, IMPORTRANGE(""17XjIPGwafStTRf_8bPPaoi2EFjHVy10_rRJ0uvy6YcU"",""X:X""))"),158.0)</f>
        <v>158</v>
      </c>
      <c r="G16" s="26">
        <f>IFERROR(__xludf.DUMMYFUNCTION("COUNTIF(IMPORTRANGE(""17XjIPGwafStTRf_8bPPaoi2EFjHVy10_rRJ0uvy6YcU"",""M:M""), B16)"),37.0)</f>
        <v>37</v>
      </c>
      <c r="H16" s="27">
        <f t="shared" si="1"/>
        <v>4.27027027</v>
      </c>
      <c r="I16" s="28">
        <f t="shared" si="2"/>
        <v>0.210816882</v>
      </c>
      <c r="J16" s="29">
        <f t="shared" si="3"/>
        <v>0.3590768752</v>
      </c>
      <c r="K16" s="32"/>
      <c r="L16" s="31" t="str">
        <f t="shared" si="4"/>
        <v/>
      </c>
      <c r="M16" s="31" t="str">
        <f t="shared" si="5"/>
        <v/>
      </c>
      <c r="N16" s="4"/>
    </row>
    <row r="17">
      <c r="A17" s="1"/>
      <c r="B17" s="23">
        <f t="shared" si="6"/>
        <v>44573</v>
      </c>
      <c r="C17" s="24">
        <f>IFERROR(__xludf.DUMMYFUNCTION("SUMPRODUCT((IMPORTRANGE(""17XjIPGwafStTRf_8bPPaoi2EFjHVy10_rRJ0uvy6YcU"",""M:M"")=B17)*1, IMPORTRANGE(""17XjIPGwafStTRf_8bPPaoi2EFjHVy10_rRJ0uvy6YcU"",""X:X""), IMPORTRANGE(""17XjIPGwafStTRf_8bPPaoi2EFjHVy10_rRJ0uvy6YcU"",""AK:AK"")) - SUMPRODUCT((IMPORTR"&amp;"ANGE(""17XjIPGwafStTRf_8bPPaoi2EFjHVy10_rRJ0uvy6YcU"",""M:M"")=B17)*1, IMPORTRANGE(""17XjIPGwafStTRf_8bPPaoi2EFjHVy10_rRJ0uvy6YcU"",""X:X""), IMPORTRANGE(""17XjIPGwafStTRf_8bPPaoi2EFjHVy10_rRJ0uvy6YcU"",""AL:AL""))"),594109.0)</f>
        <v>594109</v>
      </c>
      <c r="D17" s="24">
        <f>IFERROR(__xludf.DUMMYFUNCTION("SUMPRODUCT((IMPORTRANGE(""17XjIPGwafStTRf_8bPPaoi2EFjHVy10_rRJ0uvy6YcU"",""M:M"")=B17)*1, IMPORTRANGE(""17XjIPGwafStTRf_8bPPaoi2EFjHVy10_rRJ0uvy6YcU"",""X:X""), IMPORTRANGE(""17XjIPGwafStTRf_8bPPaoi2EFjHVy10_rRJ0uvy6YcU"",""AA:AA"")) + SUMPRODUCT((IMPORTR"&amp;"ANGE(""17XjIPGwafStTRf_8bPPaoi2EFjHVy10_rRJ0uvy6YcU"",""M:M"")=B17)*1, IMPORTRANGE(""17XjIPGwafStTRf_8bPPaoi2EFjHVy10_rRJ0uvy6YcU"",""X:X""), IMPORTRANGE(""17XjIPGwafStTRf_8bPPaoi2EFjHVy10_rRJ0uvy6YcU"",""AE:AE"")) + SUMPRODUCT((IMPORTRANGE(""17XjIPGwafSt"&amp;"TRf_8bPPaoi2EFjHVy10_rRJ0uvy6YcU"",""M:M"")=B17)*1, IMPORTRANGE(""17XjIPGwafStTRf_8bPPaoi2EFjHVy10_rRJ0uvy6YcU"",""X:X""), IMPORTRANGE(""17XjIPGwafStTRf_8bPPaoi2EFjHVy10_rRJ0uvy6YcU"",""AF:AF""))"),392082.2408678022)</f>
        <v>392082.2409</v>
      </c>
      <c r="E17" s="24">
        <f>IFERROR(__xludf.DUMMYFUNCTION("SUMPRODUCT((IMPORTRANGE(""17XjIPGwafStTRf_8bPPaoi2EFjHVy10_rRJ0uvy6YcU"",""M:M"")=B17)*1, IMPORTRANGE(""17XjIPGwafStTRf_8bPPaoi2EFjHVy10_rRJ0uvy6YcU"",""X:X""), IMPORTRANGE(""17XjIPGwafStTRf_8bPPaoi2EFjHVy10_rRJ0uvy6YcU"",""AO:AO""))"),125827.48994811629)</f>
        <v>125827.4899</v>
      </c>
      <c r="F17" s="25">
        <f>IFERROR(__xludf.DUMMYFUNCTION("SUMPRODUCT((IMPORTRANGE(""17XjIPGwafStTRf_8bPPaoi2EFjHVy10_rRJ0uvy6YcU"",""M:M"")=B17)*1, IMPORTRANGE(""17XjIPGwafStTRf_8bPPaoi2EFjHVy10_rRJ0uvy6YcU"",""X:X""))"),109.0)</f>
        <v>109</v>
      </c>
      <c r="G17" s="26">
        <f>IFERROR(__xludf.DUMMYFUNCTION("COUNTIF(IMPORTRANGE(""17XjIPGwafStTRf_8bPPaoi2EFjHVy10_rRJ0uvy6YcU"",""M:M""), B17)"),32.0)</f>
        <v>32</v>
      </c>
      <c r="H17" s="27">
        <f t="shared" si="1"/>
        <v>3.40625</v>
      </c>
      <c r="I17" s="28">
        <f t="shared" si="2"/>
        <v>0.211791927</v>
      </c>
      <c r="J17" s="29">
        <f t="shared" si="3"/>
        <v>0.3209211661</v>
      </c>
      <c r="K17" s="32"/>
      <c r="L17" s="31" t="str">
        <f t="shared" si="4"/>
        <v/>
      </c>
      <c r="M17" s="31" t="str">
        <f t="shared" si="5"/>
        <v/>
      </c>
      <c r="N17" s="4"/>
    </row>
    <row r="18">
      <c r="A18" s="1"/>
      <c r="B18" s="23">
        <f t="shared" si="6"/>
        <v>44574</v>
      </c>
      <c r="C18" s="24">
        <f>IFERROR(__xludf.DUMMYFUNCTION("SUMPRODUCT((IMPORTRANGE(""17XjIPGwafStTRf_8bPPaoi2EFjHVy10_rRJ0uvy6YcU"",""M:M"")=B18)*1, IMPORTRANGE(""17XjIPGwafStTRf_8bPPaoi2EFjHVy10_rRJ0uvy6YcU"",""X:X""), IMPORTRANGE(""17XjIPGwafStTRf_8bPPaoi2EFjHVy10_rRJ0uvy6YcU"",""AK:AK"")) - SUMPRODUCT((IMPORTR"&amp;"ANGE(""17XjIPGwafStTRf_8bPPaoi2EFjHVy10_rRJ0uvy6YcU"",""M:M"")=B18)*1, IMPORTRANGE(""17XjIPGwafStTRf_8bPPaoi2EFjHVy10_rRJ0uvy6YcU"",""X:X""), IMPORTRANGE(""17XjIPGwafStTRf_8bPPaoi2EFjHVy10_rRJ0uvy6YcU"",""AL:AL""))"),552010.0)</f>
        <v>552010</v>
      </c>
      <c r="D18" s="24">
        <f>IFERROR(__xludf.DUMMYFUNCTION("SUMPRODUCT((IMPORTRANGE(""17XjIPGwafStTRf_8bPPaoi2EFjHVy10_rRJ0uvy6YcU"",""M:M"")=B18)*1, IMPORTRANGE(""17XjIPGwafStTRf_8bPPaoi2EFjHVy10_rRJ0uvy6YcU"",""X:X""), IMPORTRANGE(""17XjIPGwafStTRf_8bPPaoi2EFjHVy10_rRJ0uvy6YcU"",""AA:AA"")) + SUMPRODUCT((IMPORTR"&amp;"ANGE(""17XjIPGwafStTRf_8bPPaoi2EFjHVy10_rRJ0uvy6YcU"",""M:M"")=B18)*1, IMPORTRANGE(""17XjIPGwafStTRf_8bPPaoi2EFjHVy10_rRJ0uvy6YcU"",""X:X""), IMPORTRANGE(""17XjIPGwafStTRf_8bPPaoi2EFjHVy10_rRJ0uvy6YcU"",""AE:AE"")) + SUMPRODUCT((IMPORTRANGE(""17XjIPGwafSt"&amp;"TRf_8bPPaoi2EFjHVy10_rRJ0uvy6YcU"",""M:M"")=B18)*1, IMPORTRANGE(""17XjIPGwafStTRf_8bPPaoi2EFjHVy10_rRJ0uvy6YcU"",""X:X""), IMPORTRANGE(""17XjIPGwafStTRf_8bPPaoi2EFjHVy10_rRJ0uvy6YcU"",""AF:AF""))"),409774.8431788685)</f>
        <v>409774.8432</v>
      </c>
      <c r="E18" s="24">
        <f>IFERROR(__xludf.DUMMYFUNCTION("SUMPRODUCT((IMPORTRANGE(""17XjIPGwafStTRf_8bPPaoi2EFjHVy10_rRJ0uvy6YcU"",""M:M"")=B18)*1, IMPORTRANGE(""17XjIPGwafStTRf_8bPPaoi2EFjHVy10_rRJ0uvy6YcU"",""X:X""), IMPORTRANGE(""17XjIPGwafStTRf_8bPPaoi2EFjHVy10_rRJ0uvy6YcU"",""AO:AO""))"),119488.30086275065)</f>
        <v>119488.3009</v>
      </c>
      <c r="F18" s="25">
        <f>IFERROR(__xludf.DUMMYFUNCTION("SUMPRODUCT((IMPORTRANGE(""17XjIPGwafStTRf_8bPPaoi2EFjHVy10_rRJ0uvy6YcU"",""M:M"")=B18)*1, IMPORTRANGE(""17XjIPGwafStTRf_8bPPaoi2EFjHVy10_rRJ0uvy6YcU"",""X:X""))"),92.0)</f>
        <v>92</v>
      </c>
      <c r="G18" s="26">
        <f>IFERROR(__xludf.DUMMYFUNCTION("COUNTIF(IMPORTRANGE(""17XjIPGwafStTRf_8bPPaoi2EFjHVy10_rRJ0uvy6YcU"",""M:M""), B18)"),29.0)</f>
        <v>29</v>
      </c>
      <c r="H18" s="27">
        <f t="shared" si="1"/>
        <v>3.172413793</v>
      </c>
      <c r="I18" s="28">
        <f t="shared" si="2"/>
        <v>0.2164603918</v>
      </c>
      <c r="J18" s="29">
        <f t="shared" si="3"/>
        <v>0.2915950133</v>
      </c>
      <c r="K18" s="32"/>
      <c r="L18" s="31" t="str">
        <f t="shared" si="4"/>
        <v/>
      </c>
      <c r="M18" s="31" t="str">
        <f t="shared" si="5"/>
        <v/>
      </c>
      <c r="N18" s="4"/>
    </row>
    <row r="19">
      <c r="A19" s="1"/>
      <c r="B19" s="23">
        <f t="shared" si="6"/>
        <v>44575</v>
      </c>
      <c r="C19" s="24">
        <f>IFERROR(__xludf.DUMMYFUNCTION("SUMPRODUCT((IMPORTRANGE(""17XjIPGwafStTRf_8bPPaoi2EFjHVy10_rRJ0uvy6YcU"",""M:M"")=B19)*1, IMPORTRANGE(""17XjIPGwafStTRf_8bPPaoi2EFjHVy10_rRJ0uvy6YcU"",""X:X""), IMPORTRANGE(""17XjIPGwafStTRf_8bPPaoi2EFjHVy10_rRJ0uvy6YcU"",""AK:AK"")) - SUMPRODUCT((IMPORTR"&amp;"ANGE(""17XjIPGwafStTRf_8bPPaoi2EFjHVy10_rRJ0uvy6YcU"",""M:M"")=B19)*1, IMPORTRANGE(""17XjIPGwafStTRf_8bPPaoi2EFjHVy10_rRJ0uvy6YcU"",""X:X""), IMPORTRANGE(""17XjIPGwafStTRf_8bPPaoi2EFjHVy10_rRJ0uvy6YcU"",""AL:AL""))"),731697.0)</f>
        <v>731697</v>
      </c>
      <c r="D19" s="24">
        <f>IFERROR(__xludf.DUMMYFUNCTION("SUMPRODUCT((IMPORTRANGE(""17XjIPGwafStTRf_8bPPaoi2EFjHVy10_rRJ0uvy6YcU"",""M:M"")=B19)*1, IMPORTRANGE(""17XjIPGwafStTRf_8bPPaoi2EFjHVy10_rRJ0uvy6YcU"",""X:X""), IMPORTRANGE(""17XjIPGwafStTRf_8bPPaoi2EFjHVy10_rRJ0uvy6YcU"",""AA:AA"")) + SUMPRODUCT((IMPORTR"&amp;"ANGE(""17XjIPGwafStTRf_8bPPaoi2EFjHVy10_rRJ0uvy6YcU"",""M:M"")=B19)*1, IMPORTRANGE(""17XjIPGwafStTRf_8bPPaoi2EFjHVy10_rRJ0uvy6YcU"",""X:X""), IMPORTRANGE(""17XjIPGwafStTRf_8bPPaoi2EFjHVy10_rRJ0uvy6YcU"",""AE:AE"")) + SUMPRODUCT((IMPORTRANGE(""17XjIPGwafSt"&amp;"TRf_8bPPaoi2EFjHVy10_rRJ0uvy6YcU"",""M:M"")=B19)*1, IMPORTRANGE(""17XjIPGwafStTRf_8bPPaoi2EFjHVy10_rRJ0uvy6YcU"",""X:X""), IMPORTRANGE(""17XjIPGwafStTRf_8bPPaoi2EFjHVy10_rRJ0uvy6YcU"",""AF:AF""))"),445032.7379354993)</f>
        <v>445032.7379</v>
      </c>
      <c r="E19" s="24">
        <f>IFERROR(__xludf.DUMMYFUNCTION("SUMPRODUCT((IMPORTRANGE(""17XjIPGwafStTRf_8bPPaoi2EFjHVy10_rRJ0uvy6YcU"",""M:M"")=B19)*1, IMPORTRANGE(""17XjIPGwafStTRf_8bPPaoi2EFjHVy10_rRJ0uvy6YcU"",""X:X""), IMPORTRANGE(""17XjIPGwafStTRf_8bPPaoi2EFjHVy10_rRJ0uvy6YcU"",""AO:AO""))"),159311.7524849174)</f>
        <v>159311.7525</v>
      </c>
      <c r="F19" s="25">
        <f>IFERROR(__xludf.DUMMYFUNCTION("SUMPRODUCT((IMPORTRANGE(""17XjIPGwafStTRf_8bPPaoi2EFjHVy10_rRJ0uvy6YcU"",""M:M"")=B19)*1, IMPORTRANGE(""17XjIPGwafStTRf_8bPPaoi2EFjHVy10_rRJ0uvy6YcU"",""X:X""))"),150.0)</f>
        <v>150</v>
      </c>
      <c r="G19" s="26">
        <f>IFERROR(__xludf.DUMMYFUNCTION("COUNTIF(IMPORTRANGE(""17XjIPGwafStTRf_8bPPaoi2EFjHVy10_rRJ0uvy6YcU"",""M:M""), B19)"),27.0)</f>
        <v>27</v>
      </c>
      <c r="H19" s="27">
        <f t="shared" si="1"/>
        <v>5.555555556</v>
      </c>
      <c r="I19" s="28">
        <f t="shared" si="2"/>
        <v>0.2177291317</v>
      </c>
      <c r="J19" s="29">
        <f t="shared" si="3"/>
        <v>0.3579776023</v>
      </c>
      <c r="K19" s="32"/>
      <c r="L19" s="31" t="str">
        <f t="shared" si="4"/>
        <v/>
      </c>
      <c r="M19" s="31" t="str">
        <f t="shared" si="5"/>
        <v/>
      </c>
      <c r="N19" s="4"/>
    </row>
    <row r="20">
      <c r="A20" s="1"/>
      <c r="B20" s="23">
        <f t="shared" si="6"/>
        <v>44576</v>
      </c>
      <c r="C20" s="24">
        <f>IFERROR(__xludf.DUMMYFUNCTION("SUMPRODUCT((IMPORTRANGE(""17XjIPGwafStTRf_8bPPaoi2EFjHVy10_rRJ0uvy6YcU"",""M:M"")=B20)*1, IMPORTRANGE(""17XjIPGwafStTRf_8bPPaoi2EFjHVy10_rRJ0uvy6YcU"",""X:X""), IMPORTRANGE(""17XjIPGwafStTRf_8bPPaoi2EFjHVy10_rRJ0uvy6YcU"",""AK:AK"")) - SUMPRODUCT((IMPORTR"&amp;"ANGE(""17XjIPGwafStTRf_8bPPaoi2EFjHVy10_rRJ0uvy6YcU"",""M:M"")=B20)*1, IMPORTRANGE(""17XjIPGwafStTRf_8bPPaoi2EFjHVy10_rRJ0uvy6YcU"",""X:X""), IMPORTRANGE(""17XjIPGwafStTRf_8bPPaoi2EFjHVy10_rRJ0uvy6YcU"",""AL:AL""))"),483913.0)</f>
        <v>483913</v>
      </c>
      <c r="D20" s="24">
        <f>IFERROR(__xludf.DUMMYFUNCTION("SUMPRODUCT((IMPORTRANGE(""17XjIPGwafStTRf_8bPPaoi2EFjHVy10_rRJ0uvy6YcU"",""M:M"")=B20)*1, IMPORTRANGE(""17XjIPGwafStTRf_8bPPaoi2EFjHVy10_rRJ0uvy6YcU"",""X:X""), IMPORTRANGE(""17XjIPGwafStTRf_8bPPaoi2EFjHVy10_rRJ0uvy6YcU"",""AA:AA"")) + SUMPRODUCT((IMPORTR"&amp;"ANGE(""17XjIPGwafStTRf_8bPPaoi2EFjHVy10_rRJ0uvy6YcU"",""M:M"")=B20)*1, IMPORTRANGE(""17XjIPGwafStTRf_8bPPaoi2EFjHVy10_rRJ0uvy6YcU"",""X:X""), IMPORTRANGE(""17XjIPGwafStTRf_8bPPaoi2EFjHVy10_rRJ0uvy6YcU"",""AE:AE"")) + SUMPRODUCT((IMPORTRANGE(""17XjIPGwafSt"&amp;"TRf_8bPPaoi2EFjHVy10_rRJ0uvy6YcU"",""M:M"")=B20)*1, IMPORTRANGE(""17XjIPGwafStTRf_8bPPaoi2EFjHVy10_rRJ0uvy6YcU"",""X:X""), IMPORTRANGE(""17XjIPGwafStTRf_8bPPaoi2EFjHVy10_rRJ0uvy6YcU"",""AF:AF""))"),288977.33556328784)</f>
        <v>288977.3356</v>
      </c>
      <c r="E20" s="24">
        <f>IFERROR(__xludf.DUMMYFUNCTION("SUMPRODUCT((IMPORTRANGE(""17XjIPGwafStTRf_8bPPaoi2EFjHVy10_rRJ0uvy6YcU"",""M:M"")=B20)*1, IMPORTRANGE(""17XjIPGwafStTRf_8bPPaoi2EFjHVy10_rRJ0uvy6YcU"",""X:X""), IMPORTRANGE(""17XjIPGwafStTRf_8bPPaoi2EFjHVy10_rRJ0uvy6YcU"",""AO:AO""))"),98247.86443671219)</f>
        <v>98247.86444</v>
      </c>
      <c r="F20" s="25">
        <f>IFERROR(__xludf.DUMMYFUNCTION("SUMPRODUCT((IMPORTRANGE(""17XjIPGwafStTRf_8bPPaoi2EFjHVy10_rRJ0uvy6YcU"",""M:M"")=B20)*1, IMPORTRANGE(""17XjIPGwafStTRf_8bPPaoi2EFjHVy10_rRJ0uvy6YcU"",""X:X""))"),73.0)</f>
        <v>73</v>
      </c>
      <c r="G20" s="26">
        <f>IFERROR(__xludf.DUMMYFUNCTION("COUNTIF(IMPORTRANGE(""17XjIPGwafStTRf_8bPPaoi2EFjHVy10_rRJ0uvy6YcU"",""M:M""), B20)"),29.0)</f>
        <v>29</v>
      </c>
      <c r="H20" s="27">
        <f t="shared" si="1"/>
        <v>2.517241379</v>
      </c>
      <c r="I20" s="28">
        <f t="shared" si="2"/>
        <v>0.2030279501</v>
      </c>
      <c r="J20" s="29">
        <f t="shared" si="3"/>
        <v>0.3399846713</v>
      </c>
      <c r="K20" s="32"/>
      <c r="L20" s="31" t="str">
        <f t="shared" si="4"/>
        <v/>
      </c>
      <c r="M20" s="31" t="str">
        <f t="shared" si="5"/>
        <v/>
      </c>
      <c r="N20" s="4"/>
    </row>
    <row r="21">
      <c r="A21" s="1"/>
      <c r="B21" s="23">
        <f t="shared" si="6"/>
        <v>44577</v>
      </c>
      <c r="C21" s="24">
        <f>IFERROR(__xludf.DUMMYFUNCTION("SUMPRODUCT((IMPORTRANGE(""17XjIPGwafStTRf_8bPPaoi2EFjHVy10_rRJ0uvy6YcU"",""M:M"")=B21)*1, IMPORTRANGE(""17XjIPGwafStTRf_8bPPaoi2EFjHVy10_rRJ0uvy6YcU"",""X:X""), IMPORTRANGE(""17XjIPGwafStTRf_8bPPaoi2EFjHVy10_rRJ0uvy6YcU"",""AK:AK"")) - SUMPRODUCT((IMPORTR"&amp;"ANGE(""17XjIPGwafStTRf_8bPPaoi2EFjHVy10_rRJ0uvy6YcU"",""M:M"")=B21)*1, IMPORTRANGE(""17XjIPGwafStTRf_8bPPaoi2EFjHVy10_rRJ0uvy6YcU"",""X:X""), IMPORTRANGE(""17XjIPGwafStTRf_8bPPaoi2EFjHVy10_rRJ0uvy6YcU"",""AL:AL""))"),400400.0)</f>
        <v>400400</v>
      </c>
      <c r="D21" s="24">
        <f>IFERROR(__xludf.DUMMYFUNCTION("SUMPRODUCT((IMPORTRANGE(""17XjIPGwafStTRf_8bPPaoi2EFjHVy10_rRJ0uvy6YcU"",""M:M"")=B21)*1, IMPORTRANGE(""17XjIPGwafStTRf_8bPPaoi2EFjHVy10_rRJ0uvy6YcU"",""X:X""), IMPORTRANGE(""17XjIPGwafStTRf_8bPPaoi2EFjHVy10_rRJ0uvy6YcU"",""AA:AA"")) + SUMPRODUCT((IMPORTR"&amp;"ANGE(""17XjIPGwafStTRf_8bPPaoi2EFjHVy10_rRJ0uvy6YcU"",""M:M"")=B21)*1, IMPORTRANGE(""17XjIPGwafStTRf_8bPPaoi2EFjHVy10_rRJ0uvy6YcU"",""X:X""), IMPORTRANGE(""17XjIPGwafStTRf_8bPPaoi2EFjHVy10_rRJ0uvy6YcU"",""AE:AE"")) + SUMPRODUCT((IMPORTRANGE(""17XjIPGwafSt"&amp;"TRf_8bPPaoi2EFjHVy10_rRJ0uvy6YcU"",""M:M"")=B21)*1, IMPORTRANGE(""17XjIPGwafStTRf_8bPPaoi2EFjHVy10_rRJ0uvy6YcU"",""X:X""), IMPORTRANGE(""17XjIPGwafStTRf_8bPPaoi2EFjHVy10_rRJ0uvy6YcU"",""AF:AF""))"),257821.28203113863)</f>
        <v>257821.282</v>
      </c>
      <c r="E21" s="24">
        <f>IFERROR(__xludf.DUMMYFUNCTION("SUMPRODUCT((IMPORTRANGE(""17XjIPGwafStTRf_8bPPaoi2EFjHVy10_rRJ0uvy6YcU"",""M:M"")=B21)*1, IMPORTRANGE(""17XjIPGwafStTRf_8bPPaoi2EFjHVy10_rRJ0uvy6YcU"",""X:X""), IMPORTRANGE(""17XjIPGwafStTRf_8bPPaoi2EFjHVy10_rRJ0uvy6YcU"",""AO:AO""))"),80654.75396886135)</f>
        <v>80654.75397</v>
      </c>
      <c r="F21" s="25">
        <f>IFERROR(__xludf.DUMMYFUNCTION("SUMPRODUCT((IMPORTRANGE(""17XjIPGwafStTRf_8bPPaoi2EFjHVy10_rRJ0uvy6YcU"",""M:M"")=B21)*1, IMPORTRANGE(""17XjIPGwafStTRf_8bPPaoi2EFjHVy10_rRJ0uvy6YcU"",""X:X""))"),61.0)</f>
        <v>61</v>
      </c>
      <c r="G21" s="26">
        <f>IFERROR(__xludf.DUMMYFUNCTION("COUNTIF(IMPORTRANGE(""17XjIPGwafStTRf_8bPPaoi2EFjHVy10_rRJ0uvy6YcU"",""M:M""), B21)"),26.0)</f>
        <v>26</v>
      </c>
      <c r="H21" s="27">
        <f t="shared" si="1"/>
        <v>2.346153846</v>
      </c>
      <c r="I21" s="28">
        <f t="shared" si="2"/>
        <v>0.2014354495</v>
      </c>
      <c r="J21" s="29">
        <f t="shared" si="3"/>
        <v>0.3128320259</v>
      </c>
      <c r="K21" s="32"/>
      <c r="L21" s="31" t="str">
        <f t="shared" si="4"/>
        <v/>
      </c>
      <c r="M21" s="31" t="str">
        <f t="shared" si="5"/>
        <v/>
      </c>
      <c r="N21" s="4"/>
    </row>
    <row r="22">
      <c r="A22" s="1"/>
      <c r="B22" s="23">
        <f t="shared" si="6"/>
        <v>44578</v>
      </c>
      <c r="C22" s="24">
        <f>IFERROR(__xludf.DUMMYFUNCTION("SUMPRODUCT((IMPORTRANGE(""17XjIPGwafStTRf_8bPPaoi2EFjHVy10_rRJ0uvy6YcU"",""M:M"")=B22)*1, IMPORTRANGE(""17XjIPGwafStTRf_8bPPaoi2EFjHVy10_rRJ0uvy6YcU"",""X:X""), IMPORTRANGE(""17XjIPGwafStTRf_8bPPaoi2EFjHVy10_rRJ0uvy6YcU"",""AK:AK"")) - SUMPRODUCT((IMPORTR"&amp;"ANGE(""17XjIPGwafStTRf_8bPPaoi2EFjHVy10_rRJ0uvy6YcU"",""M:M"")=B22)*1, IMPORTRANGE(""17XjIPGwafStTRf_8bPPaoi2EFjHVy10_rRJ0uvy6YcU"",""X:X""), IMPORTRANGE(""17XjIPGwafStTRf_8bPPaoi2EFjHVy10_rRJ0uvy6YcU"",""AL:AL""))"),511001.0)</f>
        <v>511001</v>
      </c>
      <c r="D22" s="24">
        <f>IFERROR(__xludf.DUMMYFUNCTION("SUMPRODUCT((IMPORTRANGE(""17XjIPGwafStTRf_8bPPaoi2EFjHVy10_rRJ0uvy6YcU"",""M:M"")=B22)*1, IMPORTRANGE(""17XjIPGwafStTRf_8bPPaoi2EFjHVy10_rRJ0uvy6YcU"",""X:X""), IMPORTRANGE(""17XjIPGwafStTRf_8bPPaoi2EFjHVy10_rRJ0uvy6YcU"",""AA:AA"")) + SUMPRODUCT((IMPORTR"&amp;"ANGE(""17XjIPGwafStTRf_8bPPaoi2EFjHVy10_rRJ0uvy6YcU"",""M:M"")=B22)*1, IMPORTRANGE(""17XjIPGwafStTRf_8bPPaoi2EFjHVy10_rRJ0uvy6YcU"",""X:X""), IMPORTRANGE(""17XjIPGwafStTRf_8bPPaoi2EFjHVy10_rRJ0uvy6YcU"",""AE:AE"")) + SUMPRODUCT((IMPORTRANGE(""17XjIPGwafSt"&amp;"TRf_8bPPaoi2EFjHVy10_rRJ0uvy6YcU"",""M:M"")=B22)*1, IMPORTRANGE(""17XjIPGwafStTRf_8bPPaoi2EFjHVy10_rRJ0uvy6YcU"",""X:X""), IMPORTRANGE(""17XjIPGwafStTRf_8bPPaoi2EFjHVy10_rRJ0uvy6YcU"",""AF:AF""))"),353589.45285688806)</f>
        <v>353589.4529</v>
      </c>
      <c r="E22" s="24">
        <f>IFERROR(__xludf.DUMMYFUNCTION("SUMPRODUCT((IMPORTRANGE(""17XjIPGwafStTRf_8bPPaoi2EFjHVy10_rRJ0uvy6YcU"",""M:M"")=B22)*1, IMPORTRANGE(""17XjIPGwafStTRf_8bPPaoi2EFjHVy10_rRJ0uvy6YcU"",""X:X""), IMPORTRANGE(""17XjIPGwafStTRf_8bPPaoi2EFjHVy10_rRJ0uvy6YcU"",""AO:AO""))"),86436.4471431119)</f>
        <v>86436.44714</v>
      </c>
      <c r="F22" s="25">
        <f>IFERROR(__xludf.DUMMYFUNCTION("SUMPRODUCT((IMPORTRANGE(""17XjIPGwafStTRf_8bPPaoi2EFjHVy10_rRJ0uvy6YcU"",""M:M"")=B22)*1, IMPORTRANGE(""17XjIPGwafStTRf_8bPPaoi2EFjHVy10_rRJ0uvy6YcU"",""X:X""))"),68.0)</f>
        <v>68</v>
      </c>
      <c r="G22" s="26">
        <f>IFERROR(__xludf.DUMMYFUNCTION("COUNTIF(IMPORTRANGE(""17XjIPGwafStTRf_8bPPaoi2EFjHVy10_rRJ0uvy6YcU"",""M:M""), B22)"),26.0)</f>
        <v>26</v>
      </c>
      <c r="H22" s="27">
        <f t="shared" si="1"/>
        <v>2.615384615</v>
      </c>
      <c r="I22" s="28">
        <f t="shared" si="2"/>
        <v>0.1691512289</v>
      </c>
      <c r="J22" s="29">
        <f t="shared" si="3"/>
        <v>0.2444542575</v>
      </c>
      <c r="K22" s="32"/>
      <c r="L22" s="31" t="str">
        <f t="shared" si="4"/>
        <v/>
      </c>
      <c r="M22" s="31" t="str">
        <f t="shared" si="5"/>
        <v/>
      </c>
      <c r="N22" s="4"/>
    </row>
    <row r="23">
      <c r="A23" s="1"/>
      <c r="B23" s="23">
        <f t="shared" si="6"/>
        <v>44579</v>
      </c>
      <c r="C23" s="24">
        <f>IFERROR(__xludf.DUMMYFUNCTION("SUMPRODUCT((IMPORTRANGE(""17XjIPGwafStTRf_8bPPaoi2EFjHVy10_rRJ0uvy6YcU"",""M:M"")=B23)*1, IMPORTRANGE(""17XjIPGwafStTRf_8bPPaoi2EFjHVy10_rRJ0uvy6YcU"",""X:X""), IMPORTRANGE(""17XjIPGwafStTRf_8bPPaoi2EFjHVy10_rRJ0uvy6YcU"",""AK:AK"")) - SUMPRODUCT((IMPORTR"&amp;"ANGE(""17XjIPGwafStTRf_8bPPaoi2EFjHVy10_rRJ0uvy6YcU"",""M:M"")=B23)*1, IMPORTRANGE(""17XjIPGwafStTRf_8bPPaoi2EFjHVy10_rRJ0uvy6YcU"",""X:X""), IMPORTRANGE(""17XjIPGwafStTRf_8bPPaoi2EFjHVy10_rRJ0uvy6YcU"",""AL:AL""))"),319727.0)</f>
        <v>319727</v>
      </c>
      <c r="D23" s="24">
        <f>IFERROR(__xludf.DUMMYFUNCTION("SUMPRODUCT((IMPORTRANGE(""17XjIPGwafStTRf_8bPPaoi2EFjHVy10_rRJ0uvy6YcU"",""M:M"")=B23)*1, IMPORTRANGE(""17XjIPGwafStTRf_8bPPaoi2EFjHVy10_rRJ0uvy6YcU"",""X:X""), IMPORTRANGE(""17XjIPGwafStTRf_8bPPaoi2EFjHVy10_rRJ0uvy6YcU"",""AA:AA"")) + SUMPRODUCT((IMPORTR"&amp;"ANGE(""17XjIPGwafStTRf_8bPPaoi2EFjHVy10_rRJ0uvy6YcU"",""M:M"")=B23)*1, IMPORTRANGE(""17XjIPGwafStTRf_8bPPaoi2EFjHVy10_rRJ0uvy6YcU"",""X:X""), IMPORTRANGE(""17XjIPGwafStTRf_8bPPaoi2EFjHVy10_rRJ0uvy6YcU"",""AE:AE"")) + SUMPRODUCT((IMPORTRANGE(""17XjIPGwafSt"&amp;"TRf_8bPPaoi2EFjHVy10_rRJ0uvy6YcU"",""M:M"")=B23)*1, IMPORTRANGE(""17XjIPGwafStTRf_8bPPaoi2EFjHVy10_rRJ0uvy6YcU"",""X:X""), IMPORTRANGE(""17XjIPGwafStTRf_8bPPaoi2EFjHVy10_rRJ0uvy6YcU"",""AF:AF""))"),207377.43080032198)</f>
        <v>207377.4308</v>
      </c>
      <c r="E23" s="24">
        <f>IFERROR(__xludf.DUMMYFUNCTION("SUMPRODUCT((IMPORTRANGE(""17XjIPGwafStTRf_8bPPaoi2EFjHVy10_rRJ0uvy6YcU"",""M:M"")=B23)*1, IMPORTRANGE(""17XjIPGwafStTRf_8bPPaoi2EFjHVy10_rRJ0uvy6YcU"",""X:X""), IMPORTRANGE(""17XjIPGwafStTRf_8bPPaoi2EFjHVy10_rRJ0uvy6YcU"",""AO:AO""))"),47521.97448059886)</f>
        <v>47521.97448</v>
      </c>
      <c r="F23" s="25">
        <f>IFERROR(__xludf.DUMMYFUNCTION("SUMPRODUCT((IMPORTRANGE(""17XjIPGwafStTRf_8bPPaoi2EFjHVy10_rRJ0uvy6YcU"",""M:M"")=B23)*1, IMPORTRANGE(""17XjIPGwafStTRf_8bPPaoi2EFjHVy10_rRJ0uvy6YcU"",""X:X""))"),63.0)</f>
        <v>63</v>
      </c>
      <c r="G23" s="26">
        <f>IFERROR(__xludf.DUMMYFUNCTION("COUNTIF(IMPORTRANGE(""17XjIPGwafStTRf_8bPPaoi2EFjHVy10_rRJ0uvy6YcU"",""M:M""), B23)"),24.0)</f>
        <v>24</v>
      </c>
      <c r="H23" s="27">
        <f t="shared" si="1"/>
        <v>2.625</v>
      </c>
      <c r="I23" s="28">
        <f t="shared" si="2"/>
        <v>0.1486329728</v>
      </c>
      <c r="J23" s="29">
        <f t="shared" si="3"/>
        <v>0.2291569256</v>
      </c>
      <c r="K23" s="32"/>
      <c r="L23" s="31" t="str">
        <f t="shared" si="4"/>
        <v/>
      </c>
      <c r="M23" s="31" t="str">
        <f t="shared" si="5"/>
        <v/>
      </c>
      <c r="N23" s="4"/>
    </row>
    <row r="24">
      <c r="A24" s="1"/>
      <c r="B24" s="23">
        <f t="shared" si="6"/>
        <v>44580</v>
      </c>
      <c r="C24" s="24">
        <f>IFERROR(__xludf.DUMMYFUNCTION("SUMPRODUCT((IMPORTRANGE(""17XjIPGwafStTRf_8bPPaoi2EFjHVy10_rRJ0uvy6YcU"",""M:M"")=B24)*1, IMPORTRANGE(""17XjIPGwafStTRf_8bPPaoi2EFjHVy10_rRJ0uvy6YcU"",""X:X""), IMPORTRANGE(""17XjIPGwafStTRf_8bPPaoi2EFjHVy10_rRJ0uvy6YcU"",""AK:AK"")) - SUMPRODUCT((IMPORTR"&amp;"ANGE(""17XjIPGwafStTRf_8bPPaoi2EFjHVy10_rRJ0uvy6YcU"",""M:M"")=B24)*1, IMPORTRANGE(""17XjIPGwafStTRf_8bPPaoi2EFjHVy10_rRJ0uvy6YcU"",""X:X""), IMPORTRANGE(""17XjIPGwafStTRf_8bPPaoi2EFjHVy10_rRJ0uvy6YcU"",""AL:AL""))"),353221.76)</f>
        <v>353221.76</v>
      </c>
      <c r="D24" s="24">
        <f>IFERROR(__xludf.DUMMYFUNCTION("SUMPRODUCT((IMPORTRANGE(""17XjIPGwafStTRf_8bPPaoi2EFjHVy10_rRJ0uvy6YcU"",""M:M"")=B24)*1, IMPORTRANGE(""17XjIPGwafStTRf_8bPPaoi2EFjHVy10_rRJ0uvy6YcU"",""X:X""), IMPORTRANGE(""17XjIPGwafStTRf_8bPPaoi2EFjHVy10_rRJ0uvy6YcU"",""AA:AA"")) + SUMPRODUCT((IMPORTR"&amp;"ANGE(""17XjIPGwafStTRf_8bPPaoi2EFjHVy10_rRJ0uvy6YcU"",""M:M"")=B24)*1, IMPORTRANGE(""17XjIPGwafStTRf_8bPPaoi2EFjHVy10_rRJ0uvy6YcU"",""X:X""), IMPORTRANGE(""17XjIPGwafStTRf_8bPPaoi2EFjHVy10_rRJ0uvy6YcU"",""AE:AE"")) + SUMPRODUCT((IMPORTRANGE(""17XjIPGwafSt"&amp;"TRf_8bPPaoi2EFjHVy10_rRJ0uvy6YcU"",""M:M"")=B24)*1, IMPORTRANGE(""17XjIPGwafStTRf_8bPPaoi2EFjHVy10_rRJ0uvy6YcU"",""X:X""), IMPORTRANGE(""17XjIPGwafStTRf_8bPPaoi2EFjHVy10_rRJ0uvy6YcU"",""AF:AF""))"),227281.99397058616)</f>
        <v>227281.994</v>
      </c>
      <c r="E24" s="24">
        <f>IFERROR(__xludf.DUMMYFUNCTION("SUMPRODUCT((IMPORTRANGE(""17XjIPGwafStTRf_8bPPaoi2EFjHVy10_rRJ0uvy6YcU"",""M:M"")=B24)*1, IMPORTRANGE(""17XjIPGwafStTRf_8bPPaoi2EFjHVy10_rRJ0uvy6YcU"",""X:X""), IMPORTRANGE(""17XjIPGwafStTRf_8bPPaoi2EFjHVy10_rRJ0uvy6YcU"",""AO:AO""))"),68146.23255149322)</f>
        <v>68146.23255</v>
      </c>
      <c r="F24" s="25">
        <f>IFERROR(__xludf.DUMMYFUNCTION("SUMPRODUCT((IMPORTRANGE(""17XjIPGwafStTRf_8bPPaoi2EFjHVy10_rRJ0uvy6YcU"",""M:M"")=B24)*1, IMPORTRANGE(""17XjIPGwafStTRf_8bPPaoi2EFjHVy10_rRJ0uvy6YcU"",""X:X""))"),69.0)</f>
        <v>69</v>
      </c>
      <c r="G24" s="26">
        <f>IFERROR(__xludf.DUMMYFUNCTION("COUNTIF(IMPORTRANGE(""17XjIPGwafStTRf_8bPPaoi2EFjHVy10_rRJ0uvy6YcU"",""M:M""), B24)"),26.0)</f>
        <v>26</v>
      </c>
      <c r="H24" s="27">
        <f t="shared" si="1"/>
        <v>2.653846154</v>
      </c>
      <c r="I24" s="28">
        <f t="shared" si="2"/>
        <v>0.1929276173</v>
      </c>
      <c r="J24" s="29">
        <f t="shared" si="3"/>
        <v>0.2998311981</v>
      </c>
      <c r="K24" s="30"/>
      <c r="L24" s="31" t="str">
        <f t="shared" si="4"/>
        <v/>
      </c>
      <c r="M24" s="31" t="str">
        <f t="shared" si="5"/>
        <v/>
      </c>
      <c r="N24" s="4"/>
    </row>
    <row r="25">
      <c r="A25" s="1"/>
      <c r="B25" s="23">
        <f t="shared" si="6"/>
        <v>44581</v>
      </c>
      <c r="C25" s="24">
        <f>IFERROR(__xludf.DUMMYFUNCTION("SUMPRODUCT((IMPORTRANGE(""17XjIPGwafStTRf_8bPPaoi2EFjHVy10_rRJ0uvy6YcU"",""M:M"")=B25)*1, IMPORTRANGE(""17XjIPGwafStTRf_8bPPaoi2EFjHVy10_rRJ0uvy6YcU"",""X:X""), IMPORTRANGE(""17XjIPGwafStTRf_8bPPaoi2EFjHVy10_rRJ0uvy6YcU"",""AK:AK"")) - SUMPRODUCT((IMPORTR"&amp;"ANGE(""17XjIPGwafStTRf_8bPPaoi2EFjHVy10_rRJ0uvy6YcU"",""M:M"")=B25)*1, IMPORTRANGE(""17XjIPGwafStTRf_8bPPaoi2EFjHVy10_rRJ0uvy6YcU"",""X:X""), IMPORTRANGE(""17XjIPGwafStTRf_8bPPaoi2EFjHVy10_rRJ0uvy6YcU"",""AL:AL""))"),315100.0)</f>
        <v>315100</v>
      </c>
      <c r="D25" s="24">
        <f>IFERROR(__xludf.DUMMYFUNCTION("SUMPRODUCT((IMPORTRANGE(""17XjIPGwafStTRf_8bPPaoi2EFjHVy10_rRJ0uvy6YcU"",""M:M"")=B25)*1, IMPORTRANGE(""17XjIPGwafStTRf_8bPPaoi2EFjHVy10_rRJ0uvy6YcU"",""X:X""), IMPORTRANGE(""17XjIPGwafStTRf_8bPPaoi2EFjHVy10_rRJ0uvy6YcU"",""AA:AA"")) + SUMPRODUCT((IMPORTR"&amp;"ANGE(""17XjIPGwafStTRf_8bPPaoi2EFjHVy10_rRJ0uvy6YcU"",""M:M"")=B25)*1, IMPORTRANGE(""17XjIPGwafStTRf_8bPPaoi2EFjHVy10_rRJ0uvy6YcU"",""X:X""), IMPORTRANGE(""17XjIPGwafStTRf_8bPPaoi2EFjHVy10_rRJ0uvy6YcU"",""AE:AE"")) + SUMPRODUCT((IMPORTRANGE(""17XjIPGwafSt"&amp;"TRf_8bPPaoi2EFjHVy10_rRJ0uvy6YcU"",""M:M"")=B25)*1, IMPORTRANGE(""17XjIPGwafStTRf_8bPPaoi2EFjHVy10_rRJ0uvy6YcU"",""X:X""), IMPORTRANGE(""17XjIPGwafStTRf_8bPPaoi2EFjHVy10_rRJ0uvy6YcU"",""AF:AF""))"),191713.44487475255)</f>
        <v>191713.4449</v>
      </c>
      <c r="E25" s="24">
        <f>IFERROR(__xludf.DUMMYFUNCTION("SUMPRODUCT((IMPORTRANGE(""17XjIPGwafStTRf_8bPPaoi2EFjHVy10_rRJ0uvy6YcU"",""M:M"")=B25)*1, IMPORTRANGE(""17XjIPGwafStTRf_8bPPaoi2EFjHVy10_rRJ0uvy6YcU"",""X:X""), IMPORTRANGE(""17XjIPGwafStTRf_8bPPaoi2EFjHVy10_rRJ0uvy6YcU"",""AO:AO""))"),64374.25512524745)</f>
        <v>64374.25513</v>
      </c>
      <c r="F25" s="25">
        <f>IFERROR(__xludf.DUMMYFUNCTION("SUMPRODUCT((IMPORTRANGE(""17XjIPGwafStTRf_8bPPaoi2EFjHVy10_rRJ0uvy6YcU"",""M:M"")=B25)*1, IMPORTRANGE(""17XjIPGwafStTRf_8bPPaoi2EFjHVy10_rRJ0uvy6YcU"",""X:X""))"),98.0)</f>
        <v>98</v>
      </c>
      <c r="G25" s="26">
        <f>IFERROR(__xludf.DUMMYFUNCTION("COUNTIF(IMPORTRANGE(""17XjIPGwafStTRf_8bPPaoi2EFjHVy10_rRJ0uvy6YcU"",""M:M""), B25)"),24.0)</f>
        <v>24</v>
      </c>
      <c r="H25" s="27">
        <f t="shared" si="1"/>
        <v>4.083333333</v>
      </c>
      <c r="I25" s="28">
        <f t="shared" si="2"/>
        <v>0.2042978582</v>
      </c>
      <c r="J25" s="29">
        <f t="shared" si="3"/>
        <v>0.3357837275</v>
      </c>
      <c r="K25" s="32"/>
      <c r="L25" s="31" t="str">
        <f t="shared" si="4"/>
        <v/>
      </c>
      <c r="M25" s="31" t="str">
        <f t="shared" si="5"/>
        <v/>
      </c>
      <c r="N25" s="4"/>
    </row>
    <row r="26">
      <c r="A26" s="1"/>
      <c r="B26" s="23">
        <f t="shared" si="6"/>
        <v>44582</v>
      </c>
      <c r="C26" s="24">
        <f>IFERROR(__xludf.DUMMYFUNCTION("SUMPRODUCT((IMPORTRANGE(""17XjIPGwafStTRf_8bPPaoi2EFjHVy10_rRJ0uvy6YcU"",""M:M"")=B26)*1, IMPORTRANGE(""17XjIPGwafStTRf_8bPPaoi2EFjHVy10_rRJ0uvy6YcU"",""X:X""), IMPORTRANGE(""17XjIPGwafStTRf_8bPPaoi2EFjHVy10_rRJ0uvy6YcU"",""AK:AK"")) - SUMPRODUCT((IMPORTR"&amp;"ANGE(""17XjIPGwafStTRf_8bPPaoi2EFjHVy10_rRJ0uvy6YcU"",""M:M"")=B26)*1, IMPORTRANGE(""17XjIPGwafStTRf_8bPPaoi2EFjHVy10_rRJ0uvy6YcU"",""X:X""), IMPORTRANGE(""17XjIPGwafStTRf_8bPPaoi2EFjHVy10_rRJ0uvy6YcU"",""AL:AL""))"),364917.0)</f>
        <v>364917</v>
      </c>
      <c r="D26" s="24">
        <f>IFERROR(__xludf.DUMMYFUNCTION("SUMPRODUCT((IMPORTRANGE(""17XjIPGwafStTRf_8bPPaoi2EFjHVy10_rRJ0uvy6YcU"",""M:M"")=B26)*1, IMPORTRANGE(""17XjIPGwafStTRf_8bPPaoi2EFjHVy10_rRJ0uvy6YcU"",""X:X""), IMPORTRANGE(""17XjIPGwafStTRf_8bPPaoi2EFjHVy10_rRJ0uvy6YcU"",""AA:AA"")) + SUMPRODUCT((IMPORTR"&amp;"ANGE(""17XjIPGwafStTRf_8bPPaoi2EFjHVy10_rRJ0uvy6YcU"",""M:M"")=B26)*1, IMPORTRANGE(""17XjIPGwafStTRf_8bPPaoi2EFjHVy10_rRJ0uvy6YcU"",""X:X""), IMPORTRANGE(""17XjIPGwafStTRf_8bPPaoi2EFjHVy10_rRJ0uvy6YcU"",""AE:AE"")) + SUMPRODUCT((IMPORTRANGE(""17XjIPGwafSt"&amp;"TRf_8bPPaoi2EFjHVy10_rRJ0uvy6YcU"",""M:M"")=B26)*1, IMPORTRANGE(""17XjIPGwafStTRf_8bPPaoi2EFjHVy10_rRJ0uvy6YcU"",""X:X""), IMPORTRANGE(""17XjIPGwafStTRf_8bPPaoi2EFjHVy10_rRJ0uvy6YcU"",""AF:AF""))"),305515.04164150864)</f>
        <v>305515.0416</v>
      </c>
      <c r="E26" s="24">
        <f>IFERROR(__xludf.DUMMYFUNCTION("SUMPRODUCT((IMPORTRANGE(""17XjIPGwafStTRf_8bPPaoi2EFjHVy10_rRJ0uvy6YcU"",""M:M"")=B26)*1, IMPORTRANGE(""17XjIPGwafStTRf_8bPPaoi2EFjHVy10_rRJ0uvy6YcU"",""X:X""), IMPORTRANGE(""17XjIPGwafStTRf_8bPPaoi2EFjHVy10_rRJ0uvy6YcU"",""AO:AO""))"),87701.85835849139)</f>
        <v>87701.85836</v>
      </c>
      <c r="F26" s="25">
        <f>IFERROR(__xludf.DUMMYFUNCTION("SUMPRODUCT((IMPORTRANGE(""17XjIPGwafStTRf_8bPPaoi2EFjHVy10_rRJ0uvy6YcU"",""M:M"")=B26)*1, IMPORTRANGE(""17XjIPGwafStTRf_8bPPaoi2EFjHVy10_rRJ0uvy6YcU"",""X:X""))"),82.0)</f>
        <v>82</v>
      </c>
      <c r="G26" s="26">
        <f>IFERROR(__xludf.DUMMYFUNCTION("COUNTIF(IMPORTRANGE(""17XjIPGwafStTRf_8bPPaoi2EFjHVy10_rRJ0uvy6YcU"",""M:M""), B26)"),23.0)</f>
        <v>23</v>
      </c>
      <c r="H26" s="27">
        <f t="shared" si="1"/>
        <v>3.565217391</v>
      </c>
      <c r="I26" s="28">
        <f t="shared" si="2"/>
        <v>0.2403337152</v>
      </c>
      <c r="J26" s="29">
        <f t="shared" si="3"/>
        <v>0.2870623256</v>
      </c>
      <c r="K26" s="30"/>
      <c r="L26" s="31" t="str">
        <f t="shared" si="4"/>
        <v/>
      </c>
      <c r="M26" s="31" t="str">
        <f t="shared" si="5"/>
        <v/>
      </c>
      <c r="N26" s="4"/>
    </row>
    <row r="27">
      <c r="A27" s="1"/>
      <c r="B27" s="23">
        <f t="shared" si="6"/>
        <v>44583</v>
      </c>
      <c r="C27" s="24">
        <f>IFERROR(__xludf.DUMMYFUNCTION("SUMPRODUCT((IMPORTRANGE(""17XjIPGwafStTRf_8bPPaoi2EFjHVy10_rRJ0uvy6YcU"",""M:M"")=B27)*1, IMPORTRANGE(""17XjIPGwafStTRf_8bPPaoi2EFjHVy10_rRJ0uvy6YcU"",""X:X""), IMPORTRANGE(""17XjIPGwafStTRf_8bPPaoi2EFjHVy10_rRJ0uvy6YcU"",""AK:AK"")) - SUMPRODUCT((IMPORTR"&amp;"ANGE(""17XjIPGwafStTRf_8bPPaoi2EFjHVy10_rRJ0uvy6YcU"",""M:M"")=B27)*1, IMPORTRANGE(""17XjIPGwafStTRf_8bPPaoi2EFjHVy10_rRJ0uvy6YcU"",""X:X""), IMPORTRANGE(""17XjIPGwafStTRf_8bPPaoi2EFjHVy10_rRJ0uvy6YcU"",""AL:AL""))"),225393.0)</f>
        <v>225393</v>
      </c>
      <c r="D27" s="24">
        <f>IFERROR(__xludf.DUMMYFUNCTION("SUMPRODUCT((IMPORTRANGE(""17XjIPGwafStTRf_8bPPaoi2EFjHVy10_rRJ0uvy6YcU"",""M:M"")=B27)*1, IMPORTRANGE(""17XjIPGwafStTRf_8bPPaoi2EFjHVy10_rRJ0uvy6YcU"",""X:X""), IMPORTRANGE(""17XjIPGwafStTRf_8bPPaoi2EFjHVy10_rRJ0uvy6YcU"",""AA:AA"")) + SUMPRODUCT((IMPORTR"&amp;"ANGE(""17XjIPGwafStTRf_8bPPaoi2EFjHVy10_rRJ0uvy6YcU"",""M:M"")=B27)*1, IMPORTRANGE(""17XjIPGwafStTRf_8bPPaoi2EFjHVy10_rRJ0uvy6YcU"",""X:X""), IMPORTRANGE(""17XjIPGwafStTRf_8bPPaoi2EFjHVy10_rRJ0uvy6YcU"",""AE:AE"")) + SUMPRODUCT((IMPORTRANGE(""17XjIPGwafSt"&amp;"TRf_8bPPaoi2EFjHVy10_rRJ0uvy6YcU"",""M:M"")=B27)*1, IMPORTRANGE(""17XjIPGwafStTRf_8bPPaoi2EFjHVy10_rRJ0uvy6YcU"",""X:X""), IMPORTRANGE(""17XjIPGwafStTRf_8bPPaoi2EFjHVy10_rRJ0uvy6YcU"",""AF:AF""))"),182771.1816495505)</f>
        <v>182771.1816</v>
      </c>
      <c r="E27" s="24">
        <f>IFERROR(__xludf.DUMMYFUNCTION("SUMPRODUCT((IMPORTRANGE(""17XjIPGwafStTRf_8bPPaoi2EFjHVy10_rRJ0uvy6YcU"",""M:M"")=B27)*1, IMPORTRANGE(""17XjIPGwafStTRf_8bPPaoi2EFjHVy10_rRJ0uvy6YcU"",""X:X""), IMPORTRANGE(""17XjIPGwafStTRf_8bPPaoi2EFjHVy10_rRJ0uvy6YcU"",""AO:AO""))"),40505.44860393271)</f>
        <v>40505.4486</v>
      </c>
      <c r="F27" s="25">
        <f>IFERROR(__xludf.DUMMYFUNCTION("SUMPRODUCT((IMPORTRANGE(""17XjIPGwafStTRf_8bPPaoi2EFjHVy10_rRJ0uvy6YcU"",""M:M"")=B27)*1, IMPORTRANGE(""17XjIPGwafStTRf_8bPPaoi2EFjHVy10_rRJ0uvy6YcU"",""X:X""))"),37.0)</f>
        <v>37</v>
      </c>
      <c r="G27" s="26">
        <f>IFERROR(__xludf.DUMMYFUNCTION("COUNTIF(IMPORTRANGE(""17XjIPGwafStTRf_8bPPaoi2EFjHVy10_rRJ0uvy6YcU"",""M:M""), B27)"),23.0)</f>
        <v>23</v>
      </c>
      <c r="H27" s="27">
        <f t="shared" si="1"/>
        <v>1.608695652</v>
      </c>
      <c r="I27" s="28">
        <f t="shared" si="2"/>
        <v>0.179710322</v>
      </c>
      <c r="J27" s="29">
        <f t="shared" si="3"/>
        <v>0.2216183549</v>
      </c>
      <c r="K27" s="32"/>
      <c r="L27" s="31" t="str">
        <f t="shared" si="4"/>
        <v/>
      </c>
      <c r="M27" s="31" t="str">
        <f t="shared" si="5"/>
        <v/>
      </c>
      <c r="N27" s="4"/>
    </row>
    <row r="28">
      <c r="A28" s="1"/>
      <c r="B28" s="23">
        <f t="shared" si="6"/>
        <v>44584</v>
      </c>
      <c r="C28" s="24">
        <f>IFERROR(__xludf.DUMMYFUNCTION("SUMPRODUCT((IMPORTRANGE(""17XjIPGwafStTRf_8bPPaoi2EFjHVy10_rRJ0uvy6YcU"",""M:M"")=B28)*1, IMPORTRANGE(""17XjIPGwafStTRf_8bPPaoi2EFjHVy10_rRJ0uvy6YcU"",""X:X""), IMPORTRANGE(""17XjIPGwafStTRf_8bPPaoi2EFjHVy10_rRJ0uvy6YcU"",""AK:AK"")) - SUMPRODUCT((IMPORTR"&amp;"ANGE(""17XjIPGwafStTRf_8bPPaoi2EFjHVy10_rRJ0uvy6YcU"",""M:M"")=B28)*1, IMPORTRANGE(""17XjIPGwafStTRf_8bPPaoi2EFjHVy10_rRJ0uvy6YcU"",""X:X""), IMPORTRANGE(""17XjIPGwafStTRf_8bPPaoi2EFjHVy10_rRJ0uvy6YcU"",""AL:AL""))"),833432.0)</f>
        <v>833432</v>
      </c>
      <c r="D28" s="24">
        <f>IFERROR(__xludf.DUMMYFUNCTION("SUMPRODUCT((IMPORTRANGE(""17XjIPGwafStTRf_8bPPaoi2EFjHVy10_rRJ0uvy6YcU"",""M:M"")=B28)*1, IMPORTRANGE(""17XjIPGwafStTRf_8bPPaoi2EFjHVy10_rRJ0uvy6YcU"",""X:X""), IMPORTRANGE(""17XjIPGwafStTRf_8bPPaoi2EFjHVy10_rRJ0uvy6YcU"",""AA:AA"")) + SUMPRODUCT((IMPORTR"&amp;"ANGE(""17XjIPGwafStTRf_8bPPaoi2EFjHVy10_rRJ0uvy6YcU"",""M:M"")=B28)*1, IMPORTRANGE(""17XjIPGwafStTRf_8bPPaoi2EFjHVy10_rRJ0uvy6YcU"",""X:X""), IMPORTRANGE(""17XjIPGwafStTRf_8bPPaoi2EFjHVy10_rRJ0uvy6YcU"",""AE:AE"")) + SUMPRODUCT((IMPORTRANGE(""17XjIPGwafSt"&amp;"TRf_8bPPaoi2EFjHVy10_rRJ0uvy6YcU"",""M:M"")=B28)*1, IMPORTRANGE(""17XjIPGwafStTRf_8bPPaoi2EFjHVy10_rRJ0uvy6YcU"",""X:X""), IMPORTRANGE(""17XjIPGwafStTRf_8bPPaoi2EFjHVy10_rRJ0uvy6YcU"",""AF:AF""))"),549323.0278402312)</f>
        <v>549323.0278</v>
      </c>
      <c r="E28" s="24">
        <f>IFERROR(__xludf.DUMMYFUNCTION("SUMPRODUCT((IMPORTRANGE(""17XjIPGwafStTRf_8bPPaoi2EFjHVy10_rRJ0uvy6YcU"",""M:M"")=B28)*1, IMPORTRANGE(""17XjIPGwafStTRf_8bPPaoi2EFjHVy10_rRJ0uvy6YcU"",""X:X""), IMPORTRANGE(""17XjIPGwafStTRf_8bPPaoi2EFjHVy10_rRJ0uvy6YcU"",""AO:AO""))"),155005.3293941521)</f>
        <v>155005.3294</v>
      </c>
      <c r="F28" s="25">
        <f>IFERROR(__xludf.DUMMYFUNCTION("SUMPRODUCT((IMPORTRANGE(""17XjIPGwafStTRf_8bPPaoi2EFjHVy10_rRJ0uvy6YcU"",""M:M"")=B28)*1, IMPORTRANGE(""17XjIPGwafStTRf_8bPPaoi2EFjHVy10_rRJ0uvy6YcU"",""X:X""))"),122.0)</f>
        <v>122</v>
      </c>
      <c r="G28" s="26">
        <f>IFERROR(__xludf.DUMMYFUNCTION("COUNTIF(IMPORTRANGE(""17XjIPGwafStTRf_8bPPaoi2EFjHVy10_rRJ0uvy6YcU"",""M:M""), B28)"),50.0)</f>
        <v>50</v>
      </c>
      <c r="H28" s="27">
        <f t="shared" si="1"/>
        <v>2.44</v>
      </c>
      <c r="I28" s="28">
        <f t="shared" si="2"/>
        <v>0.1859843747</v>
      </c>
      <c r="J28" s="29">
        <f t="shared" si="3"/>
        <v>0.2821751893</v>
      </c>
      <c r="K28" s="32"/>
      <c r="L28" s="31" t="str">
        <f t="shared" si="4"/>
        <v/>
      </c>
      <c r="M28" s="31" t="str">
        <f t="shared" si="5"/>
        <v/>
      </c>
      <c r="N28" s="4"/>
    </row>
    <row r="29">
      <c r="A29" s="1"/>
      <c r="B29" s="23">
        <f t="shared" si="6"/>
        <v>44585</v>
      </c>
      <c r="C29" s="24">
        <f>IFERROR(__xludf.DUMMYFUNCTION("SUMPRODUCT((IMPORTRANGE(""17XjIPGwafStTRf_8bPPaoi2EFjHVy10_rRJ0uvy6YcU"",""M:M"")=B29)*1, IMPORTRANGE(""17XjIPGwafStTRf_8bPPaoi2EFjHVy10_rRJ0uvy6YcU"",""X:X""), IMPORTRANGE(""17XjIPGwafStTRf_8bPPaoi2EFjHVy10_rRJ0uvy6YcU"",""AK:AK"")) - SUMPRODUCT((IMPORTR"&amp;"ANGE(""17XjIPGwafStTRf_8bPPaoi2EFjHVy10_rRJ0uvy6YcU"",""M:M"")=B29)*1, IMPORTRANGE(""17XjIPGwafStTRf_8bPPaoi2EFjHVy10_rRJ0uvy6YcU"",""X:X""), IMPORTRANGE(""17XjIPGwafStTRf_8bPPaoi2EFjHVy10_rRJ0uvy6YcU"",""AL:AL""))"),23400.0)</f>
        <v>23400</v>
      </c>
      <c r="D29" s="24">
        <f>IFERROR(__xludf.DUMMYFUNCTION("SUMPRODUCT((IMPORTRANGE(""17XjIPGwafStTRf_8bPPaoi2EFjHVy10_rRJ0uvy6YcU"",""M:M"")=B29)*1, IMPORTRANGE(""17XjIPGwafStTRf_8bPPaoi2EFjHVy10_rRJ0uvy6YcU"",""X:X""), IMPORTRANGE(""17XjIPGwafStTRf_8bPPaoi2EFjHVy10_rRJ0uvy6YcU"",""AA:AA"")) + SUMPRODUCT((IMPORTR"&amp;"ANGE(""17XjIPGwafStTRf_8bPPaoi2EFjHVy10_rRJ0uvy6YcU"",""M:M"")=B29)*1, IMPORTRANGE(""17XjIPGwafStTRf_8bPPaoi2EFjHVy10_rRJ0uvy6YcU"",""X:X""), IMPORTRANGE(""17XjIPGwafStTRf_8bPPaoi2EFjHVy10_rRJ0uvy6YcU"",""AE:AE"")) + SUMPRODUCT((IMPORTRANGE(""17XjIPGwafSt"&amp;"TRf_8bPPaoi2EFjHVy10_rRJ0uvy6YcU"",""M:M"")=B29)*1, IMPORTRANGE(""17XjIPGwafStTRf_8bPPaoi2EFjHVy10_rRJ0uvy6YcU"",""X:X""), IMPORTRANGE(""17XjIPGwafStTRf_8bPPaoi2EFjHVy10_rRJ0uvy6YcU"",""AF:AF""))"),12888.516958700608)</f>
        <v>12888.51696</v>
      </c>
      <c r="E29" s="24">
        <f>IFERROR(__xludf.DUMMYFUNCTION("SUMPRODUCT((IMPORTRANGE(""17XjIPGwafStTRf_8bPPaoi2EFjHVy10_rRJ0uvy6YcU"",""M:M"")=B29)*1, IMPORTRANGE(""17XjIPGwafStTRf_8bPPaoi2EFjHVy10_rRJ0uvy6YcU"",""X:X""), IMPORTRANGE(""17XjIPGwafStTRf_8bPPaoi2EFjHVy10_rRJ0uvy6YcU"",""AO:AO""))"),8228.875360181664)</f>
        <v>8228.87536</v>
      </c>
      <c r="F29" s="25">
        <f>IFERROR(__xludf.DUMMYFUNCTION("SUMPRODUCT((IMPORTRANGE(""17XjIPGwafStTRf_8bPPaoi2EFjHVy10_rRJ0uvy6YcU"",""M:M"")=B29)*1, IMPORTRANGE(""17XjIPGwafStTRf_8bPPaoi2EFjHVy10_rRJ0uvy6YcU"",""X:X""))"),7.0)</f>
        <v>7</v>
      </c>
      <c r="G29" s="26">
        <f>IFERROR(__xludf.DUMMYFUNCTION("COUNTIF(IMPORTRANGE(""17XjIPGwafStTRf_8bPPaoi2EFjHVy10_rRJ0uvy6YcU"",""M:M""), B29)"),6.0)</f>
        <v>6</v>
      </c>
      <c r="H29" s="27">
        <f t="shared" si="1"/>
        <v>1.166666667</v>
      </c>
      <c r="I29" s="28">
        <f t="shared" si="2"/>
        <v>0.3516613402</v>
      </c>
      <c r="J29" s="29">
        <f t="shared" si="3"/>
        <v>0.6384656502</v>
      </c>
      <c r="K29" s="32"/>
      <c r="L29" s="31" t="str">
        <f t="shared" si="4"/>
        <v/>
      </c>
      <c r="M29" s="31" t="str">
        <f t="shared" si="5"/>
        <v/>
      </c>
      <c r="N29" s="4"/>
    </row>
    <row r="30">
      <c r="A30" s="1"/>
      <c r="B30" s="23">
        <f t="shared" si="6"/>
        <v>44586</v>
      </c>
      <c r="C30" s="24">
        <f>IFERROR(__xludf.DUMMYFUNCTION("SUMPRODUCT((IMPORTRANGE(""17XjIPGwafStTRf_8bPPaoi2EFjHVy10_rRJ0uvy6YcU"",""M:M"")=B30)*1, IMPORTRANGE(""17XjIPGwafStTRf_8bPPaoi2EFjHVy10_rRJ0uvy6YcU"",""X:X""), IMPORTRANGE(""17XjIPGwafStTRf_8bPPaoi2EFjHVy10_rRJ0uvy6YcU"",""AK:AK"")) - SUMPRODUCT((IMPORTR"&amp;"ANGE(""17XjIPGwafStTRf_8bPPaoi2EFjHVy10_rRJ0uvy6YcU"",""M:M"")=B30)*1, IMPORTRANGE(""17XjIPGwafStTRf_8bPPaoi2EFjHVy10_rRJ0uvy6YcU"",""X:X""), IMPORTRANGE(""17XjIPGwafStTRf_8bPPaoi2EFjHVy10_rRJ0uvy6YcU"",""AL:AL""))"),920014.0)</f>
        <v>920014</v>
      </c>
      <c r="D30" s="24">
        <f>IFERROR(__xludf.DUMMYFUNCTION("SUMPRODUCT((IMPORTRANGE(""17XjIPGwafStTRf_8bPPaoi2EFjHVy10_rRJ0uvy6YcU"",""M:M"")=B30)*1, IMPORTRANGE(""17XjIPGwafStTRf_8bPPaoi2EFjHVy10_rRJ0uvy6YcU"",""X:X""), IMPORTRANGE(""17XjIPGwafStTRf_8bPPaoi2EFjHVy10_rRJ0uvy6YcU"",""AA:AA"")) + SUMPRODUCT((IMPORTR"&amp;"ANGE(""17XjIPGwafStTRf_8bPPaoi2EFjHVy10_rRJ0uvy6YcU"",""M:M"")=B30)*1, IMPORTRANGE(""17XjIPGwafStTRf_8bPPaoi2EFjHVy10_rRJ0uvy6YcU"",""X:X""), IMPORTRANGE(""17XjIPGwafStTRf_8bPPaoi2EFjHVy10_rRJ0uvy6YcU"",""AE:AE"")) + SUMPRODUCT((IMPORTRANGE(""17XjIPGwafSt"&amp;"TRf_8bPPaoi2EFjHVy10_rRJ0uvy6YcU"",""M:M"")=B30)*1, IMPORTRANGE(""17XjIPGwafStTRf_8bPPaoi2EFjHVy10_rRJ0uvy6YcU"",""X:X""), IMPORTRANGE(""17XjIPGwafStTRf_8bPPaoi2EFjHVy10_rRJ0uvy6YcU"",""AF:AF""))"),575275.5642026106)</f>
        <v>575275.5642</v>
      </c>
      <c r="E30" s="24">
        <f>IFERROR(__xludf.DUMMYFUNCTION("SUMPRODUCT((IMPORTRANGE(""17XjIPGwafStTRf_8bPPaoi2EFjHVy10_rRJ0uvy6YcU"",""M:M"")=B30)*1, IMPORTRANGE(""17XjIPGwafStTRf_8bPPaoi2EFjHVy10_rRJ0uvy6YcU"",""X:X""), IMPORTRANGE(""17XjIPGwafStTRf_8bPPaoi2EFjHVy10_rRJ0uvy6YcU"",""AO:AO""))"),191586.86568643013)</f>
        <v>191586.8657</v>
      </c>
      <c r="F30" s="25">
        <f>IFERROR(__xludf.DUMMYFUNCTION("SUMPRODUCT((IMPORTRANGE(""17XjIPGwafStTRf_8bPPaoi2EFjHVy10_rRJ0uvy6YcU"",""M:M"")=B30)*1, IMPORTRANGE(""17XjIPGwafStTRf_8bPPaoi2EFjHVy10_rRJ0uvy6YcU"",""X:X""))"),155.0)</f>
        <v>155</v>
      </c>
      <c r="G30" s="26">
        <f>IFERROR(__xludf.DUMMYFUNCTION("COUNTIF(IMPORTRANGE(""17XjIPGwafStTRf_8bPPaoi2EFjHVy10_rRJ0uvy6YcU"",""M:M""), B30)"),56.0)</f>
        <v>56</v>
      </c>
      <c r="H30" s="27">
        <f t="shared" si="1"/>
        <v>2.767857143</v>
      </c>
      <c r="I30" s="28">
        <f t="shared" si="2"/>
        <v>0.2082434242</v>
      </c>
      <c r="J30" s="29">
        <f t="shared" si="3"/>
        <v>0.3330349447</v>
      </c>
      <c r="K30" s="30"/>
      <c r="L30" s="31" t="str">
        <f t="shared" si="4"/>
        <v/>
      </c>
      <c r="M30" s="31" t="str">
        <f t="shared" si="5"/>
        <v/>
      </c>
      <c r="N30" s="4"/>
    </row>
    <row r="31">
      <c r="A31" s="1"/>
      <c r="B31" s="23">
        <f t="shared" si="6"/>
        <v>44587</v>
      </c>
      <c r="C31" s="24">
        <f>IFERROR(__xludf.DUMMYFUNCTION("SUMPRODUCT((IMPORTRANGE(""17XjIPGwafStTRf_8bPPaoi2EFjHVy10_rRJ0uvy6YcU"",""M:M"")=B31)*1, IMPORTRANGE(""17XjIPGwafStTRf_8bPPaoi2EFjHVy10_rRJ0uvy6YcU"",""X:X""), IMPORTRANGE(""17XjIPGwafStTRf_8bPPaoi2EFjHVy10_rRJ0uvy6YcU"",""AK:AK"")) - SUMPRODUCT((IMPORTR"&amp;"ANGE(""17XjIPGwafStTRf_8bPPaoi2EFjHVy10_rRJ0uvy6YcU"",""M:M"")=B31)*1, IMPORTRANGE(""17XjIPGwafStTRf_8bPPaoi2EFjHVy10_rRJ0uvy6YcU"",""X:X""), IMPORTRANGE(""17XjIPGwafStTRf_8bPPaoi2EFjHVy10_rRJ0uvy6YcU"",""AL:AL""))"),573869.0)</f>
        <v>573869</v>
      </c>
      <c r="D31" s="24">
        <f>IFERROR(__xludf.DUMMYFUNCTION("SUMPRODUCT((IMPORTRANGE(""17XjIPGwafStTRf_8bPPaoi2EFjHVy10_rRJ0uvy6YcU"",""M:M"")=B31)*1, IMPORTRANGE(""17XjIPGwafStTRf_8bPPaoi2EFjHVy10_rRJ0uvy6YcU"",""X:X""), IMPORTRANGE(""17XjIPGwafStTRf_8bPPaoi2EFjHVy10_rRJ0uvy6YcU"",""AA:AA"")) + SUMPRODUCT((IMPORTR"&amp;"ANGE(""17XjIPGwafStTRf_8bPPaoi2EFjHVy10_rRJ0uvy6YcU"",""M:M"")=B31)*1, IMPORTRANGE(""17XjIPGwafStTRf_8bPPaoi2EFjHVy10_rRJ0uvy6YcU"",""X:X""), IMPORTRANGE(""17XjIPGwafStTRf_8bPPaoi2EFjHVy10_rRJ0uvy6YcU"",""AE:AE"")) + SUMPRODUCT((IMPORTRANGE(""17XjIPGwafSt"&amp;"TRf_8bPPaoi2EFjHVy10_rRJ0uvy6YcU"",""M:M"")=B31)*1, IMPORTRANGE(""17XjIPGwafStTRf_8bPPaoi2EFjHVy10_rRJ0uvy6YcU"",""X:X""), IMPORTRANGE(""17XjIPGwafStTRf_8bPPaoi2EFjHVy10_rRJ0uvy6YcU"",""AF:AF""))"),357436.56240393163)</f>
        <v>357436.5624</v>
      </c>
      <c r="E31" s="24">
        <f>IFERROR(__xludf.DUMMYFUNCTION("SUMPRODUCT((IMPORTRANGE(""17XjIPGwafStTRf_8bPPaoi2EFjHVy10_rRJ0uvy6YcU"",""M:M"")=B31)*1, IMPORTRANGE(""17XjIPGwafStTRf_8bPPaoi2EFjHVy10_rRJ0uvy6YcU"",""X:X""), IMPORTRANGE(""17XjIPGwafStTRf_8bPPaoi2EFjHVy10_rRJ0uvy6YcU"",""AO:AO""))"),93724.53582984551)</f>
        <v>93724.53583</v>
      </c>
      <c r="F31" s="25">
        <f>IFERROR(__xludf.DUMMYFUNCTION("SUMPRODUCT((IMPORTRANGE(""17XjIPGwafStTRf_8bPPaoi2EFjHVy10_rRJ0uvy6YcU"",""M:M"")=B31)*1, IMPORTRANGE(""17XjIPGwafStTRf_8bPPaoi2EFjHVy10_rRJ0uvy6YcU"",""X:X""))"),130.0)</f>
        <v>130</v>
      </c>
      <c r="G31" s="26">
        <f>IFERROR(__xludf.DUMMYFUNCTION("COUNTIF(IMPORTRANGE(""17XjIPGwafStTRf_8bPPaoi2EFjHVy10_rRJ0uvy6YcU"",""M:M""), B31)"),30.0)</f>
        <v>30</v>
      </c>
      <c r="H31" s="27">
        <f t="shared" si="1"/>
        <v>4.333333333</v>
      </c>
      <c r="I31" s="28">
        <f t="shared" si="2"/>
        <v>0.1633204369</v>
      </c>
      <c r="J31" s="29">
        <f t="shared" si="3"/>
        <v>0.2622130629</v>
      </c>
      <c r="K31" s="30"/>
      <c r="L31" s="31" t="str">
        <f t="shared" si="4"/>
        <v/>
      </c>
      <c r="M31" s="31" t="str">
        <f t="shared" si="5"/>
        <v/>
      </c>
      <c r="N31" s="4"/>
    </row>
    <row r="32">
      <c r="A32" s="1"/>
      <c r="B32" s="23">
        <f t="shared" si="6"/>
        <v>44588</v>
      </c>
      <c r="C32" s="24">
        <f>IFERROR(__xludf.DUMMYFUNCTION("SUMPRODUCT((IMPORTRANGE(""17XjIPGwafStTRf_8bPPaoi2EFjHVy10_rRJ0uvy6YcU"",""M:M"")=B32)*1, IMPORTRANGE(""17XjIPGwafStTRf_8bPPaoi2EFjHVy10_rRJ0uvy6YcU"",""X:X""), IMPORTRANGE(""17XjIPGwafStTRf_8bPPaoi2EFjHVy10_rRJ0uvy6YcU"",""AK:AK"")) - SUMPRODUCT((IMPORTR"&amp;"ANGE(""17XjIPGwafStTRf_8bPPaoi2EFjHVy10_rRJ0uvy6YcU"",""M:M"")=B32)*1, IMPORTRANGE(""17XjIPGwafStTRf_8bPPaoi2EFjHVy10_rRJ0uvy6YcU"",""X:X""), IMPORTRANGE(""17XjIPGwafStTRf_8bPPaoi2EFjHVy10_rRJ0uvy6YcU"",""AL:AL""))"),526865.0)</f>
        <v>526865</v>
      </c>
      <c r="D32" s="24">
        <f>IFERROR(__xludf.DUMMYFUNCTION("SUMPRODUCT((IMPORTRANGE(""17XjIPGwafStTRf_8bPPaoi2EFjHVy10_rRJ0uvy6YcU"",""M:M"")=B32)*1, IMPORTRANGE(""17XjIPGwafStTRf_8bPPaoi2EFjHVy10_rRJ0uvy6YcU"",""X:X""), IMPORTRANGE(""17XjIPGwafStTRf_8bPPaoi2EFjHVy10_rRJ0uvy6YcU"",""AA:AA"")) + SUMPRODUCT((IMPORTR"&amp;"ANGE(""17XjIPGwafStTRf_8bPPaoi2EFjHVy10_rRJ0uvy6YcU"",""M:M"")=B32)*1, IMPORTRANGE(""17XjIPGwafStTRf_8bPPaoi2EFjHVy10_rRJ0uvy6YcU"",""X:X""), IMPORTRANGE(""17XjIPGwafStTRf_8bPPaoi2EFjHVy10_rRJ0uvy6YcU"",""AE:AE"")) + SUMPRODUCT((IMPORTRANGE(""17XjIPGwafSt"&amp;"TRf_8bPPaoi2EFjHVy10_rRJ0uvy6YcU"",""M:M"")=B32)*1, IMPORTRANGE(""17XjIPGwafStTRf_8bPPaoi2EFjHVy10_rRJ0uvy6YcU"",""X:X""), IMPORTRANGE(""17XjIPGwafStTRf_8bPPaoi2EFjHVy10_rRJ0uvy6YcU"",""AF:AF""))"),313996.079180281)</f>
        <v>313996.0792</v>
      </c>
      <c r="E32" s="24">
        <f>IFERROR(__xludf.DUMMYFUNCTION("SUMPRODUCT((IMPORTRANGE(""17XjIPGwafStTRf_8bPPaoi2EFjHVy10_rRJ0uvy6YcU"",""M:M"")=B32)*1, IMPORTRANGE(""17XjIPGwafStTRf_8bPPaoi2EFjHVy10_rRJ0uvy6YcU"",""X:X""), IMPORTRANGE(""17XjIPGwafStTRf_8bPPaoi2EFjHVy10_rRJ0uvy6YcU"",""AO:AO""))"),123401.59389356685)</f>
        <v>123401.5939</v>
      </c>
      <c r="F32" s="25">
        <f>IFERROR(__xludf.DUMMYFUNCTION("SUMPRODUCT((IMPORTRANGE(""17XjIPGwafStTRf_8bPPaoi2EFjHVy10_rRJ0uvy6YcU"",""M:M"")=B32)*1, IMPORTRANGE(""17XjIPGwafStTRf_8bPPaoi2EFjHVy10_rRJ0uvy6YcU"",""X:X""))"),114.0)</f>
        <v>114</v>
      </c>
      <c r="G32" s="26">
        <f>IFERROR(__xludf.DUMMYFUNCTION("COUNTIF(IMPORTRANGE(""17XjIPGwafStTRf_8bPPaoi2EFjHVy10_rRJ0uvy6YcU"",""M:M""), B32)"),38.0)</f>
        <v>38</v>
      </c>
      <c r="H32" s="27">
        <f t="shared" si="1"/>
        <v>3</v>
      </c>
      <c r="I32" s="28">
        <f t="shared" si="2"/>
        <v>0.2342186213</v>
      </c>
      <c r="J32" s="29">
        <f t="shared" si="3"/>
        <v>0.393003614</v>
      </c>
      <c r="K32" s="32"/>
      <c r="L32" s="31" t="str">
        <f t="shared" si="4"/>
        <v/>
      </c>
      <c r="M32" s="31" t="str">
        <f t="shared" si="5"/>
        <v/>
      </c>
      <c r="N32" s="4"/>
    </row>
    <row r="33">
      <c r="A33" s="1"/>
      <c r="B33" s="23">
        <f t="shared" si="6"/>
        <v>44589</v>
      </c>
      <c r="C33" s="24">
        <f>IFERROR(__xludf.DUMMYFUNCTION("SUMPRODUCT((IMPORTRANGE(""17XjIPGwafStTRf_8bPPaoi2EFjHVy10_rRJ0uvy6YcU"",""M:M"")=B33)*1, IMPORTRANGE(""17XjIPGwafStTRf_8bPPaoi2EFjHVy10_rRJ0uvy6YcU"",""X:X""), IMPORTRANGE(""17XjIPGwafStTRf_8bPPaoi2EFjHVy10_rRJ0uvy6YcU"",""AK:AK"")) - SUMPRODUCT((IMPORTR"&amp;"ANGE(""17XjIPGwafStTRf_8bPPaoi2EFjHVy10_rRJ0uvy6YcU"",""M:M"")=B33)*1, IMPORTRANGE(""17XjIPGwafStTRf_8bPPaoi2EFjHVy10_rRJ0uvy6YcU"",""X:X""), IMPORTRANGE(""17XjIPGwafStTRf_8bPPaoi2EFjHVy10_rRJ0uvy6YcU"",""AL:AL""))"),305974.0)</f>
        <v>305974</v>
      </c>
      <c r="D33" s="24">
        <f>IFERROR(__xludf.DUMMYFUNCTION("SUMPRODUCT((IMPORTRANGE(""17XjIPGwafStTRf_8bPPaoi2EFjHVy10_rRJ0uvy6YcU"",""M:M"")=B33)*1, IMPORTRANGE(""17XjIPGwafStTRf_8bPPaoi2EFjHVy10_rRJ0uvy6YcU"",""X:X""), IMPORTRANGE(""17XjIPGwafStTRf_8bPPaoi2EFjHVy10_rRJ0uvy6YcU"",""AA:AA"")) + SUMPRODUCT((IMPORTR"&amp;"ANGE(""17XjIPGwafStTRf_8bPPaoi2EFjHVy10_rRJ0uvy6YcU"",""M:M"")=B33)*1, IMPORTRANGE(""17XjIPGwafStTRf_8bPPaoi2EFjHVy10_rRJ0uvy6YcU"",""X:X""), IMPORTRANGE(""17XjIPGwafStTRf_8bPPaoi2EFjHVy10_rRJ0uvy6YcU"",""AE:AE"")) + SUMPRODUCT((IMPORTRANGE(""17XjIPGwafSt"&amp;"TRf_8bPPaoi2EFjHVy10_rRJ0uvy6YcU"",""M:M"")=B33)*1, IMPORTRANGE(""17XjIPGwafStTRf_8bPPaoi2EFjHVy10_rRJ0uvy6YcU"",""X:X""), IMPORTRANGE(""17XjIPGwafStTRf_8bPPaoi2EFjHVy10_rRJ0uvy6YcU"",""AF:AF""))"),219508.29508297727)</f>
        <v>219508.2951</v>
      </c>
      <c r="E33" s="24">
        <f>IFERROR(__xludf.DUMMYFUNCTION("SUMPRODUCT((IMPORTRANGE(""17XjIPGwafStTRf_8bPPaoi2EFjHVy10_rRJ0uvy6YcU"",""M:M"")=B33)*1, IMPORTRANGE(""17XjIPGwafStTRf_8bPPaoi2EFjHVy10_rRJ0uvy6YcU"",""X:X""), IMPORTRANGE(""17XjIPGwafStTRf_8bPPaoi2EFjHVy10_rRJ0uvy6YcU"",""AO:AO""))"),42412.00491702267)</f>
        <v>42412.00492</v>
      </c>
      <c r="F33" s="25">
        <f>IFERROR(__xludf.DUMMYFUNCTION("SUMPRODUCT((IMPORTRANGE(""17XjIPGwafStTRf_8bPPaoi2EFjHVy10_rRJ0uvy6YcU"",""M:M"")=B33)*1, IMPORTRANGE(""17XjIPGwafStTRf_8bPPaoi2EFjHVy10_rRJ0uvy6YcU"",""X:X""))"),52.0)</f>
        <v>52</v>
      </c>
      <c r="G33" s="26">
        <f>IFERROR(__xludf.DUMMYFUNCTION("COUNTIF(IMPORTRANGE(""17XjIPGwafStTRf_8bPPaoi2EFjHVy10_rRJ0uvy6YcU"",""M:M""), B33)"),23.0)</f>
        <v>23</v>
      </c>
      <c r="H33" s="27">
        <f t="shared" si="1"/>
        <v>2.260869565</v>
      </c>
      <c r="I33" s="28">
        <f t="shared" si="2"/>
        <v>0.1386131008</v>
      </c>
      <c r="J33" s="29">
        <f t="shared" si="3"/>
        <v>0.1932136774</v>
      </c>
      <c r="K33" s="30"/>
      <c r="L33" s="31" t="str">
        <f t="shared" si="4"/>
        <v/>
      </c>
      <c r="M33" s="31" t="str">
        <f t="shared" si="5"/>
        <v/>
      </c>
      <c r="N33" s="4"/>
    </row>
    <row r="34">
      <c r="A34" s="1"/>
      <c r="B34" s="23">
        <f t="shared" ref="B34:B36" si="7">IFERROR(IF(MONTH(B33)=MONTH(B33+1),B33+1,"--"),"--")</f>
        <v>44590</v>
      </c>
      <c r="C34" s="24">
        <f>IFERROR(__xludf.DUMMYFUNCTION("SUMPRODUCT((IMPORTRANGE(""17XjIPGwafStTRf_8bPPaoi2EFjHVy10_rRJ0uvy6YcU"",""M:M"")=B34)*1, IMPORTRANGE(""17XjIPGwafStTRf_8bPPaoi2EFjHVy10_rRJ0uvy6YcU"",""X:X""), IMPORTRANGE(""17XjIPGwafStTRf_8bPPaoi2EFjHVy10_rRJ0uvy6YcU"",""AK:AK"")) - SUMPRODUCT((IMPORTR"&amp;"ANGE(""17XjIPGwafStTRf_8bPPaoi2EFjHVy10_rRJ0uvy6YcU"",""M:M"")=B34)*1, IMPORTRANGE(""17XjIPGwafStTRf_8bPPaoi2EFjHVy10_rRJ0uvy6YcU"",""X:X""), IMPORTRANGE(""17XjIPGwafStTRf_8bPPaoi2EFjHVy10_rRJ0uvy6YcU"",""AL:AL""))"),431127.0)</f>
        <v>431127</v>
      </c>
      <c r="D34" s="24">
        <f>IFERROR(__xludf.DUMMYFUNCTION("SUMPRODUCT((IMPORTRANGE(""17XjIPGwafStTRf_8bPPaoi2EFjHVy10_rRJ0uvy6YcU"",""M:M"")=B34)*1, IMPORTRANGE(""17XjIPGwafStTRf_8bPPaoi2EFjHVy10_rRJ0uvy6YcU"",""X:X""), IMPORTRANGE(""17XjIPGwafStTRf_8bPPaoi2EFjHVy10_rRJ0uvy6YcU"",""AA:AA"")) + SUMPRODUCT((IMPORTR"&amp;"ANGE(""17XjIPGwafStTRf_8bPPaoi2EFjHVy10_rRJ0uvy6YcU"",""M:M"")=B34)*1, IMPORTRANGE(""17XjIPGwafStTRf_8bPPaoi2EFjHVy10_rRJ0uvy6YcU"",""X:X""), IMPORTRANGE(""17XjIPGwafStTRf_8bPPaoi2EFjHVy10_rRJ0uvy6YcU"",""AE:AE"")) + SUMPRODUCT((IMPORTRANGE(""17XjIPGwafSt"&amp;"TRf_8bPPaoi2EFjHVy10_rRJ0uvy6YcU"",""M:M"")=B34)*1, IMPORTRANGE(""17XjIPGwafStTRf_8bPPaoi2EFjHVy10_rRJ0uvy6YcU"",""X:X""), IMPORTRANGE(""17XjIPGwafStTRf_8bPPaoi2EFjHVy10_rRJ0uvy6YcU"",""AF:AF""))"),266888.44295353186)</f>
        <v>266888.443</v>
      </c>
      <c r="E34" s="24">
        <f>IFERROR(__xludf.DUMMYFUNCTION("SUMPRODUCT((IMPORTRANGE(""17XjIPGwafStTRf_8bPPaoi2EFjHVy10_rRJ0uvy6YcU"",""M:M"")=B34)*1, IMPORTRANGE(""17XjIPGwafStTRf_8bPPaoi2EFjHVy10_rRJ0uvy6YcU"",""X:X""), IMPORTRANGE(""17XjIPGwafStTRf_8bPPaoi2EFjHVy10_rRJ0uvy6YcU"",""AO:AO""))"),88596.9578171344)</f>
        <v>88596.95782</v>
      </c>
      <c r="F34" s="25">
        <f>IFERROR(__xludf.DUMMYFUNCTION("SUMPRODUCT((IMPORTRANGE(""17XjIPGwafStTRf_8bPPaoi2EFjHVy10_rRJ0uvy6YcU"",""M:M"")=B34)*1, IMPORTRANGE(""17XjIPGwafStTRf_8bPPaoi2EFjHVy10_rRJ0uvy6YcU"",""X:X""))"),76.0)</f>
        <v>76</v>
      </c>
      <c r="G34" s="26">
        <f>IFERROR(__xludf.DUMMYFUNCTION("COUNTIF(IMPORTRANGE(""17XjIPGwafStTRf_8bPPaoi2EFjHVy10_rRJ0uvy6YcU"",""M:M""), B34)"),32.0)</f>
        <v>32</v>
      </c>
      <c r="H34" s="27">
        <f t="shared" si="1"/>
        <v>2.375</v>
      </c>
      <c r="I34" s="28">
        <f t="shared" si="2"/>
        <v>0.2055008334</v>
      </c>
      <c r="J34" s="29">
        <f t="shared" si="3"/>
        <v>0.3319625115</v>
      </c>
      <c r="K34" s="30"/>
      <c r="L34" s="31" t="str">
        <f t="shared" si="4"/>
        <v/>
      </c>
      <c r="M34" s="31" t="str">
        <f t="shared" si="5"/>
        <v/>
      </c>
      <c r="N34" s="4"/>
    </row>
    <row r="35">
      <c r="A35" s="1"/>
      <c r="B35" s="23">
        <f t="shared" si="7"/>
        <v>44591</v>
      </c>
      <c r="C35" s="24">
        <f>IFERROR(__xludf.DUMMYFUNCTION("SUMPRODUCT((IMPORTRANGE(""17XjIPGwafStTRf_8bPPaoi2EFjHVy10_rRJ0uvy6YcU"",""M:M"")=B35)*1, IMPORTRANGE(""17XjIPGwafStTRf_8bPPaoi2EFjHVy10_rRJ0uvy6YcU"",""X:X""), IMPORTRANGE(""17XjIPGwafStTRf_8bPPaoi2EFjHVy10_rRJ0uvy6YcU"",""AK:AK"")) - SUMPRODUCT((IMPORTR"&amp;"ANGE(""17XjIPGwafStTRf_8bPPaoi2EFjHVy10_rRJ0uvy6YcU"",""M:M"")=B35)*1, IMPORTRANGE(""17XjIPGwafStTRf_8bPPaoi2EFjHVy10_rRJ0uvy6YcU"",""X:X""), IMPORTRANGE(""17XjIPGwafStTRf_8bPPaoi2EFjHVy10_rRJ0uvy6YcU"",""AL:AL""))"),315965.0)</f>
        <v>315965</v>
      </c>
      <c r="D35" s="24">
        <f>IFERROR(__xludf.DUMMYFUNCTION("SUMPRODUCT((IMPORTRANGE(""17XjIPGwafStTRf_8bPPaoi2EFjHVy10_rRJ0uvy6YcU"",""M:M"")=B35)*1, IMPORTRANGE(""17XjIPGwafStTRf_8bPPaoi2EFjHVy10_rRJ0uvy6YcU"",""X:X""), IMPORTRANGE(""17XjIPGwafStTRf_8bPPaoi2EFjHVy10_rRJ0uvy6YcU"",""AA:AA"")) + SUMPRODUCT((IMPORTR"&amp;"ANGE(""17XjIPGwafStTRf_8bPPaoi2EFjHVy10_rRJ0uvy6YcU"",""M:M"")=B35)*1, IMPORTRANGE(""17XjIPGwafStTRf_8bPPaoi2EFjHVy10_rRJ0uvy6YcU"",""X:X""), IMPORTRANGE(""17XjIPGwafStTRf_8bPPaoi2EFjHVy10_rRJ0uvy6YcU"",""AE:AE"")) + SUMPRODUCT((IMPORTRANGE(""17XjIPGwafSt"&amp;"TRf_8bPPaoi2EFjHVy10_rRJ0uvy6YcU"",""M:M"")=B35)*1, IMPORTRANGE(""17XjIPGwafStTRf_8bPPaoi2EFjHVy10_rRJ0uvy6YcU"",""X:X""), IMPORTRANGE(""17XjIPGwafStTRf_8bPPaoi2EFjHVy10_rRJ0uvy6YcU"",""AF:AF""))"),141611.7027819818)</f>
        <v>141611.7028</v>
      </c>
      <c r="E35" s="24">
        <f>IFERROR(__xludf.DUMMYFUNCTION("SUMPRODUCT((IMPORTRANGE(""17XjIPGwafStTRf_8bPPaoi2EFjHVy10_rRJ0uvy6YcU"",""M:M"")=B35)*1, IMPORTRANGE(""17XjIPGwafStTRf_8bPPaoi2EFjHVy10_rRJ0uvy6YcU"",""X:X""), IMPORTRANGE(""17XjIPGwafStTRf_8bPPaoi2EFjHVy10_rRJ0uvy6YcU"",""AO:AO""))"),111712.43531325633)</f>
        <v>111712.4353</v>
      </c>
      <c r="F35" s="25">
        <f>IFERROR(__xludf.DUMMYFUNCTION("SUMPRODUCT((IMPORTRANGE(""17XjIPGwafStTRf_8bPPaoi2EFjHVy10_rRJ0uvy6YcU"",""M:M"")=B35)*1, IMPORTRANGE(""17XjIPGwafStTRf_8bPPaoi2EFjHVy10_rRJ0uvy6YcU"",""X:X""))"),148.0)</f>
        <v>148</v>
      </c>
      <c r="G35" s="26">
        <f>IFERROR(__xludf.DUMMYFUNCTION("COUNTIF(IMPORTRANGE(""17XjIPGwafStTRf_8bPPaoi2EFjHVy10_rRJ0uvy6YcU"",""M:M""), B35)"),27.0)</f>
        <v>27</v>
      </c>
      <c r="H35" s="27">
        <f t="shared" si="1"/>
        <v>5.481481481</v>
      </c>
      <c r="I35" s="28">
        <f t="shared" si="2"/>
        <v>0.353559525</v>
      </c>
      <c r="J35" s="29">
        <f t="shared" si="3"/>
        <v>0.7888644308</v>
      </c>
      <c r="K35" s="32"/>
      <c r="L35" s="31" t="str">
        <f t="shared" si="4"/>
        <v/>
      </c>
      <c r="M35" s="31" t="str">
        <f t="shared" si="5"/>
        <v/>
      </c>
      <c r="N35" s="4"/>
    </row>
    <row r="36">
      <c r="A36" s="1"/>
      <c r="B36" s="23">
        <f t="shared" si="7"/>
        <v>44592</v>
      </c>
      <c r="C36" s="24">
        <f>IFERROR(__xludf.DUMMYFUNCTION("SUMPRODUCT((IMPORTRANGE(""17XjIPGwafStTRf_8bPPaoi2EFjHVy10_rRJ0uvy6YcU"",""M:M"")=B36)*1, IMPORTRANGE(""17XjIPGwafStTRf_8bPPaoi2EFjHVy10_rRJ0uvy6YcU"",""X:X""), IMPORTRANGE(""17XjIPGwafStTRf_8bPPaoi2EFjHVy10_rRJ0uvy6YcU"",""AK:AK"")) - SUMPRODUCT((IMPORTR"&amp;"ANGE(""17XjIPGwafStTRf_8bPPaoi2EFjHVy10_rRJ0uvy6YcU"",""M:M"")=B36)*1, IMPORTRANGE(""17XjIPGwafStTRf_8bPPaoi2EFjHVy10_rRJ0uvy6YcU"",""X:X""), IMPORTRANGE(""17XjIPGwafStTRf_8bPPaoi2EFjHVy10_rRJ0uvy6YcU"",""AL:AL""))"),332249.0)</f>
        <v>332249</v>
      </c>
      <c r="D36" s="24">
        <f>IFERROR(__xludf.DUMMYFUNCTION("SUMPRODUCT((IMPORTRANGE(""17XjIPGwafStTRf_8bPPaoi2EFjHVy10_rRJ0uvy6YcU"",""M:M"")=B36)*1, IMPORTRANGE(""17XjIPGwafStTRf_8bPPaoi2EFjHVy10_rRJ0uvy6YcU"",""X:X""), IMPORTRANGE(""17XjIPGwafStTRf_8bPPaoi2EFjHVy10_rRJ0uvy6YcU"",""AA:AA"")) + SUMPRODUCT((IMPORTR"&amp;"ANGE(""17XjIPGwafStTRf_8bPPaoi2EFjHVy10_rRJ0uvy6YcU"",""M:M"")=B36)*1, IMPORTRANGE(""17XjIPGwafStTRf_8bPPaoi2EFjHVy10_rRJ0uvy6YcU"",""X:X""), IMPORTRANGE(""17XjIPGwafStTRf_8bPPaoi2EFjHVy10_rRJ0uvy6YcU"",""AE:AE"")) + SUMPRODUCT((IMPORTRANGE(""17XjIPGwafSt"&amp;"TRf_8bPPaoi2EFjHVy10_rRJ0uvy6YcU"",""M:M"")=B36)*1, IMPORTRANGE(""17XjIPGwafStTRf_8bPPaoi2EFjHVy10_rRJ0uvy6YcU"",""X:X""), IMPORTRANGE(""17XjIPGwafStTRf_8bPPaoi2EFjHVy10_rRJ0uvy6YcU"",""AF:AF""))"),217122.2237202667)</f>
        <v>217122.2237</v>
      </c>
      <c r="E36" s="24">
        <f>IFERROR(__xludf.DUMMYFUNCTION("SUMPRODUCT((IMPORTRANGE(""17XjIPGwafStTRf_8bPPaoi2EFjHVy10_rRJ0uvy6YcU"",""M:M"")=B36)*1, IMPORTRANGE(""17XjIPGwafStTRf_8bPPaoi2EFjHVy10_rRJ0uvy6YcU"",""X:X""), IMPORTRANGE(""17XjIPGwafStTRf_8bPPaoi2EFjHVy10_rRJ0uvy6YcU"",""AO:AO""))"),53996.584962471105)</f>
        <v>53996.58496</v>
      </c>
      <c r="F36" s="25">
        <f>IFERROR(__xludf.DUMMYFUNCTION("SUMPRODUCT((IMPORTRANGE(""17XjIPGwafStTRf_8bPPaoi2EFjHVy10_rRJ0uvy6YcU"",""M:M"")=B36)*1, IMPORTRANGE(""17XjIPGwafStTRf_8bPPaoi2EFjHVy10_rRJ0uvy6YcU"",""X:X""))"),56.0)</f>
        <v>56</v>
      </c>
      <c r="G36" s="26">
        <f>IFERROR(__xludf.DUMMYFUNCTION("COUNTIF(IMPORTRANGE(""17XjIPGwafStTRf_8bPPaoi2EFjHVy10_rRJ0uvy6YcU"",""M:M""), B36)"),31.0)</f>
        <v>31</v>
      </c>
      <c r="H36" s="27">
        <f t="shared" si="1"/>
        <v>1.806451613</v>
      </c>
      <c r="I36" s="28">
        <f t="shared" si="2"/>
        <v>0.1625184273</v>
      </c>
      <c r="J36" s="29">
        <f t="shared" si="3"/>
        <v>0.2486921147</v>
      </c>
      <c r="K36" s="30"/>
      <c r="L36" s="31" t="str">
        <f>if(B36="","",IF(K36="","",E36/K36))</f>
        <v/>
      </c>
      <c r="M36" s="31" t="str">
        <f>if(B36="","",IF(K36="","",D36/K36))</f>
        <v/>
      </c>
      <c r="N36" s="4"/>
    </row>
    <row r="37">
      <c r="A37" s="4"/>
      <c r="B37" s="33" t="s">
        <v>16</v>
      </c>
      <c r="C37" s="34">
        <f t="shared" ref="C37:H37" si="8">SUM(C6:C36)</f>
        <v>13491948.76</v>
      </c>
      <c r="D37" s="34">
        <f t="shared" si="8"/>
        <v>8657037.154</v>
      </c>
      <c r="E37" s="34">
        <f t="shared" si="8"/>
        <v>2733189.281</v>
      </c>
      <c r="F37" s="34">
        <f t="shared" si="8"/>
        <v>2692</v>
      </c>
      <c r="G37" s="34">
        <f t="shared" si="8"/>
        <v>876</v>
      </c>
      <c r="H37" s="34">
        <f t="shared" si="8"/>
        <v>90.06633778</v>
      </c>
      <c r="I37" s="35">
        <f t="shared" si="2"/>
        <v>0.2025792811</v>
      </c>
      <c r="J37" s="35">
        <f t="shared" si="3"/>
        <v>0.3157187884</v>
      </c>
      <c r="K37" s="33">
        <f>SUM(K6:K36)</f>
        <v>0</v>
      </c>
      <c r="L37" s="34" t="str">
        <f>iferror(IF(K37="","",E37/K37),"")</f>
        <v/>
      </c>
      <c r="M37" s="34" t="str">
        <f>iferror(IF(K37="","",D37/K37),"")</f>
        <v/>
      </c>
      <c r="N37" s="4"/>
    </row>
    <row r="38">
      <c r="A38" s="4"/>
      <c r="B38" s="4"/>
      <c r="C38" s="4"/>
      <c r="D38" s="36" t="s">
        <v>17</v>
      </c>
      <c r="E38" s="4"/>
      <c r="F38" s="4"/>
      <c r="G38" s="4"/>
      <c r="H38" s="4"/>
      <c r="I38" s="4"/>
      <c r="J38" s="4"/>
      <c r="K38" s="4"/>
      <c r="L38" s="4"/>
      <c r="M38" s="4"/>
      <c r="N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.25"/>
    <col customWidth="1" min="2" max="2" width="11.25"/>
    <col customWidth="1" min="3" max="5" width="11.38"/>
    <col customWidth="1" min="6" max="8" width="5.75"/>
    <col customWidth="1" min="9" max="11" width="8.88"/>
    <col customWidth="1" min="12" max="13" width="11.38"/>
    <col customWidth="1" min="14" max="14" width="2.38"/>
  </cols>
  <sheetData>
    <row r="1" ht="7.5" customHeight="1">
      <c r="A1" s="1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</row>
    <row r="2">
      <c r="A2" s="1"/>
      <c r="B2" s="38">
        <v>44531.0</v>
      </c>
      <c r="C2" s="6"/>
      <c r="D2" s="3"/>
      <c r="E2" s="4"/>
      <c r="F2" s="4"/>
      <c r="G2" s="4"/>
      <c r="H2" s="4"/>
      <c r="I2" s="4"/>
      <c r="J2" s="4"/>
      <c r="K2" s="4"/>
      <c r="L2" s="7" t="s">
        <v>0</v>
      </c>
      <c r="M2" s="8">
        <v>1.5</v>
      </c>
      <c r="N2" s="4"/>
    </row>
    <row r="3">
      <c r="A3" s="4"/>
      <c r="B3" s="9"/>
      <c r="C3" s="10">
        <f>iferror((E3*M2)/I37,"")</f>
        <v>12950399.01</v>
      </c>
      <c r="D3" s="11" t="s">
        <v>2</v>
      </c>
      <c r="E3" s="12">
        <v>2000000.0</v>
      </c>
      <c r="F3" s="13"/>
      <c r="G3" s="4"/>
      <c r="H3" s="4"/>
      <c r="I3" s="4"/>
      <c r="J3" s="4"/>
      <c r="K3" s="4"/>
      <c r="L3" s="14"/>
      <c r="M3" s="15"/>
      <c r="N3" s="13"/>
    </row>
    <row r="4">
      <c r="A4" s="4"/>
      <c r="B4" s="9" t="s">
        <v>3</v>
      </c>
      <c r="C4" s="16">
        <f>iferror(C37/C3,"")</f>
        <v>0.8377365045</v>
      </c>
      <c r="D4" s="9"/>
      <c r="E4" s="16"/>
      <c r="F4" s="4"/>
      <c r="G4" s="4"/>
      <c r="H4" s="4"/>
      <c r="I4" s="4"/>
      <c r="J4" s="4"/>
      <c r="K4" s="17"/>
      <c r="L4" s="4"/>
      <c r="M4" s="4"/>
      <c r="N4" s="4"/>
    </row>
    <row r="5" ht="28.5" customHeight="1">
      <c r="A5" s="18"/>
      <c r="B5" s="19" t="s">
        <v>4</v>
      </c>
      <c r="C5" s="20" t="s">
        <v>5</v>
      </c>
      <c r="D5" s="20" t="s">
        <v>6</v>
      </c>
      <c r="E5" s="20" t="s">
        <v>7</v>
      </c>
      <c r="F5" s="21" t="s">
        <v>8</v>
      </c>
      <c r="G5" s="22" t="s">
        <v>9</v>
      </c>
      <c r="H5" s="22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15</v>
      </c>
      <c r="N5" s="18"/>
    </row>
    <row r="6">
      <c r="A6" s="1"/>
      <c r="B6" s="23">
        <f>B2</f>
        <v>44531</v>
      </c>
      <c r="C6" s="24">
        <f>IFERROR(__xludf.DUMMYFUNCTION("SUMPRODUCT((IMPORTRANGE(""17XjIPGwafStTRf_8bPPaoi2EFjHVy10_rRJ0uvy6YcU"",""M:M"")=B6)*1, IMPORTRANGE(""17XjIPGwafStTRf_8bPPaoi2EFjHVy10_rRJ0uvy6YcU"",""X:X""), IMPORTRANGE(""17XjIPGwafStTRf_8bPPaoi2EFjHVy10_rRJ0uvy6YcU"",""AK:AK"")) - SUMPRODUCT((IMPORTRA"&amp;"NGE(""17XjIPGwafStTRf_8bPPaoi2EFjHVy10_rRJ0uvy6YcU"",""M:M"")=B6)*1, IMPORTRANGE(""17XjIPGwafStTRf_8bPPaoi2EFjHVy10_rRJ0uvy6YcU"",""X:X""), IMPORTRANGE(""17XjIPGwafStTRf_8bPPaoi2EFjHVy10_rRJ0uvy6YcU"",""AL:AL""))"),380660.0)</f>
        <v>380660</v>
      </c>
      <c r="D6" s="24">
        <f>IFERROR(__xludf.DUMMYFUNCTION("SUMPRODUCT((IMPORTRANGE(""17XjIPGwafStTRf_8bPPaoi2EFjHVy10_rRJ0uvy6YcU"",""M:M"")=B6)*1, IMPORTRANGE(""17XjIPGwafStTRf_8bPPaoi2EFjHVy10_rRJ0uvy6YcU"",""X:X""), IMPORTRANGE(""17XjIPGwafStTRf_8bPPaoi2EFjHVy10_rRJ0uvy6YcU"",""AA:AA"")) + SUMPRODUCT((IMPORTRA"&amp;"NGE(""17XjIPGwafStTRf_8bPPaoi2EFjHVy10_rRJ0uvy6YcU"",""M:M"")=B6)*1, IMPORTRANGE(""17XjIPGwafStTRf_8bPPaoi2EFjHVy10_rRJ0uvy6YcU"",""X:X""), IMPORTRANGE(""17XjIPGwafStTRf_8bPPaoi2EFjHVy10_rRJ0uvy6YcU"",""AE:AE"")) + SUMPRODUCT((IMPORTRANGE(""17XjIPGwafStTR"&amp;"f_8bPPaoi2EFjHVy10_rRJ0uvy6YcU"",""M:M"")=B6)*1, IMPORTRANGE(""17XjIPGwafStTRf_8bPPaoi2EFjHVy10_rRJ0uvy6YcU"",""X:X""), IMPORTRANGE(""17XjIPGwafStTRf_8bPPaoi2EFjHVy10_rRJ0uvy6YcU"",""AF:AF""))"),153927.34460548594)</f>
        <v>153927.3446</v>
      </c>
      <c r="E6" s="24">
        <f>IFERROR(__xludf.DUMMYFUNCTION("SUMPRODUCT((IMPORTRANGE(""17XjIPGwafStTRf_8bPPaoi2EFjHVy10_rRJ0uvy6YcU"",""M:M"")=B6)*1, IMPORTRANGE(""17XjIPGwafStTRf_8bPPaoi2EFjHVy10_rRJ0uvy6YcU"",""X:X""), IMPORTRANGE(""17XjIPGwafStTRf_8bPPaoi2EFjHVy10_rRJ0uvy6YcU"",""AO:AO""))"),87243.18806320439)</f>
        <v>87243.18806</v>
      </c>
      <c r="F6" s="25">
        <f>IFERROR(__xludf.DUMMYFUNCTION("SUMPRODUCT((IMPORTRANGE(""17XjIPGwafStTRf_8bPPaoi2EFjHVy10_rRJ0uvy6YcU"",""M:M"")=B6)*1, IMPORTRANGE(""17XjIPGwafStTRf_8bPPaoi2EFjHVy10_rRJ0uvy6YcU"",""X:X""))"),88.0)</f>
        <v>88</v>
      </c>
      <c r="G6" s="26">
        <f>IFERROR(__xludf.DUMMYFUNCTION("COUNTIF(IMPORTRANGE(""17XjIPGwafStTRf_8bPPaoi2EFjHVy10_rRJ0uvy6YcU"",""M:M""), B6)"),17.0)</f>
        <v>17</v>
      </c>
      <c r="H6" s="27">
        <f t="shared" ref="H6:H36" si="1">IF(F6=0,"",F6/G6)</f>
        <v>5.176470588</v>
      </c>
      <c r="I6" s="28">
        <f t="shared" ref="I6:I37" si="2">IF(C6=0,"",E6/C6)</f>
        <v>0.2291892714</v>
      </c>
      <c r="J6" s="29">
        <f t="shared" ref="J6:J37" si="3">IF(D6=0,"",E6/D6)</f>
        <v>0.5667816091</v>
      </c>
      <c r="K6" s="30"/>
      <c r="L6" s="31" t="str">
        <f t="shared" ref="L6:L35" si="4">IF(K6="","",E6/K6)</f>
        <v/>
      </c>
      <c r="M6" s="31" t="str">
        <f t="shared" ref="M6:M35" si="5">IF(K6="","",D6/K6)</f>
        <v/>
      </c>
      <c r="N6" s="4"/>
    </row>
    <row r="7">
      <c r="A7" s="1"/>
      <c r="B7" s="23">
        <f t="shared" ref="B7:B33" si="6">B6+1</f>
        <v>44532</v>
      </c>
      <c r="C7" s="24">
        <f>IFERROR(__xludf.DUMMYFUNCTION("SUMPRODUCT((IMPORTRANGE(""17XjIPGwafStTRf_8bPPaoi2EFjHVy10_rRJ0uvy6YcU"",""M:M"")=B7)*1, IMPORTRANGE(""17XjIPGwafStTRf_8bPPaoi2EFjHVy10_rRJ0uvy6YcU"",""X:X""), IMPORTRANGE(""17XjIPGwafStTRf_8bPPaoi2EFjHVy10_rRJ0uvy6YcU"",""AK:AK"")) - SUMPRODUCT((IMPORTRA"&amp;"NGE(""17XjIPGwafStTRf_8bPPaoi2EFjHVy10_rRJ0uvy6YcU"",""M:M"")=B7)*1, IMPORTRANGE(""17XjIPGwafStTRf_8bPPaoi2EFjHVy10_rRJ0uvy6YcU"",""X:X""), IMPORTRANGE(""17XjIPGwafStTRf_8bPPaoi2EFjHVy10_rRJ0uvy6YcU"",""AL:AL""))"),303186.0)</f>
        <v>303186</v>
      </c>
      <c r="D7" s="24">
        <f>IFERROR(__xludf.DUMMYFUNCTION("SUMPRODUCT((IMPORTRANGE(""17XjIPGwafStTRf_8bPPaoi2EFjHVy10_rRJ0uvy6YcU"",""M:M"")=B7)*1, IMPORTRANGE(""17XjIPGwafStTRf_8bPPaoi2EFjHVy10_rRJ0uvy6YcU"",""X:X""), IMPORTRANGE(""17XjIPGwafStTRf_8bPPaoi2EFjHVy10_rRJ0uvy6YcU"",""AA:AA"")) + SUMPRODUCT((IMPORTRA"&amp;"NGE(""17XjIPGwafStTRf_8bPPaoi2EFjHVy10_rRJ0uvy6YcU"",""M:M"")=B7)*1, IMPORTRANGE(""17XjIPGwafStTRf_8bPPaoi2EFjHVy10_rRJ0uvy6YcU"",""X:X""), IMPORTRANGE(""17XjIPGwafStTRf_8bPPaoi2EFjHVy10_rRJ0uvy6YcU"",""AE:AE"")) + SUMPRODUCT((IMPORTRANGE(""17XjIPGwafStTR"&amp;"f_8bPPaoi2EFjHVy10_rRJ0uvy6YcU"",""M:M"")=B7)*1, IMPORTRANGE(""17XjIPGwafStTRf_8bPPaoi2EFjHVy10_rRJ0uvy6YcU"",""X:X""), IMPORTRANGE(""17XjIPGwafStTRf_8bPPaoi2EFjHVy10_rRJ0uvy6YcU"",""AF:AF""))"),193935.89767608326)</f>
        <v>193935.8977</v>
      </c>
      <c r="E7" s="24">
        <f>IFERROR(__xludf.DUMMYFUNCTION("SUMPRODUCT((IMPORTRANGE(""17XjIPGwafStTRf_8bPPaoi2EFjHVy10_rRJ0uvy6YcU"",""M:M"")=B7)*1, IMPORTRANGE(""17XjIPGwafStTRf_8bPPaoi2EFjHVy10_rRJ0uvy6YcU"",""X:X""), IMPORTRANGE(""17XjIPGwafStTRf_8bPPaoi2EFjHVy10_rRJ0uvy6YcU"",""AO:AO""))"),61121.41829729447)</f>
        <v>61121.4183</v>
      </c>
      <c r="F7" s="25">
        <f>IFERROR(__xludf.DUMMYFUNCTION("SUMPRODUCT((IMPORTRANGE(""17XjIPGwafStTRf_8bPPaoi2EFjHVy10_rRJ0uvy6YcU"",""M:M"")=B7)*1, IMPORTRANGE(""17XjIPGwafStTRf_8bPPaoi2EFjHVy10_rRJ0uvy6YcU"",""X:X""))"),37.0)</f>
        <v>37</v>
      </c>
      <c r="G7" s="26">
        <f>IFERROR(__xludf.DUMMYFUNCTION("COUNTIF(IMPORTRANGE(""17XjIPGwafStTRf_8bPPaoi2EFjHVy10_rRJ0uvy6YcU"",""M:M""), B7)"),22.0)</f>
        <v>22</v>
      </c>
      <c r="H7" s="27">
        <f t="shared" si="1"/>
        <v>1.681818182</v>
      </c>
      <c r="I7" s="28">
        <f t="shared" si="2"/>
        <v>0.2015970998</v>
      </c>
      <c r="J7" s="29">
        <f t="shared" si="3"/>
        <v>0.3151629947</v>
      </c>
      <c r="K7" s="30"/>
      <c r="L7" s="31" t="str">
        <f t="shared" si="4"/>
        <v/>
      </c>
      <c r="M7" s="31" t="str">
        <f t="shared" si="5"/>
        <v/>
      </c>
      <c r="N7" s="4"/>
    </row>
    <row r="8">
      <c r="A8" s="1"/>
      <c r="B8" s="23">
        <f t="shared" si="6"/>
        <v>44533</v>
      </c>
      <c r="C8" s="24">
        <f>IFERROR(__xludf.DUMMYFUNCTION("SUMPRODUCT((IMPORTRANGE(""17XjIPGwafStTRf_8bPPaoi2EFjHVy10_rRJ0uvy6YcU"",""M:M"")=B8)*1, IMPORTRANGE(""17XjIPGwafStTRf_8bPPaoi2EFjHVy10_rRJ0uvy6YcU"",""X:X""), IMPORTRANGE(""17XjIPGwafStTRf_8bPPaoi2EFjHVy10_rRJ0uvy6YcU"",""AK:AK"")) - SUMPRODUCT((IMPORTRA"&amp;"NGE(""17XjIPGwafStTRf_8bPPaoi2EFjHVy10_rRJ0uvy6YcU"",""M:M"")=B8)*1, IMPORTRANGE(""17XjIPGwafStTRf_8bPPaoi2EFjHVy10_rRJ0uvy6YcU"",""X:X""), IMPORTRANGE(""17XjIPGwafStTRf_8bPPaoi2EFjHVy10_rRJ0uvy6YcU"",""AL:AL""))"),254891.0)</f>
        <v>254891</v>
      </c>
      <c r="D8" s="24">
        <f>IFERROR(__xludf.DUMMYFUNCTION("SUMPRODUCT((IMPORTRANGE(""17XjIPGwafStTRf_8bPPaoi2EFjHVy10_rRJ0uvy6YcU"",""M:M"")=B8)*1, IMPORTRANGE(""17XjIPGwafStTRf_8bPPaoi2EFjHVy10_rRJ0uvy6YcU"",""X:X""), IMPORTRANGE(""17XjIPGwafStTRf_8bPPaoi2EFjHVy10_rRJ0uvy6YcU"",""AA:AA"")) + SUMPRODUCT((IMPORTRA"&amp;"NGE(""17XjIPGwafStTRf_8bPPaoi2EFjHVy10_rRJ0uvy6YcU"",""M:M"")=B8)*1, IMPORTRANGE(""17XjIPGwafStTRf_8bPPaoi2EFjHVy10_rRJ0uvy6YcU"",""X:X""), IMPORTRANGE(""17XjIPGwafStTRf_8bPPaoi2EFjHVy10_rRJ0uvy6YcU"",""AE:AE"")) + SUMPRODUCT((IMPORTRANGE(""17XjIPGwafStTR"&amp;"f_8bPPaoi2EFjHVy10_rRJ0uvy6YcU"",""M:M"")=B8)*1, IMPORTRANGE(""17XjIPGwafStTRf_8bPPaoi2EFjHVy10_rRJ0uvy6YcU"",""X:X""), IMPORTRANGE(""17XjIPGwafStTRf_8bPPaoi2EFjHVy10_rRJ0uvy6YcU"",""AF:AF""))"),142663.74100565573)</f>
        <v>142663.741</v>
      </c>
      <c r="E8" s="24">
        <f>IFERROR(__xludf.DUMMYFUNCTION("SUMPRODUCT((IMPORTRANGE(""17XjIPGwafStTRf_8bPPaoi2EFjHVy10_rRJ0uvy6YcU"",""M:M"")=B8)*1, IMPORTRANGE(""17XjIPGwafStTRf_8bPPaoi2EFjHVy10_rRJ0uvy6YcU"",""X:X""), IMPORTRANGE(""17XjIPGwafStTRf_8bPPaoi2EFjHVy10_rRJ0uvy6YcU"",""AO:AO""))"),111581.4738851538)</f>
        <v>111581.4739</v>
      </c>
      <c r="F8" s="25">
        <f>IFERROR(__xludf.DUMMYFUNCTION("SUMPRODUCT((IMPORTRANGE(""17XjIPGwafStTRf_8bPPaoi2EFjHVy10_rRJ0uvy6YcU"",""M:M"")=B8)*1, IMPORTRANGE(""17XjIPGwafStTRf_8bPPaoi2EFjHVy10_rRJ0uvy6YcU"",""X:X""))"),167.0)</f>
        <v>167</v>
      </c>
      <c r="G8" s="26">
        <f>IFERROR(__xludf.DUMMYFUNCTION("COUNTIF(IMPORTRANGE(""17XjIPGwafStTRf_8bPPaoi2EFjHVy10_rRJ0uvy6YcU"",""M:M""), B8)"),12.0)</f>
        <v>12</v>
      </c>
      <c r="H8" s="27">
        <f t="shared" si="1"/>
        <v>13.91666667</v>
      </c>
      <c r="I8" s="28">
        <f t="shared" si="2"/>
        <v>0.437761529</v>
      </c>
      <c r="J8" s="29">
        <f t="shared" si="3"/>
        <v>0.7821291738</v>
      </c>
      <c r="K8" s="30"/>
      <c r="L8" s="31" t="str">
        <f t="shared" si="4"/>
        <v/>
      </c>
      <c r="M8" s="31" t="str">
        <f t="shared" si="5"/>
        <v/>
      </c>
      <c r="N8" s="4"/>
    </row>
    <row r="9">
      <c r="A9" s="1"/>
      <c r="B9" s="23">
        <f t="shared" si="6"/>
        <v>44534</v>
      </c>
      <c r="C9" s="24">
        <f>IFERROR(__xludf.DUMMYFUNCTION("SUMPRODUCT((IMPORTRANGE(""17XjIPGwafStTRf_8bPPaoi2EFjHVy10_rRJ0uvy6YcU"",""M:M"")=B9)*1, IMPORTRANGE(""17XjIPGwafStTRf_8bPPaoi2EFjHVy10_rRJ0uvy6YcU"",""X:X""), IMPORTRANGE(""17XjIPGwafStTRf_8bPPaoi2EFjHVy10_rRJ0uvy6YcU"",""AK:AK"")) - SUMPRODUCT((IMPORTRA"&amp;"NGE(""17XjIPGwafStTRf_8bPPaoi2EFjHVy10_rRJ0uvy6YcU"",""M:M"")=B9)*1, IMPORTRANGE(""17XjIPGwafStTRf_8bPPaoi2EFjHVy10_rRJ0uvy6YcU"",""X:X""), IMPORTRANGE(""17XjIPGwafStTRf_8bPPaoi2EFjHVy10_rRJ0uvy6YcU"",""AL:AL""))"),286721.0)</f>
        <v>286721</v>
      </c>
      <c r="D9" s="24">
        <f>IFERROR(__xludf.DUMMYFUNCTION("SUMPRODUCT((IMPORTRANGE(""17XjIPGwafStTRf_8bPPaoi2EFjHVy10_rRJ0uvy6YcU"",""M:M"")=B9)*1, IMPORTRANGE(""17XjIPGwafStTRf_8bPPaoi2EFjHVy10_rRJ0uvy6YcU"",""X:X""), IMPORTRANGE(""17XjIPGwafStTRf_8bPPaoi2EFjHVy10_rRJ0uvy6YcU"",""AA:AA"")) + SUMPRODUCT((IMPORTRA"&amp;"NGE(""17XjIPGwafStTRf_8bPPaoi2EFjHVy10_rRJ0uvy6YcU"",""M:M"")=B9)*1, IMPORTRANGE(""17XjIPGwafStTRf_8bPPaoi2EFjHVy10_rRJ0uvy6YcU"",""X:X""), IMPORTRANGE(""17XjIPGwafStTRf_8bPPaoi2EFjHVy10_rRJ0uvy6YcU"",""AE:AE"")) + SUMPRODUCT((IMPORTRANGE(""17XjIPGwafStTR"&amp;"f_8bPPaoi2EFjHVy10_rRJ0uvy6YcU"",""M:M"")=B9)*1, IMPORTRANGE(""17XjIPGwafStTRf_8bPPaoi2EFjHVy10_rRJ0uvy6YcU"",""X:X""), IMPORTRANGE(""17XjIPGwafStTRf_8bPPaoi2EFjHVy10_rRJ0uvy6YcU"",""AF:AF""))"),156488.7867162165)</f>
        <v>156488.7867</v>
      </c>
      <c r="E9" s="24">
        <f>IFERROR(__xludf.DUMMYFUNCTION("SUMPRODUCT((IMPORTRANGE(""17XjIPGwafStTRf_8bPPaoi2EFjHVy10_rRJ0uvy6YcU"",""M:M"")=B9)*1, IMPORTRANGE(""17XjIPGwafStTRf_8bPPaoi2EFjHVy10_rRJ0uvy6YcU"",""X:X""), IMPORTRANGE(""17XjIPGwafStTRf_8bPPaoi2EFjHVy10_rRJ0uvy6YcU"",""AO:AO""))"),80404.0132837835)</f>
        <v>80404.01328</v>
      </c>
      <c r="F9" s="25">
        <f>IFERROR(__xludf.DUMMYFUNCTION("SUMPRODUCT((IMPORTRANGE(""17XjIPGwafStTRf_8bPPaoi2EFjHVy10_rRJ0uvy6YcU"",""M:M"")=B9)*1, IMPORTRANGE(""17XjIPGwafStTRf_8bPPaoi2EFjHVy10_rRJ0uvy6YcU"",""X:X""))"),35.0)</f>
        <v>35</v>
      </c>
      <c r="G9" s="26">
        <f>IFERROR(__xludf.DUMMYFUNCTION("COUNTIF(IMPORTRANGE(""17XjIPGwafStTRf_8bPPaoi2EFjHVy10_rRJ0uvy6YcU"",""M:M""), B9)"),16.0)</f>
        <v>16</v>
      </c>
      <c r="H9" s="27">
        <f t="shared" si="1"/>
        <v>2.1875</v>
      </c>
      <c r="I9" s="28">
        <f t="shared" si="2"/>
        <v>0.2804259656</v>
      </c>
      <c r="J9" s="29">
        <f t="shared" si="3"/>
        <v>0.5138004772</v>
      </c>
      <c r="K9" s="32"/>
      <c r="L9" s="31" t="str">
        <f t="shared" si="4"/>
        <v/>
      </c>
      <c r="M9" s="31" t="str">
        <f t="shared" si="5"/>
        <v/>
      </c>
      <c r="N9" s="4"/>
    </row>
    <row r="10">
      <c r="A10" s="1"/>
      <c r="B10" s="23">
        <f t="shared" si="6"/>
        <v>44535</v>
      </c>
      <c r="C10" s="24">
        <f>IFERROR(__xludf.DUMMYFUNCTION("SUMPRODUCT((IMPORTRANGE(""17XjIPGwafStTRf_8bPPaoi2EFjHVy10_rRJ0uvy6YcU"",""M:M"")=B10)*1, IMPORTRANGE(""17XjIPGwafStTRf_8bPPaoi2EFjHVy10_rRJ0uvy6YcU"",""X:X""), IMPORTRANGE(""17XjIPGwafStTRf_8bPPaoi2EFjHVy10_rRJ0uvy6YcU"",""AK:AK"")) - SUMPRODUCT((IMPORTR"&amp;"ANGE(""17XjIPGwafStTRf_8bPPaoi2EFjHVy10_rRJ0uvy6YcU"",""M:M"")=B10)*1, IMPORTRANGE(""17XjIPGwafStTRf_8bPPaoi2EFjHVy10_rRJ0uvy6YcU"",""X:X""), IMPORTRANGE(""17XjIPGwafStTRf_8bPPaoi2EFjHVy10_rRJ0uvy6YcU"",""AL:AL""))"),0.0)</f>
        <v>0</v>
      </c>
      <c r="D10" s="24">
        <f>IFERROR(__xludf.DUMMYFUNCTION("SUMPRODUCT((IMPORTRANGE(""17XjIPGwafStTRf_8bPPaoi2EFjHVy10_rRJ0uvy6YcU"",""M:M"")=B10)*1, IMPORTRANGE(""17XjIPGwafStTRf_8bPPaoi2EFjHVy10_rRJ0uvy6YcU"",""X:X""), IMPORTRANGE(""17XjIPGwafStTRf_8bPPaoi2EFjHVy10_rRJ0uvy6YcU"",""AA:AA"")) + SUMPRODUCT((IMPORTR"&amp;"ANGE(""17XjIPGwafStTRf_8bPPaoi2EFjHVy10_rRJ0uvy6YcU"",""M:M"")=B10)*1, IMPORTRANGE(""17XjIPGwafStTRf_8bPPaoi2EFjHVy10_rRJ0uvy6YcU"",""X:X""), IMPORTRANGE(""17XjIPGwafStTRf_8bPPaoi2EFjHVy10_rRJ0uvy6YcU"",""AE:AE"")) + SUMPRODUCT((IMPORTRANGE(""17XjIPGwafSt"&amp;"TRf_8bPPaoi2EFjHVy10_rRJ0uvy6YcU"",""M:M"")=B10)*1, IMPORTRANGE(""17XjIPGwafStTRf_8bPPaoi2EFjHVy10_rRJ0uvy6YcU"",""X:X""), IMPORTRANGE(""17XjIPGwafStTRf_8bPPaoi2EFjHVy10_rRJ0uvy6YcU"",""AF:AF""))"),0.0)</f>
        <v>0</v>
      </c>
      <c r="E10" s="24">
        <f>IFERROR(__xludf.DUMMYFUNCTION("SUMPRODUCT((IMPORTRANGE(""17XjIPGwafStTRf_8bPPaoi2EFjHVy10_rRJ0uvy6YcU"",""M:M"")=B10)*1, IMPORTRANGE(""17XjIPGwafStTRf_8bPPaoi2EFjHVy10_rRJ0uvy6YcU"",""X:X""), IMPORTRANGE(""17XjIPGwafStTRf_8bPPaoi2EFjHVy10_rRJ0uvy6YcU"",""AO:AO""))"),0.0)</f>
        <v>0</v>
      </c>
      <c r="F10" s="25">
        <f>IFERROR(__xludf.DUMMYFUNCTION("SUMPRODUCT((IMPORTRANGE(""17XjIPGwafStTRf_8bPPaoi2EFjHVy10_rRJ0uvy6YcU"",""M:M"")=B10)*1, IMPORTRANGE(""17XjIPGwafStTRf_8bPPaoi2EFjHVy10_rRJ0uvy6YcU"",""X:X""))"),0.0)</f>
        <v>0</v>
      </c>
      <c r="G10" s="26">
        <f>IFERROR(__xludf.DUMMYFUNCTION("COUNTIF(IMPORTRANGE(""17XjIPGwafStTRf_8bPPaoi2EFjHVy10_rRJ0uvy6YcU"",""M:M""), B10)"),0.0)</f>
        <v>0</v>
      </c>
      <c r="H10" s="27" t="str">
        <f t="shared" si="1"/>
        <v/>
      </c>
      <c r="I10" s="28" t="str">
        <f t="shared" si="2"/>
        <v/>
      </c>
      <c r="J10" s="29" t="str">
        <f t="shared" si="3"/>
        <v/>
      </c>
      <c r="K10" s="32"/>
      <c r="L10" s="31" t="str">
        <f t="shared" si="4"/>
        <v/>
      </c>
      <c r="M10" s="31" t="str">
        <f t="shared" si="5"/>
        <v/>
      </c>
      <c r="N10" s="4"/>
    </row>
    <row r="11">
      <c r="A11" s="1"/>
      <c r="B11" s="23">
        <f t="shared" si="6"/>
        <v>44536</v>
      </c>
      <c r="C11" s="24">
        <f>IFERROR(__xludf.DUMMYFUNCTION("SUMPRODUCT((IMPORTRANGE(""17XjIPGwafStTRf_8bPPaoi2EFjHVy10_rRJ0uvy6YcU"",""M:M"")=B11)*1, IMPORTRANGE(""17XjIPGwafStTRf_8bPPaoi2EFjHVy10_rRJ0uvy6YcU"",""X:X""), IMPORTRANGE(""17XjIPGwafStTRf_8bPPaoi2EFjHVy10_rRJ0uvy6YcU"",""AK:AK"")) - SUMPRODUCT((IMPORTR"&amp;"ANGE(""17XjIPGwafStTRf_8bPPaoi2EFjHVy10_rRJ0uvy6YcU"",""M:M"")=B11)*1, IMPORTRANGE(""17XjIPGwafStTRf_8bPPaoi2EFjHVy10_rRJ0uvy6YcU"",""X:X""), IMPORTRANGE(""17XjIPGwafStTRf_8bPPaoi2EFjHVy10_rRJ0uvy6YcU"",""AL:AL""))"),1172498.0)</f>
        <v>1172498</v>
      </c>
      <c r="D11" s="24">
        <f>IFERROR(__xludf.DUMMYFUNCTION("SUMPRODUCT((IMPORTRANGE(""17XjIPGwafStTRf_8bPPaoi2EFjHVy10_rRJ0uvy6YcU"",""M:M"")=B11)*1, IMPORTRANGE(""17XjIPGwafStTRf_8bPPaoi2EFjHVy10_rRJ0uvy6YcU"",""X:X""), IMPORTRANGE(""17XjIPGwafStTRf_8bPPaoi2EFjHVy10_rRJ0uvy6YcU"",""AA:AA"")) + SUMPRODUCT((IMPORTR"&amp;"ANGE(""17XjIPGwafStTRf_8bPPaoi2EFjHVy10_rRJ0uvy6YcU"",""M:M"")=B11)*1, IMPORTRANGE(""17XjIPGwafStTRf_8bPPaoi2EFjHVy10_rRJ0uvy6YcU"",""X:X""), IMPORTRANGE(""17XjIPGwafStTRf_8bPPaoi2EFjHVy10_rRJ0uvy6YcU"",""AE:AE"")) + SUMPRODUCT((IMPORTRANGE(""17XjIPGwafSt"&amp;"TRf_8bPPaoi2EFjHVy10_rRJ0uvy6YcU"",""M:M"")=B11)*1, IMPORTRANGE(""17XjIPGwafStTRf_8bPPaoi2EFjHVy10_rRJ0uvy6YcU"",""X:X""), IMPORTRANGE(""17XjIPGwafStTRf_8bPPaoi2EFjHVy10_rRJ0uvy6YcU"",""AF:AF""))"),723802.1764441404)</f>
        <v>723802.1764</v>
      </c>
      <c r="E11" s="24">
        <f>IFERROR(__xludf.DUMMYFUNCTION("SUMPRODUCT((IMPORTRANGE(""17XjIPGwafStTRf_8bPPaoi2EFjHVy10_rRJ0uvy6YcU"",""M:M"")=B11)*1, IMPORTRANGE(""17XjIPGwafStTRf_8bPPaoi2EFjHVy10_rRJ0uvy6YcU"",""X:X""), IMPORTRANGE(""17XjIPGwafStTRf_8bPPaoi2EFjHVy10_rRJ0uvy6YcU"",""AO:AO""))"),251378.61843047812)</f>
        <v>251378.6184</v>
      </c>
      <c r="F11" s="25">
        <f>IFERROR(__xludf.DUMMYFUNCTION("SUMPRODUCT((IMPORTRANGE(""17XjIPGwafStTRf_8bPPaoi2EFjHVy10_rRJ0uvy6YcU"",""M:M"")=B11)*1, IMPORTRANGE(""17XjIPGwafStTRf_8bPPaoi2EFjHVy10_rRJ0uvy6YcU"",""X:X""))"),186.0)</f>
        <v>186</v>
      </c>
      <c r="G11" s="26">
        <f>IFERROR(__xludf.DUMMYFUNCTION("COUNTIF(IMPORTRANGE(""17XjIPGwafStTRf_8bPPaoi2EFjHVy10_rRJ0uvy6YcU"",""M:M""), B11)"),89.0)</f>
        <v>89</v>
      </c>
      <c r="H11" s="27">
        <f t="shared" si="1"/>
        <v>2.08988764</v>
      </c>
      <c r="I11" s="28">
        <f t="shared" si="2"/>
        <v>0.2143957759</v>
      </c>
      <c r="J11" s="29">
        <f t="shared" si="3"/>
        <v>0.3473029325</v>
      </c>
      <c r="K11" s="30"/>
      <c r="L11" s="31" t="str">
        <f t="shared" si="4"/>
        <v/>
      </c>
      <c r="M11" s="31" t="str">
        <f t="shared" si="5"/>
        <v/>
      </c>
      <c r="N11" s="4"/>
    </row>
    <row r="12">
      <c r="A12" s="1"/>
      <c r="B12" s="23">
        <f t="shared" si="6"/>
        <v>44537</v>
      </c>
      <c r="C12" s="24">
        <f>IFERROR(__xludf.DUMMYFUNCTION("SUMPRODUCT((IMPORTRANGE(""17XjIPGwafStTRf_8bPPaoi2EFjHVy10_rRJ0uvy6YcU"",""M:M"")=B12)*1, IMPORTRANGE(""17XjIPGwafStTRf_8bPPaoi2EFjHVy10_rRJ0uvy6YcU"",""X:X""), IMPORTRANGE(""17XjIPGwafStTRf_8bPPaoi2EFjHVy10_rRJ0uvy6YcU"",""AK:AK"")) - SUMPRODUCT((IMPORTR"&amp;"ANGE(""17XjIPGwafStTRf_8bPPaoi2EFjHVy10_rRJ0uvy6YcU"",""M:M"")=B12)*1, IMPORTRANGE(""17XjIPGwafStTRf_8bPPaoi2EFjHVy10_rRJ0uvy6YcU"",""X:X""), IMPORTRANGE(""17XjIPGwafStTRf_8bPPaoi2EFjHVy10_rRJ0uvy6YcU"",""AL:AL""))"),337471.0)</f>
        <v>337471</v>
      </c>
      <c r="D12" s="24">
        <f>IFERROR(__xludf.DUMMYFUNCTION("SUMPRODUCT((IMPORTRANGE(""17XjIPGwafStTRf_8bPPaoi2EFjHVy10_rRJ0uvy6YcU"",""M:M"")=B12)*1, IMPORTRANGE(""17XjIPGwafStTRf_8bPPaoi2EFjHVy10_rRJ0uvy6YcU"",""X:X""), IMPORTRANGE(""17XjIPGwafStTRf_8bPPaoi2EFjHVy10_rRJ0uvy6YcU"",""AA:AA"")) + SUMPRODUCT((IMPORTR"&amp;"ANGE(""17XjIPGwafStTRf_8bPPaoi2EFjHVy10_rRJ0uvy6YcU"",""M:M"")=B12)*1, IMPORTRANGE(""17XjIPGwafStTRf_8bPPaoi2EFjHVy10_rRJ0uvy6YcU"",""X:X""), IMPORTRANGE(""17XjIPGwafStTRf_8bPPaoi2EFjHVy10_rRJ0uvy6YcU"",""AE:AE"")) + SUMPRODUCT((IMPORTRANGE(""17XjIPGwafSt"&amp;"TRf_8bPPaoi2EFjHVy10_rRJ0uvy6YcU"",""M:M"")=B12)*1, IMPORTRANGE(""17XjIPGwafStTRf_8bPPaoi2EFjHVy10_rRJ0uvy6YcU"",""X:X""), IMPORTRANGE(""17XjIPGwafStTRf_8bPPaoi2EFjHVy10_rRJ0uvy6YcU"",""AF:AF""))"),218408.06779729662)</f>
        <v>218408.0678</v>
      </c>
      <c r="E12" s="24">
        <f>IFERROR(__xludf.DUMMYFUNCTION("SUMPRODUCT((IMPORTRANGE(""17XjIPGwafStTRf_8bPPaoi2EFjHVy10_rRJ0uvy6YcU"",""M:M"")=B12)*1, IMPORTRANGE(""17XjIPGwafStTRf_8bPPaoi2EFjHVy10_rRJ0uvy6YcU"",""X:X""), IMPORTRANGE(""17XjIPGwafStTRf_8bPPaoi2EFjHVy10_rRJ0uvy6YcU"",""AO:AO""))"),75770.93220270333)</f>
        <v>75770.9322</v>
      </c>
      <c r="F12" s="25">
        <f>IFERROR(__xludf.DUMMYFUNCTION("SUMPRODUCT((IMPORTRANGE(""17XjIPGwafStTRf_8bPPaoi2EFjHVy10_rRJ0uvy6YcU"",""M:M"")=B12)*1, IMPORTRANGE(""17XjIPGwafStTRf_8bPPaoi2EFjHVy10_rRJ0uvy6YcU"",""X:X""))"),34.0)</f>
        <v>34</v>
      </c>
      <c r="G12" s="26">
        <f>IFERROR(__xludf.DUMMYFUNCTION("COUNTIF(IMPORTRANGE(""17XjIPGwafStTRf_8bPPaoi2EFjHVy10_rRJ0uvy6YcU"",""M:M""), B12)"),14.0)</f>
        <v>14</v>
      </c>
      <c r="H12" s="27">
        <f t="shared" si="1"/>
        <v>2.428571429</v>
      </c>
      <c r="I12" s="28">
        <f t="shared" si="2"/>
        <v>0.2245257584</v>
      </c>
      <c r="J12" s="29">
        <f t="shared" si="3"/>
        <v>0.3469236872</v>
      </c>
      <c r="K12" s="32"/>
      <c r="L12" s="31" t="str">
        <f t="shared" si="4"/>
        <v/>
      </c>
      <c r="M12" s="31" t="str">
        <f t="shared" si="5"/>
        <v/>
      </c>
      <c r="N12" s="4"/>
    </row>
    <row r="13">
      <c r="A13" s="1"/>
      <c r="B13" s="23">
        <f t="shared" si="6"/>
        <v>44538</v>
      </c>
      <c r="C13" s="24">
        <f>IFERROR(__xludf.DUMMYFUNCTION("SUMPRODUCT((IMPORTRANGE(""17XjIPGwafStTRf_8bPPaoi2EFjHVy10_rRJ0uvy6YcU"",""M:M"")=B13)*1, IMPORTRANGE(""17XjIPGwafStTRf_8bPPaoi2EFjHVy10_rRJ0uvy6YcU"",""X:X""), IMPORTRANGE(""17XjIPGwafStTRf_8bPPaoi2EFjHVy10_rRJ0uvy6YcU"",""AK:AK"")) - SUMPRODUCT((IMPORTR"&amp;"ANGE(""17XjIPGwafStTRf_8bPPaoi2EFjHVy10_rRJ0uvy6YcU"",""M:M"")=B13)*1, IMPORTRANGE(""17XjIPGwafStTRf_8bPPaoi2EFjHVy10_rRJ0uvy6YcU"",""X:X""), IMPORTRANGE(""17XjIPGwafStTRf_8bPPaoi2EFjHVy10_rRJ0uvy6YcU"",""AL:AL""))"),0.0)</f>
        <v>0</v>
      </c>
      <c r="D13" s="24">
        <f>IFERROR(__xludf.DUMMYFUNCTION("SUMPRODUCT((IMPORTRANGE(""17XjIPGwafStTRf_8bPPaoi2EFjHVy10_rRJ0uvy6YcU"",""M:M"")=B13)*1, IMPORTRANGE(""17XjIPGwafStTRf_8bPPaoi2EFjHVy10_rRJ0uvy6YcU"",""X:X""), IMPORTRANGE(""17XjIPGwafStTRf_8bPPaoi2EFjHVy10_rRJ0uvy6YcU"",""AA:AA"")) + SUMPRODUCT((IMPORTR"&amp;"ANGE(""17XjIPGwafStTRf_8bPPaoi2EFjHVy10_rRJ0uvy6YcU"",""M:M"")=B13)*1, IMPORTRANGE(""17XjIPGwafStTRf_8bPPaoi2EFjHVy10_rRJ0uvy6YcU"",""X:X""), IMPORTRANGE(""17XjIPGwafStTRf_8bPPaoi2EFjHVy10_rRJ0uvy6YcU"",""AE:AE"")) + SUMPRODUCT((IMPORTRANGE(""17XjIPGwafSt"&amp;"TRf_8bPPaoi2EFjHVy10_rRJ0uvy6YcU"",""M:M"")=B13)*1, IMPORTRANGE(""17XjIPGwafStTRf_8bPPaoi2EFjHVy10_rRJ0uvy6YcU"",""X:X""), IMPORTRANGE(""17XjIPGwafStTRf_8bPPaoi2EFjHVy10_rRJ0uvy6YcU"",""AF:AF""))"),0.0)</f>
        <v>0</v>
      </c>
      <c r="E13" s="24">
        <f>IFERROR(__xludf.DUMMYFUNCTION("SUMPRODUCT((IMPORTRANGE(""17XjIPGwafStTRf_8bPPaoi2EFjHVy10_rRJ0uvy6YcU"",""M:M"")=B13)*1, IMPORTRANGE(""17XjIPGwafStTRf_8bPPaoi2EFjHVy10_rRJ0uvy6YcU"",""X:X""), IMPORTRANGE(""17XjIPGwafStTRf_8bPPaoi2EFjHVy10_rRJ0uvy6YcU"",""AO:AO""))"),0.0)</f>
        <v>0</v>
      </c>
      <c r="F13" s="25">
        <f>IFERROR(__xludf.DUMMYFUNCTION("SUMPRODUCT((IMPORTRANGE(""17XjIPGwafStTRf_8bPPaoi2EFjHVy10_rRJ0uvy6YcU"",""M:M"")=B13)*1, IMPORTRANGE(""17XjIPGwafStTRf_8bPPaoi2EFjHVy10_rRJ0uvy6YcU"",""X:X""))"),0.0)</f>
        <v>0</v>
      </c>
      <c r="G13" s="26">
        <f>IFERROR(__xludf.DUMMYFUNCTION("COUNTIF(IMPORTRANGE(""17XjIPGwafStTRf_8bPPaoi2EFjHVy10_rRJ0uvy6YcU"",""M:M""), B13)"),0.0)</f>
        <v>0</v>
      </c>
      <c r="H13" s="27" t="str">
        <f t="shared" si="1"/>
        <v/>
      </c>
      <c r="I13" s="28" t="str">
        <f t="shared" si="2"/>
        <v/>
      </c>
      <c r="J13" s="29" t="str">
        <f t="shared" si="3"/>
        <v/>
      </c>
      <c r="K13" s="32"/>
      <c r="L13" s="31" t="str">
        <f t="shared" si="4"/>
        <v/>
      </c>
      <c r="M13" s="31" t="str">
        <f t="shared" si="5"/>
        <v/>
      </c>
      <c r="N13" s="4"/>
    </row>
    <row r="14">
      <c r="A14" s="1"/>
      <c r="B14" s="23">
        <f t="shared" si="6"/>
        <v>44539</v>
      </c>
      <c r="C14" s="24">
        <f>IFERROR(__xludf.DUMMYFUNCTION("SUMPRODUCT((IMPORTRANGE(""17XjIPGwafStTRf_8bPPaoi2EFjHVy10_rRJ0uvy6YcU"",""M:M"")=B14)*1, IMPORTRANGE(""17XjIPGwafStTRf_8bPPaoi2EFjHVy10_rRJ0uvy6YcU"",""X:X""), IMPORTRANGE(""17XjIPGwafStTRf_8bPPaoi2EFjHVy10_rRJ0uvy6YcU"",""AK:AK"")) - SUMPRODUCT((IMPORTR"&amp;"ANGE(""17XjIPGwafStTRf_8bPPaoi2EFjHVy10_rRJ0uvy6YcU"",""M:M"")=B14)*1, IMPORTRANGE(""17XjIPGwafStTRf_8bPPaoi2EFjHVy10_rRJ0uvy6YcU"",""X:X""), IMPORTRANGE(""17XjIPGwafStTRf_8bPPaoi2EFjHVy10_rRJ0uvy6YcU"",""AL:AL""))"),472958.0)</f>
        <v>472958</v>
      </c>
      <c r="D14" s="24">
        <f>IFERROR(__xludf.DUMMYFUNCTION("SUMPRODUCT((IMPORTRANGE(""17XjIPGwafStTRf_8bPPaoi2EFjHVy10_rRJ0uvy6YcU"",""M:M"")=B14)*1, IMPORTRANGE(""17XjIPGwafStTRf_8bPPaoi2EFjHVy10_rRJ0uvy6YcU"",""X:X""), IMPORTRANGE(""17XjIPGwafStTRf_8bPPaoi2EFjHVy10_rRJ0uvy6YcU"",""AA:AA"")) + SUMPRODUCT((IMPORTR"&amp;"ANGE(""17XjIPGwafStTRf_8bPPaoi2EFjHVy10_rRJ0uvy6YcU"",""M:M"")=B14)*1, IMPORTRANGE(""17XjIPGwafStTRf_8bPPaoi2EFjHVy10_rRJ0uvy6YcU"",""X:X""), IMPORTRANGE(""17XjIPGwafStTRf_8bPPaoi2EFjHVy10_rRJ0uvy6YcU"",""AE:AE"")) + SUMPRODUCT((IMPORTRANGE(""17XjIPGwafSt"&amp;"TRf_8bPPaoi2EFjHVy10_rRJ0uvy6YcU"",""M:M"")=B14)*1, IMPORTRANGE(""17XjIPGwafStTRf_8bPPaoi2EFjHVy10_rRJ0uvy6YcU"",""X:X""), IMPORTRANGE(""17XjIPGwafStTRf_8bPPaoi2EFjHVy10_rRJ0uvy6YcU"",""AF:AF""))"),297272.06956418423)</f>
        <v>297272.0696</v>
      </c>
      <c r="E14" s="24">
        <f>IFERROR(__xludf.DUMMYFUNCTION("SUMPRODUCT((IMPORTRANGE(""17XjIPGwafStTRf_8bPPaoi2EFjHVy10_rRJ0uvy6YcU"",""M:M"")=B14)*1, IMPORTRANGE(""17XjIPGwafStTRf_8bPPaoi2EFjHVy10_rRJ0uvy6YcU"",""X:X""), IMPORTRANGE(""17XjIPGwafStTRf_8bPPaoi2EFjHVy10_rRJ0uvy6YcU"",""AO:AO""))"),97109.04325294645)</f>
        <v>97109.04325</v>
      </c>
      <c r="F14" s="25">
        <f>IFERROR(__xludf.DUMMYFUNCTION("SUMPRODUCT((IMPORTRANGE(""17XjIPGwafStTRf_8bPPaoi2EFjHVy10_rRJ0uvy6YcU"",""M:M"")=B14)*1, IMPORTRANGE(""17XjIPGwafStTRf_8bPPaoi2EFjHVy10_rRJ0uvy6YcU"",""X:X""))"),60.0)</f>
        <v>60</v>
      </c>
      <c r="G14" s="26">
        <f>IFERROR(__xludf.DUMMYFUNCTION("COUNTIF(IMPORTRANGE(""17XjIPGwafStTRf_8bPPaoi2EFjHVy10_rRJ0uvy6YcU"",""M:M""), B14)"),38.0)</f>
        <v>38</v>
      </c>
      <c r="H14" s="27">
        <f t="shared" si="1"/>
        <v>1.578947368</v>
      </c>
      <c r="I14" s="28">
        <f t="shared" si="2"/>
        <v>0.2053227628</v>
      </c>
      <c r="J14" s="29">
        <f t="shared" si="3"/>
        <v>0.3266672291</v>
      </c>
      <c r="K14" s="32"/>
      <c r="L14" s="31" t="str">
        <f t="shared" si="4"/>
        <v/>
      </c>
      <c r="M14" s="31" t="str">
        <f t="shared" si="5"/>
        <v/>
      </c>
      <c r="N14" s="4"/>
    </row>
    <row r="15">
      <c r="A15" s="1"/>
      <c r="B15" s="23">
        <f t="shared" si="6"/>
        <v>44540</v>
      </c>
      <c r="C15" s="24">
        <f>IFERROR(__xludf.DUMMYFUNCTION("SUMPRODUCT((IMPORTRANGE(""17XjIPGwafStTRf_8bPPaoi2EFjHVy10_rRJ0uvy6YcU"",""M:M"")=B15)*1, IMPORTRANGE(""17XjIPGwafStTRf_8bPPaoi2EFjHVy10_rRJ0uvy6YcU"",""X:X""), IMPORTRANGE(""17XjIPGwafStTRf_8bPPaoi2EFjHVy10_rRJ0uvy6YcU"",""AK:AK"")) - SUMPRODUCT((IMPORTR"&amp;"ANGE(""17XjIPGwafStTRf_8bPPaoi2EFjHVy10_rRJ0uvy6YcU"",""M:M"")=B15)*1, IMPORTRANGE(""17XjIPGwafStTRf_8bPPaoi2EFjHVy10_rRJ0uvy6YcU"",""X:X""), IMPORTRANGE(""17XjIPGwafStTRf_8bPPaoi2EFjHVy10_rRJ0uvy6YcU"",""AL:AL""))"),0.0)</f>
        <v>0</v>
      </c>
      <c r="D15" s="24">
        <f>IFERROR(__xludf.DUMMYFUNCTION("SUMPRODUCT((IMPORTRANGE(""17XjIPGwafStTRf_8bPPaoi2EFjHVy10_rRJ0uvy6YcU"",""M:M"")=B15)*1, IMPORTRANGE(""17XjIPGwafStTRf_8bPPaoi2EFjHVy10_rRJ0uvy6YcU"",""X:X""), IMPORTRANGE(""17XjIPGwafStTRf_8bPPaoi2EFjHVy10_rRJ0uvy6YcU"",""AA:AA"")) + SUMPRODUCT((IMPORTR"&amp;"ANGE(""17XjIPGwafStTRf_8bPPaoi2EFjHVy10_rRJ0uvy6YcU"",""M:M"")=B15)*1, IMPORTRANGE(""17XjIPGwafStTRf_8bPPaoi2EFjHVy10_rRJ0uvy6YcU"",""X:X""), IMPORTRANGE(""17XjIPGwafStTRf_8bPPaoi2EFjHVy10_rRJ0uvy6YcU"",""AE:AE"")) + SUMPRODUCT((IMPORTRANGE(""17XjIPGwafSt"&amp;"TRf_8bPPaoi2EFjHVy10_rRJ0uvy6YcU"",""M:M"")=B15)*1, IMPORTRANGE(""17XjIPGwafStTRf_8bPPaoi2EFjHVy10_rRJ0uvy6YcU"",""X:X""), IMPORTRANGE(""17XjIPGwafStTRf_8bPPaoi2EFjHVy10_rRJ0uvy6YcU"",""AF:AF""))"),0.0)</f>
        <v>0</v>
      </c>
      <c r="E15" s="24">
        <f>IFERROR(__xludf.DUMMYFUNCTION("SUMPRODUCT((IMPORTRANGE(""17XjIPGwafStTRf_8bPPaoi2EFjHVy10_rRJ0uvy6YcU"",""M:M"")=B15)*1, IMPORTRANGE(""17XjIPGwafStTRf_8bPPaoi2EFjHVy10_rRJ0uvy6YcU"",""X:X""), IMPORTRANGE(""17XjIPGwafStTRf_8bPPaoi2EFjHVy10_rRJ0uvy6YcU"",""AO:AO""))"),0.0)</f>
        <v>0</v>
      </c>
      <c r="F15" s="25">
        <f>IFERROR(__xludf.DUMMYFUNCTION("SUMPRODUCT((IMPORTRANGE(""17XjIPGwafStTRf_8bPPaoi2EFjHVy10_rRJ0uvy6YcU"",""M:M"")=B15)*1, IMPORTRANGE(""17XjIPGwafStTRf_8bPPaoi2EFjHVy10_rRJ0uvy6YcU"",""X:X""))"),0.0)</f>
        <v>0</v>
      </c>
      <c r="G15" s="26">
        <f>IFERROR(__xludf.DUMMYFUNCTION("COUNTIF(IMPORTRANGE(""17XjIPGwafStTRf_8bPPaoi2EFjHVy10_rRJ0uvy6YcU"",""M:M""), B15)"),0.0)</f>
        <v>0</v>
      </c>
      <c r="H15" s="27" t="str">
        <f t="shared" si="1"/>
        <v/>
      </c>
      <c r="I15" s="28" t="str">
        <f t="shared" si="2"/>
        <v/>
      </c>
      <c r="J15" s="29" t="str">
        <f t="shared" si="3"/>
        <v/>
      </c>
      <c r="K15" s="30"/>
      <c r="L15" s="31" t="str">
        <f t="shared" si="4"/>
        <v/>
      </c>
      <c r="M15" s="31" t="str">
        <f t="shared" si="5"/>
        <v/>
      </c>
      <c r="N15" s="4"/>
    </row>
    <row r="16">
      <c r="A16" s="1"/>
      <c r="B16" s="23">
        <f t="shared" si="6"/>
        <v>44541</v>
      </c>
      <c r="C16" s="24">
        <f>IFERROR(__xludf.DUMMYFUNCTION("SUMPRODUCT((IMPORTRANGE(""17XjIPGwafStTRf_8bPPaoi2EFjHVy10_rRJ0uvy6YcU"",""M:M"")=B16)*1, IMPORTRANGE(""17XjIPGwafStTRf_8bPPaoi2EFjHVy10_rRJ0uvy6YcU"",""X:X""), IMPORTRANGE(""17XjIPGwafStTRf_8bPPaoi2EFjHVy10_rRJ0uvy6YcU"",""AK:AK"")) - SUMPRODUCT((IMPORTR"&amp;"ANGE(""17XjIPGwafStTRf_8bPPaoi2EFjHVy10_rRJ0uvy6YcU"",""M:M"")=B16)*1, IMPORTRANGE(""17XjIPGwafStTRf_8bPPaoi2EFjHVy10_rRJ0uvy6YcU"",""X:X""), IMPORTRANGE(""17XjIPGwafStTRf_8bPPaoi2EFjHVy10_rRJ0uvy6YcU"",""AL:AL""))"),392827.0)</f>
        <v>392827</v>
      </c>
      <c r="D16" s="24">
        <f>IFERROR(__xludf.DUMMYFUNCTION("SUMPRODUCT((IMPORTRANGE(""17XjIPGwafStTRf_8bPPaoi2EFjHVy10_rRJ0uvy6YcU"",""M:M"")=B16)*1, IMPORTRANGE(""17XjIPGwafStTRf_8bPPaoi2EFjHVy10_rRJ0uvy6YcU"",""X:X""), IMPORTRANGE(""17XjIPGwafStTRf_8bPPaoi2EFjHVy10_rRJ0uvy6YcU"",""AA:AA"")) + SUMPRODUCT((IMPORTR"&amp;"ANGE(""17XjIPGwafStTRf_8bPPaoi2EFjHVy10_rRJ0uvy6YcU"",""M:M"")=B16)*1, IMPORTRANGE(""17XjIPGwafStTRf_8bPPaoi2EFjHVy10_rRJ0uvy6YcU"",""X:X""), IMPORTRANGE(""17XjIPGwafStTRf_8bPPaoi2EFjHVy10_rRJ0uvy6YcU"",""AE:AE"")) + SUMPRODUCT((IMPORTRANGE(""17XjIPGwafSt"&amp;"TRf_8bPPaoi2EFjHVy10_rRJ0uvy6YcU"",""M:M"")=B16)*1, IMPORTRANGE(""17XjIPGwafStTRf_8bPPaoi2EFjHVy10_rRJ0uvy6YcU"",""X:X""), IMPORTRANGE(""17XjIPGwafStTRf_8bPPaoi2EFjHVy10_rRJ0uvy6YcU"",""AF:AF""))"),209360.64232172657)</f>
        <v>209360.6423</v>
      </c>
      <c r="E16" s="24">
        <f>IFERROR(__xludf.DUMMYFUNCTION("SUMPRODUCT((IMPORTRANGE(""17XjIPGwafStTRf_8bPPaoi2EFjHVy10_rRJ0uvy6YcU"",""M:M"")=B16)*1, IMPORTRANGE(""17XjIPGwafStTRf_8bPPaoi2EFjHVy10_rRJ0uvy6YcU"",""X:X""), IMPORTRANGE(""17XjIPGwafStTRf_8bPPaoi2EFjHVy10_rRJ0uvy6YcU"",""AO:AO""))"),114780.33090067584)</f>
        <v>114780.3309</v>
      </c>
      <c r="F16" s="25">
        <f>IFERROR(__xludf.DUMMYFUNCTION("SUMPRODUCT((IMPORTRANGE(""17XjIPGwafStTRf_8bPPaoi2EFjHVy10_rRJ0uvy6YcU"",""M:M"")=B16)*1, IMPORTRANGE(""17XjIPGwafStTRf_8bPPaoi2EFjHVy10_rRJ0uvy6YcU"",""X:X""))"),64.0)</f>
        <v>64</v>
      </c>
      <c r="G16" s="26">
        <f>IFERROR(__xludf.DUMMYFUNCTION("COUNTIF(IMPORTRANGE(""17XjIPGwafStTRf_8bPPaoi2EFjHVy10_rRJ0uvy6YcU"",""M:M""), B16)"),28.0)</f>
        <v>28</v>
      </c>
      <c r="H16" s="27">
        <f t="shared" si="1"/>
        <v>2.285714286</v>
      </c>
      <c r="I16" s="28">
        <f t="shared" si="2"/>
        <v>0.292190534</v>
      </c>
      <c r="J16" s="29">
        <f t="shared" si="3"/>
        <v>0.5482421606</v>
      </c>
      <c r="K16" s="32"/>
      <c r="L16" s="31" t="str">
        <f t="shared" si="4"/>
        <v/>
      </c>
      <c r="M16" s="31" t="str">
        <f t="shared" si="5"/>
        <v/>
      </c>
      <c r="N16" s="4"/>
    </row>
    <row r="17">
      <c r="A17" s="1"/>
      <c r="B17" s="23">
        <f t="shared" si="6"/>
        <v>44542</v>
      </c>
      <c r="C17" s="24">
        <f>IFERROR(__xludf.DUMMYFUNCTION("SUMPRODUCT((IMPORTRANGE(""17XjIPGwafStTRf_8bPPaoi2EFjHVy10_rRJ0uvy6YcU"",""M:M"")=B17)*1, IMPORTRANGE(""17XjIPGwafStTRf_8bPPaoi2EFjHVy10_rRJ0uvy6YcU"",""X:X""), IMPORTRANGE(""17XjIPGwafStTRf_8bPPaoi2EFjHVy10_rRJ0uvy6YcU"",""AK:AK"")) - SUMPRODUCT((IMPORTR"&amp;"ANGE(""17XjIPGwafStTRf_8bPPaoi2EFjHVy10_rRJ0uvy6YcU"",""M:M"")=B17)*1, IMPORTRANGE(""17XjIPGwafStTRf_8bPPaoi2EFjHVy10_rRJ0uvy6YcU"",""X:X""), IMPORTRANGE(""17XjIPGwafStTRf_8bPPaoi2EFjHVy10_rRJ0uvy6YcU"",""AL:AL""))"),69265.0)</f>
        <v>69265</v>
      </c>
      <c r="D17" s="24">
        <f>IFERROR(__xludf.DUMMYFUNCTION("SUMPRODUCT((IMPORTRANGE(""17XjIPGwafStTRf_8bPPaoi2EFjHVy10_rRJ0uvy6YcU"",""M:M"")=B17)*1, IMPORTRANGE(""17XjIPGwafStTRf_8bPPaoi2EFjHVy10_rRJ0uvy6YcU"",""X:X""), IMPORTRANGE(""17XjIPGwafStTRf_8bPPaoi2EFjHVy10_rRJ0uvy6YcU"",""AA:AA"")) + SUMPRODUCT((IMPORTR"&amp;"ANGE(""17XjIPGwafStTRf_8bPPaoi2EFjHVy10_rRJ0uvy6YcU"",""M:M"")=B17)*1, IMPORTRANGE(""17XjIPGwafStTRf_8bPPaoi2EFjHVy10_rRJ0uvy6YcU"",""X:X""), IMPORTRANGE(""17XjIPGwafStTRf_8bPPaoi2EFjHVy10_rRJ0uvy6YcU"",""AE:AE"")) + SUMPRODUCT((IMPORTRANGE(""17XjIPGwafSt"&amp;"TRf_8bPPaoi2EFjHVy10_rRJ0uvy6YcU"",""M:M"")=B17)*1, IMPORTRANGE(""17XjIPGwafStTRf_8bPPaoi2EFjHVy10_rRJ0uvy6YcU"",""X:X""), IMPORTRANGE(""17XjIPGwafStTRf_8bPPaoi2EFjHVy10_rRJ0uvy6YcU"",""AF:AF""))"),50106.445977515046)</f>
        <v>50106.44598</v>
      </c>
      <c r="E17" s="24">
        <f>IFERROR(__xludf.DUMMYFUNCTION("SUMPRODUCT((IMPORTRANGE(""17XjIPGwafStTRf_8bPPaoi2EFjHVy10_rRJ0uvy6YcU"",""M:M"")=B17)*1, IMPORTRANGE(""17XjIPGwafStTRf_8bPPaoi2EFjHVy10_rRJ0uvy6YcU"",""X:X""), IMPORTRANGE(""17XjIPGwafStTRf_8bPPaoi2EFjHVy10_rRJ0uvy6YcU"",""AO:AO""))"),4723.762129122617)</f>
        <v>4723.762129</v>
      </c>
      <c r="F17" s="25">
        <f>IFERROR(__xludf.DUMMYFUNCTION("SUMPRODUCT((IMPORTRANGE(""17XjIPGwafStTRf_8bPPaoi2EFjHVy10_rRJ0uvy6YcU"",""M:M"")=B17)*1, IMPORTRANGE(""17XjIPGwafStTRf_8bPPaoi2EFjHVy10_rRJ0uvy6YcU"",""X:X""))"),17.0)</f>
        <v>17</v>
      </c>
      <c r="G17" s="26">
        <f>IFERROR(__xludf.DUMMYFUNCTION("COUNTIF(IMPORTRANGE(""17XjIPGwafStTRf_8bPPaoi2EFjHVy10_rRJ0uvy6YcU"",""M:M""), B17)"),8.0)</f>
        <v>8</v>
      </c>
      <c r="H17" s="27">
        <f t="shared" si="1"/>
        <v>2.125</v>
      </c>
      <c r="I17" s="28">
        <f t="shared" si="2"/>
        <v>0.06819839932</v>
      </c>
      <c r="J17" s="29">
        <f t="shared" si="3"/>
        <v>0.09427453967</v>
      </c>
      <c r="K17" s="32"/>
      <c r="L17" s="31" t="str">
        <f t="shared" si="4"/>
        <v/>
      </c>
      <c r="M17" s="31" t="str">
        <f t="shared" si="5"/>
        <v/>
      </c>
      <c r="N17" s="4"/>
    </row>
    <row r="18">
      <c r="A18" s="1"/>
      <c r="B18" s="23">
        <f t="shared" si="6"/>
        <v>44543</v>
      </c>
      <c r="C18" s="24">
        <f>IFERROR(__xludf.DUMMYFUNCTION("SUMPRODUCT((IMPORTRANGE(""17XjIPGwafStTRf_8bPPaoi2EFjHVy10_rRJ0uvy6YcU"",""M:M"")=B18)*1, IMPORTRANGE(""17XjIPGwafStTRf_8bPPaoi2EFjHVy10_rRJ0uvy6YcU"",""X:X""), IMPORTRANGE(""17XjIPGwafStTRf_8bPPaoi2EFjHVy10_rRJ0uvy6YcU"",""AK:AK"")) - SUMPRODUCT((IMPORTR"&amp;"ANGE(""17XjIPGwafStTRf_8bPPaoi2EFjHVy10_rRJ0uvy6YcU"",""M:M"")=B18)*1, IMPORTRANGE(""17XjIPGwafStTRf_8bPPaoi2EFjHVy10_rRJ0uvy6YcU"",""X:X""), IMPORTRANGE(""17XjIPGwafStTRf_8bPPaoi2EFjHVy10_rRJ0uvy6YcU"",""AL:AL""))"),269952.0)</f>
        <v>269952</v>
      </c>
      <c r="D18" s="24">
        <f>IFERROR(__xludf.DUMMYFUNCTION("SUMPRODUCT((IMPORTRANGE(""17XjIPGwafStTRf_8bPPaoi2EFjHVy10_rRJ0uvy6YcU"",""M:M"")=B18)*1, IMPORTRANGE(""17XjIPGwafStTRf_8bPPaoi2EFjHVy10_rRJ0uvy6YcU"",""X:X""), IMPORTRANGE(""17XjIPGwafStTRf_8bPPaoi2EFjHVy10_rRJ0uvy6YcU"",""AA:AA"")) + SUMPRODUCT((IMPORTR"&amp;"ANGE(""17XjIPGwafStTRf_8bPPaoi2EFjHVy10_rRJ0uvy6YcU"",""M:M"")=B18)*1, IMPORTRANGE(""17XjIPGwafStTRf_8bPPaoi2EFjHVy10_rRJ0uvy6YcU"",""X:X""), IMPORTRANGE(""17XjIPGwafStTRf_8bPPaoi2EFjHVy10_rRJ0uvy6YcU"",""AE:AE"")) + SUMPRODUCT((IMPORTRANGE(""17XjIPGwafSt"&amp;"TRf_8bPPaoi2EFjHVy10_rRJ0uvy6YcU"",""M:M"")=B18)*1, IMPORTRANGE(""17XjIPGwafStTRf_8bPPaoi2EFjHVy10_rRJ0uvy6YcU"",""X:X""), IMPORTRANGE(""17XjIPGwafStTRf_8bPPaoi2EFjHVy10_rRJ0uvy6YcU"",""AF:AF""))"),172692.5450864716)</f>
        <v>172692.5451</v>
      </c>
      <c r="E18" s="24">
        <f>IFERROR(__xludf.DUMMYFUNCTION("SUMPRODUCT((IMPORTRANGE(""17XjIPGwafStTRf_8bPPaoi2EFjHVy10_rRJ0uvy6YcU"",""M:M"")=B18)*1, IMPORTRANGE(""17XjIPGwafStTRf_8bPPaoi2EFjHVy10_rRJ0uvy6YcU"",""X:X""), IMPORTRANGE(""17XjIPGwafStTRf_8bPPaoi2EFjHVy10_rRJ0uvy6YcU"",""AO:AO""))"),42711.71192379985)</f>
        <v>42711.71192</v>
      </c>
      <c r="F18" s="25">
        <f>IFERROR(__xludf.DUMMYFUNCTION("SUMPRODUCT((IMPORTRANGE(""17XjIPGwafStTRf_8bPPaoi2EFjHVy10_rRJ0uvy6YcU"",""M:M"")=B18)*1, IMPORTRANGE(""17XjIPGwafStTRf_8bPPaoi2EFjHVy10_rRJ0uvy6YcU"",""X:X""))"),55.0)</f>
        <v>55</v>
      </c>
      <c r="G18" s="26">
        <f>IFERROR(__xludf.DUMMYFUNCTION("COUNTIF(IMPORTRANGE(""17XjIPGwafStTRf_8bPPaoi2EFjHVy10_rRJ0uvy6YcU"",""M:M""), B18)"),20.0)</f>
        <v>20</v>
      </c>
      <c r="H18" s="27">
        <f t="shared" si="1"/>
        <v>2.75</v>
      </c>
      <c r="I18" s="28">
        <f t="shared" si="2"/>
        <v>0.1582196536</v>
      </c>
      <c r="J18" s="29">
        <f t="shared" si="3"/>
        <v>0.2473280587</v>
      </c>
      <c r="K18" s="32"/>
      <c r="L18" s="31" t="str">
        <f t="shared" si="4"/>
        <v/>
      </c>
      <c r="M18" s="31" t="str">
        <f t="shared" si="5"/>
        <v/>
      </c>
      <c r="N18" s="4"/>
    </row>
    <row r="19">
      <c r="A19" s="1"/>
      <c r="B19" s="23">
        <f t="shared" si="6"/>
        <v>44544</v>
      </c>
      <c r="C19" s="24">
        <f>IFERROR(__xludf.DUMMYFUNCTION("SUMPRODUCT((IMPORTRANGE(""17XjIPGwafStTRf_8bPPaoi2EFjHVy10_rRJ0uvy6YcU"",""M:M"")=B19)*1, IMPORTRANGE(""17XjIPGwafStTRf_8bPPaoi2EFjHVy10_rRJ0uvy6YcU"",""X:X""), IMPORTRANGE(""17XjIPGwafStTRf_8bPPaoi2EFjHVy10_rRJ0uvy6YcU"",""AK:AK"")) - SUMPRODUCT((IMPORTR"&amp;"ANGE(""17XjIPGwafStTRf_8bPPaoi2EFjHVy10_rRJ0uvy6YcU"",""M:M"")=B19)*1, IMPORTRANGE(""17XjIPGwafStTRf_8bPPaoi2EFjHVy10_rRJ0uvy6YcU"",""X:X""), IMPORTRANGE(""17XjIPGwafStTRf_8bPPaoi2EFjHVy10_rRJ0uvy6YcU"",""AL:AL""))"),489445.0)</f>
        <v>489445</v>
      </c>
      <c r="D19" s="24">
        <f>IFERROR(__xludf.DUMMYFUNCTION("SUMPRODUCT((IMPORTRANGE(""17XjIPGwafStTRf_8bPPaoi2EFjHVy10_rRJ0uvy6YcU"",""M:M"")=B19)*1, IMPORTRANGE(""17XjIPGwafStTRf_8bPPaoi2EFjHVy10_rRJ0uvy6YcU"",""X:X""), IMPORTRANGE(""17XjIPGwafStTRf_8bPPaoi2EFjHVy10_rRJ0uvy6YcU"",""AA:AA"")) + SUMPRODUCT((IMPORTR"&amp;"ANGE(""17XjIPGwafStTRf_8bPPaoi2EFjHVy10_rRJ0uvy6YcU"",""M:M"")=B19)*1, IMPORTRANGE(""17XjIPGwafStTRf_8bPPaoi2EFjHVy10_rRJ0uvy6YcU"",""X:X""), IMPORTRANGE(""17XjIPGwafStTRf_8bPPaoi2EFjHVy10_rRJ0uvy6YcU"",""AE:AE"")) + SUMPRODUCT((IMPORTRANGE(""17XjIPGwafSt"&amp;"TRf_8bPPaoi2EFjHVy10_rRJ0uvy6YcU"",""M:M"")=B19)*1, IMPORTRANGE(""17XjIPGwafStTRf_8bPPaoi2EFjHVy10_rRJ0uvy6YcU"",""X:X""), IMPORTRANGE(""17XjIPGwafStTRf_8bPPaoi2EFjHVy10_rRJ0uvy6YcU"",""AF:AF""))"),307515.7750350597)</f>
        <v>307515.775</v>
      </c>
      <c r="E19" s="24">
        <f>IFERROR(__xludf.DUMMYFUNCTION("SUMPRODUCT((IMPORTRANGE(""17XjIPGwafStTRf_8bPPaoi2EFjHVy10_rRJ0uvy6YcU"",""M:M"")=B19)*1, IMPORTRANGE(""17XjIPGwafStTRf_8bPPaoi2EFjHVy10_rRJ0uvy6YcU"",""X:X""), IMPORTRANGE(""17XjIPGwafStTRf_8bPPaoi2EFjHVy10_rRJ0uvy6YcU"",""AO:AO""))"),100089.58933648272)</f>
        <v>100089.5893</v>
      </c>
      <c r="F19" s="25">
        <f>IFERROR(__xludf.DUMMYFUNCTION("SUMPRODUCT((IMPORTRANGE(""17XjIPGwafStTRf_8bPPaoi2EFjHVy10_rRJ0uvy6YcU"",""M:M"")=B19)*1, IMPORTRANGE(""17XjIPGwafStTRf_8bPPaoi2EFjHVy10_rRJ0uvy6YcU"",""X:X""))"),101.0)</f>
        <v>101</v>
      </c>
      <c r="G19" s="26">
        <f>IFERROR(__xludf.DUMMYFUNCTION("COUNTIF(IMPORTRANGE(""17XjIPGwafStTRf_8bPPaoi2EFjHVy10_rRJ0uvy6YcU"",""M:M""), B19)"),34.0)</f>
        <v>34</v>
      </c>
      <c r="H19" s="27">
        <f t="shared" si="1"/>
        <v>2.970588235</v>
      </c>
      <c r="I19" s="28">
        <f t="shared" si="2"/>
        <v>0.2044960912</v>
      </c>
      <c r="J19" s="29">
        <f t="shared" si="3"/>
        <v>0.3254779022</v>
      </c>
      <c r="K19" s="32"/>
      <c r="L19" s="31" t="str">
        <f t="shared" si="4"/>
        <v/>
      </c>
      <c r="M19" s="31" t="str">
        <f t="shared" si="5"/>
        <v/>
      </c>
      <c r="N19" s="4"/>
    </row>
    <row r="20">
      <c r="A20" s="1"/>
      <c r="B20" s="23">
        <f t="shared" si="6"/>
        <v>44545</v>
      </c>
      <c r="C20" s="24">
        <f>IFERROR(__xludf.DUMMYFUNCTION("SUMPRODUCT((IMPORTRANGE(""17XjIPGwafStTRf_8bPPaoi2EFjHVy10_rRJ0uvy6YcU"",""M:M"")=B20)*1, IMPORTRANGE(""17XjIPGwafStTRf_8bPPaoi2EFjHVy10_rRJ0uvy6YcU"",""X:X""), IMPORTRANGE(""17XjIPGwafStTRf_8bPPaoi2EFjHVy10_rRJ0uvy6YcU"",""AK:AK"")) - SUMPRODUCT((IMPORTR"&amp;"ANGE(""17XjIPGwafStTRf_8bPPaoi2EFjHVy10_rRJ0uvy6YcU"",""M:M"")=B20)*1, IMPORTRANGE(""17XjIPGwafStTRf_8bPPaoi2EFjHVy10_rRJ0uvy6YcU"",""X:X""), IMPORTRANGE(""17XjIPGwafStTRf_8bPPaoi2EFjHVy10_rRJ0uvy6YcU"",""AL:AL""))"),399022.0)</f>
        <v>399022</v>
      </c>
      <c r="D20" s="24">
        <f>IFERROR(__xludf.DUMMYFUNCTION("SUMPRODUCT((IMPORTRANGE(""17XjIPGwafStTRf_8bPPaoi2EFjHVy10_rRJ0uvy6YcU"",""M:M"")=B20)*1, IMPORTRANGE(""17XjIPGwafStTRf_8bPPaoi2EFjHVy10_rRJ0uvy6YcU"",""X:X""), IMPORTRANGE(""17XjIPGwafStTRf_8bPPaoi2EFjHVy10_rRJ0uvy6YcU"",""AA:AA"")) + SUMPRODUCT((IMPORTR"&amp;"ANGE(""17XjIPGwafStTRf_8bPPaoi2EFjHVy10_rRJ0uvy6YcU"",""M:M"")=B20)*1, IMPORTRANGE(""17XjIPGwafStTRf_8bPPaoi2EFjHVy10_rRJ0uvy6YcU"",""X:X""), IMPORTRANGE(""17XjIPGwafStTRf_8bPPaoi2EFjHVy10_rRJ0uvy6YcU"",""AE:AE"")) + SUMPRODUCT((IMPORTRANGE(""17XjIPGwafSt"&amp;"TRf_8bPPaoi2EFjHVy10_rRJ0uvy6YcU"",""M:M"")=B20)*1, IMPORTRANGE(""17XjIPGwafStTRf_8bPPaoi2EFjHVy10_rRJ0uvy6YcU"",""X:X""), IMPORTRANGE(""17XjIPGwafStTRf_8bPPaoi2EFjHVy10_rRJ0uvy6YcU"",""AF:AF""))"),256175.3945200263)</f>
        <v>256175.3945</v>
      </c>
      <c r="E20" s="24">
        <f>IFERROR(__xludf.DUMMYFUNCTION("SUMPRODUCT((IMPORTRANGE(""17XjIPGwafStTRf_8bPPaoi2EFjHVy10_rRJ0uvy6YcU"",""M:M"")=B20)*1, IMPORTRANGE(""17XjIPGwafStTRf_8bPPaoi2EFjHVy10_rRJ0uvy6YcU"",""X:X""), IMPORTRANGE(""17XjIPGwafStTRf_8bPPaoi2EFjHVy10_rRJ0uvy6YcU"",""AO:AO""))"),85956.80209008112)</f>
        <v>85956.80209</v>
      </c>
      <c r="F20" s="25">
        <f>IFERROR(__xludf.DUMMYFUNCTION("SUMPRODUCT((IMPORTRANGE(""17XjIPGwafStTRf_8bPPaoi2EFjHVy10_rRJ0uvy6YcU"",""M:M"")=B20)*1, IMPORTRANGE(""17XjIPGwafStTRf_8bPPaoi2EFjHVy10_rRJ0uvy6YcU"",""X:X""))"),69.0)</f>
        <v>69</v>
      </c>
      <c r="G20" s="26">
        <f>IFERROR(__xludf.DUMMYFUNCTION("COUNTIF(IMPORTRANGE(""17XjIPGwafStTRf_8bPPaoi2EFjHVy10_rRJ0uvy6YcU"",""M:M""), B20)"),34.0)</f>
        <v>34</v>
      </c>
      <c r="H20" s="27">
        <f t="shared" si="1"/>
        <v>2.029411765</v>
      </c>
      <c r="I20" s="28">
        <f t="shared" si="2"/>
        <v>0.215418704</v>
      </c>
      <c r="J20" s="29">
        <f t="shared" si="3"/>
        <v>0.3355388688</v>
      </c>
      <c r="K20" s="32"/>
      <c r="L20" s="31" t="str">
        <f t="shared" si="4"/>
        <v/>
      </c>
      <c r="M20" s="31" t="str">
        <f t="shared" si="5"/>
        <v/>
      </c>
      <c r="N20" s="4"/>
    </row>
    <row r="21">
      <c r="A21" s="1"/>
      <c r="B21" s="23">
        <f t="shared" si="6"/>
        <v>44546</v>
      </c>
      <c r="C21" s="24">
        <f>IFERROR(__xludf.DUMMYFUNCTION("SUMPRODUCT((IMPORTRANGE(""17XjIPGwafStTRf_8bPPaoi2EFjHVy10_rRJ0uvy6YcU"",""M:M"")=B21)*1, IMPORTRANGE(""17XjIPGwafStTRf_8bPPaoi2EFjHVy10_rRJ0uvy6YcU"",""X:X""), IMPORTRANGE(""17XjIPGwafStTRf_8bPPaoi2EFjHVy10_rRJ0uvy6YcU"",""AK:AK"")) - SUMPRODUCT((IMPORTR"&amp;"ANGE(""17XjIPGwafStTRf_8bPPaoi2EFjHVy10_rRJ0uvy6YcU"",""M:M"")=B21)*1, IMPORTRANGE(""17XjIPGwafStTRf_8bPPaoi2EFjHVy10_rRJ0uvy6YcU"",""X:X""), IMPORTRANGE(""17XjIPGwafStTRf_8bPPaoi2EFjHVy10_rRJ0uvy6YcU"",""AL:AL""))"),371925.0)</f>
        <v>371925</v>
      </c>
      <c r="D21" s="24">
        <f>IFERROR(__xludf.DUMMYFUNCTION("SUMPRODUCT((IMPORTRANGE(""17XjIPGwafStTRf_8bPPaoi2EFjHVy10_rRJ0uvy6YcU"",""M:M"")=B21)*1, IMPORTRANGE(""17XjIPGwafStTRf_8bPPaoi2EFjHVy10_rRJ0uvy6YcU"",""X:X""), IMPORTRANGE(""17XjIPGwafStTRf_8bPPaoi2EFjHVy10_rRJ0uvy6YcU"",""AA:AA"")) + SUMPRODUCT((IMPORTR"&amp;"ANGE(""17XjIPGwafStTRf_8bPPaoi2EFjHVy10_rRJ0uvy6YcU"",""M:M"")=B21)*1, IMPORTRANGE(""17XjIPGwafStTRf_8bPPaoi2EFjHVy10_rRJ0uvy6YcU"",""X:X""), IMPORTRANGE(""17XjIPGwafStTRf_8bPPaoi2EFjHVy10_rRJ0uvy6YcU"",""AE:AE"")) + SUMPRODUCT((IMPORTRANGE(""17XjIPGwafSt"&amp;"TRf_8bPPaoi2EFjHVy10_rRJ0uvy6YcU"",""M:M"")=B21)*1, IMPORTRANGE(""17XjIPGwafStTRf_8bPPaoi2EFjHVy10_rRJ0uvy6YcU"",""X:X""), IMPORTRANGE(""17XjIPGwafStTRf_8bPPaoi2EFjHVy10_rRJ0uvy6YcU"",""AF:AF""))"),221447.555157402)</f>
        <v>221447.5552</v>
      </c>
      <c r="E21" s="24">
        <f>IFERROR(__xludf.DUMMYFUNCTION("SUMPRODUCT((IMPORTRANGE(""17XjIPGwafStTRf_8bPPaoi2EFjHVy10_rRJ0uvy6YcU"",""M:M"")=B21)*1, IMPORTRANGE(""17XjIPGwafStTRf_8bPPaoi2EFjHVy10_rRJ0uvy6YcU"",""X:X""), IMPORTRANGE(""17XjIPGwafStTRf_8bPPaoi2EFjHVy10_rRJ0uvy6YcU"",""AO:AO""))"),92619.48632513707)</f>
        <v>92619.48633</v>
      </c>
      <c r="F21" s="25">
        <f>IFERROR(__xludf.DUMMYFUNCTION("SUMPRODUCT((IMPORTRANGE(""17XjIPGwafStTRf_8bPPaoi2EFjHVy10_rRJ0uvy6YcU"",""M:M"")=B21)*1, IMPORTRANGE(""17XjIPGwafStTRf_8bPPaoi2EFjHVy10_rRJ0uvy6YcU"",""X:X""))"),54.0)</f>
        <v>54</v>
      </c>
      <c r="G21" s="26">
        <f>IFERROR(__xludf.DUMMYFUNCTION("COUNTIF(IMPORTRANGE(""17XjIPGwafStTRf_8bPPaoi2EFjHVy10_rRJ0uvy6YcU"",""M:M""), B21)"),19.0)</f>
        <v>19</v>
      </c>
      <c r="H21" s="27">
        <f t="shared" si="1"/>
        <v>2.842105263</v>
      </c>
      <c r="I21" s="28">
        <f t="shared" si="2"/>
        <v>0.2490273209</v>
      </c>
      <c r="J21" s="29">
        <f t="shared" si="3"/>
        <v>0.4182456937</v>
      </c>
      <c r="K21" s="32"/>
      <c r="L21" s="31" t="str">
        <f t="shared" si="4"/>
        <v/>
      </c>
      <c r="M21" s="31" t="str">
        <f t="shared" si="5"/>
        <v/>
      </c>
      <c r="N21" s="4"/>
    </row>
    <row r="22">
      <c r="A22" s="1"/>
      <c r="B22" s="23">
        <f t="shared" si="6"/>
        <v>44547</v>
      </c>
      <c r="C22" s="24">
        <f>IFERROR(__xludf.DUMMYFUNCTION("SUMPRODUCT((IMPORTRANGE(""17XjIPGwafStTRf_8bPPaoi2EFjHVy10_rRJ0uvy6YcU"",""M:M"")=B22)*1, IMPORTRANGE(""17XjIPGwafStTRf_8bPPaoi2EFjHVy10_rRJ0uvy6YcU"",""X:X""), IMPORTRANGE(""17XjIPGwafStTRf_8bPPaoi2EFjHVy10_rRJ0uvy6YcU"",""AK:AK"")) - SUMPRODUCT((IMPORTR"&amp;"ANGE(""17XjIPGwafStTRf_8bPPaoi2EFjHVy10_rRJ0uvy6YcU"",""M:M"")=B22)*1, IMPORTRANGE(""17XjIPGwafStTRf_8bPPaoi2EFjHVy10_rRJ0uvy6YcU"",""X:X""), IMPORTRANGE(""17XjIPGwafStTRf_8bPPaoi2EFjHVy10_rRJ0uvy6YcU"",""AL:AL""))"),260500.0)</f>
        <v>260500</v>
      </c>
      <c r="D22" s="24">
        <f>IFERROR(__xludf.DUMMYFUNCTION("SUMPRODUCT((IMPORTRANGE(""17XjIPGwafStTRf_8bPPaoi2EFjHVy10_rRJ0uvy6YcU"",""M:M"")=B22)*1, IMPORTRANGE(""17XjIPGwafStTRf_8bPPaoi2EFjHVy10_rRJ0uvy6YcU"",""X:X""), IMPORTRANGE(""17XjIPGwafStTRf_8bPPaoi2EFjHVy10_rRJ0uvy6YcU"",""AA:AA"")) + SUMPRODUCT((IMPORTR"&amp;"ANGE(""17XjIPGwafStTRf_8bPPaoi2EFjHVy10_rRJ0uvy6YcU"",""M:M"")=B22)*1, IMPORTRANGE(""17XjIPGwafStTRf_8bPPaoi2EFjHVy10_rRJ0uvy6YcU"",""X:X""), IMPORTRANGE(""17XjIPGwafStTRf_8bPPaoi2EFjHVy10_rRJ0uvy6YcU"",""AE:AE"")) + SUMPRODUCT((IMPORTRANGE(""17XjIPGwafSt"&amp;"TRf_8bPPaoi2EFjHVy10_rRJ0uvy6YcU"",""M:M"")=B22)*1, IMPORTRANGE(""17XjIPGwafStTRf_8bPPaoi2EFjHVy10_rRJ0uvy6YcU"",""X:X""), IMPORTRANGE(""17XjIPGwafStTRf_8bPPaoi2EFjHVy10_rRJ0uvy6YcU"",""AF:AF""))"),185329.6621142612)</f>
        <v>185329.6621</v>
      </c>
      <c r="E22" s="24">
        <f>IFERROR(__xludf.DUMMYFUNCTION("SUMPRODUCT((IMPORTRANGE(""17XjIPGwafStTRf_8bPPaoi2EFjHVy10_rRJ0uvy6YcU"",""M:M"")=B22)*1, IMPORTRANGE(""17XjIPGwafStTRf_8bPPaoi2EFjHVy10_rRJ0uvy6YcU"",""X:X""), IMPORTRANGE(""17XjIPGwafStTRf_8bPPaoi2EFjHVy10_rRJ0uvy6YcU"",""AO:AO""))"),22472.714448238796)</f>
        <v>22472.71445</v>
      </c>
      <c r="F22" s="25">
        <f>IFERROR(__xludf.DUMMYFUNCTION("SUMPRODUCT((IMPORTRANGE(""17XjIPGwafStTRf_8bPPaoi2EFjHVy10_rRJ0uvy6YcU"",""M:M"")=B22)*1, IMPORTRANGE(""17XjIPGwafStTRf_8bPPaoi2EFjHVy10_rRJ0uvy6YcU"",""X:X""))"),51.0)</f>
        <v>51</v>
      </c>
      <c r="G22" s="26">
        <f>IFERROR(__xludf.DUMMYFUNCTION("COUNTIF(IMPORTRANGE(""17XjIPGwafStTRf_8bPPaoi2EFjHVy10_rRJ0uvy6YcU"",""M:M""), B22)"),16.0)</f>
        <v>16</v>
      </c>
      <c r="H22" s="27">
        <f t="shared" si="1"/>
        <v>3.1875</v>
      </c>
      <c r="I22" s="28">
        <f t="shared" si="2"/>
        <v>0.08626761784</v>
      </c>
      <c r="J22" s="29">
        <f t="shared" si="3"/>
        <v>0.1212580555</v>
      </c>
      <c r="K22" s="32"/>
      <c r="L22" s="31" t="str">
        <f t="shared" si="4"/>
        <v/>
      </c>
      <c r="M22" s="31" t="str">
        <f t="shared" si="5"/>
        <v/>
      </c>
      <c r="N22" s="4"/>
    </row>
    <row r="23">
      <c r="A23" s="1"/>
      <c r="B23" s="23">
        <f t="shared" si="6"/>
        <v>44548</v>
      </c>
      <c r="C23" s="24">
        <f>IFERROR(__xludf.DUMMYFUNCTION("SUMPRODUCT((IMPORTRANGE(""17XjIPGwafStTRf_8bPPaoi2EFjHVy10_rRJ0uvy6YcU"",""M:M"")=B23)*1, IMPORTRANGE(""17XjIPGwafStTRf_8bPPaoi2EFjHVy10_rRJ0uvy6YcU"",""X:X""), IMPORTRANGE(""17XjIPGwafStTRf_8bPPaoi2EFjHVy10_rRJ0uvy6YcU"",""AK:AK"")) - SUMPRODUCT((IMPORTR"&amp;"ANGE(""17XjIPGwafStTRf_8bPPaoi2EFjHVy10_rRJ0uvy6YcU"",""M:M"")=B23)*1, IMPORTRANGE(""17XjIPGwafStTRf_8bPPaoi2EFjHVy10_rRJ0uvy6YcU"",""X:X""), IMPORTRANGE(""17XjIPGwafStTRf_8bPPaoi2EFjHVy10_rRJ0uvy6YcU"",""AL:AL""))"),334206.0)</f>
        <v>334206</v>
      </c>
      <c r="D23" s="24">
        <f>IFERROR(__xludf.DUMMYFUNCTION("SUMPRODUCT((IMPORTRANGE(""17XjIPGwafStTRf_8bPPaoi2EFjHVy10_rRJ0uvy6YcU"",""M:M"")=B23)*1, IMPORTRANGE(""17XjIPGwafStTRf_8bPPaoi2EFjHVy10_rRJ0uvy6YcU"",""X:X""), IMPORTRANGE(""17XjIPGwafStTRf_8bPPaoi2EFjHVy10_rRJ0uvy6YcU"",""AA:AA"")) + SUMPRODUCT((IMPORTR"&amp;"ANGE(""17XjIPGwafStTRf_8bPPaoi2EFjHVy10_rRJ0uvy6YcU"",""M:M"")=B23)*1, IMPORTRANGE(""17XjIPGwafStTRf_8bPPaoi2EFjHVy10_rRJ0uvy6YcU"",""X:X""), IMPORTRANGE(""17XjIPGwafStTRf_8bPPaoi2EFjHVy10_rRJ0uvy6YcU"",""AE:AE"")) + SUMPRODUCT((IMPORTRANGE(""17XjIPGwafSt"&amp;"TRf_8bPPaoi2EFjHVy10_rRJ0uvy6YcU"",""M:M"")=B23)*1, IMPORTRANGE(""17XjIPGwafStTRf_8bPPaoi2EFjHVy10_rRJ0uvy6YcU"",""X:X""), IMPORTRANGE(""17XjIPGwafStTRf_8bPPaoi2EFjHVy10_rRJ0uvy6YcU"",""AF:AF""))"),212707.95093896106)</f>
        <v>212707.9509</v>
      </c>
      <c r="E23" s="24">
        <f>IFERROR(__xludf.DUMMYFUNCTION("SUMPRODUCT((IMPORTRANGE(""17XjIPGwafStTRf_8bPPaoi2EFjHVy10_rRJ0uvy6YcU"",""M:M"")=B23)*1, IMPORTRANGE(""17XjIPGwafStTRf_8bPPaoi2EFjHVy10_rRJ0uvy6YcU"",""X:X""), IMPORTRANGE(""17XjIPGwafStTRf_8bPPaoi2EFjHVy10_rRJ0uvy6YcU"",""AO:AO""))"),88202.57771272436)</f>
        <v>88202.57771</v>
      </c>
      <c r="F23" s="25">
        <f>IFERROR(__xludf.DUMMYFUNCTION("SUMPRODUCT((IMPORTRANGE(""17XjIPGwafStTRf_8bPPaoi2EFjHVy10_rRJ0uvy6YcU"",""M:M"")=B23)*1, IMPORTRANGE(""17XjIPGwafStTRf_8bPPaoi2EFjHVy10_rRJ0uvy6YcU"",""X:X""))"),84.0)</f>
        <v>84</v>
      </c>
      <c r="G23" s="26">
        <f>IFERROR(__xludf.DUMMYFUNCTION("COUNTIF(IMPORTRANGE(""17XjIPGwafStTRf_8bPPaoi2EFjHVy10_rRJ0uvy6YcU"",""M:M""), B23)"),16.0)</f>
        <v>16</v>
      </c>
      <c r="H23" s="27">
        <f t="shared" si="1"/>
        <v>5.25</v>
      </c>
      <c r="I23" s="28">
        <f t="shared" si="2"/>
        <v>0.263916799</v>
      </c>
      <c r="J23" s="29">
        <f t="shared" si="3"/>
        <v>0.4146651657</v>
      </c>
      <c r="K23" s="32"/>
      <c r="L23" s="31" t="str">
        <f t="shared" si="4"/>
        <v/>
      </c>
      <c r="M23" s="31" t="str">
        <f t="shared" si="5"/>
        <v/>
      </c>
      <c r="N23" s="4"/>
    </row>
    <row r="24">
      <c r="A24" s="1"/>
      <c r="B24" s="23">
        <f t="shared" si="6"/>
        <v>44549</v>
      </c>
      <c r="C24" s="24">
        <f>IFERROR(__xludf.DUMMYFUNCTION("SUMPRODUCT((IMPORTRANGE(""17XjIPGwafStTRf_8bPPaoi2EFjHVy10_rRJ0uvy6YcU"",""M:M"")=B24)*1, IMPORTRANGE(""17XjIPGwafStTRf_8bPPaoi2EFjHVy10_rRJ0uvy6YcU"",""X:X""), IMPORTRANGE(""17XjIPGwafStTRf_8bPPaoi2EFjHVy10_rRJ0uvy6YcU"",""AK:AK"")) - SUMPRODUCT((IMPORTR"&amp;"ANGE(""17XjIPGwafStTRf_8bPPaoi2EFjHVy10_rRJ0uvy6YcU"",""M:M"")=B24)*1, IMPORTRANGE(""17XjIPGwafStTRf_8bPPaoi2EFjHVy10_rRJ0uvy6YcU"",""X:X""), IMPORTRANGE(""17XjIPGwafStTRf_8bPPaoi2EFjHVy10_rRJ0uvy6YcU"",""AL:AL""))"),0.0)</f>
        <v>0</v>
      </c>
      <c r="D24" s="24">
        <f>IFERROR(__xludf.DUMMYFUNCTION("SUMPRODUCT((IMPORTRANGE(""17XjIPGwafStTRf_8bPPaoi2EFjHVy10_rRJ0uvy6YcU"",""M:M"")=B24)*1, IMPORTRANGE(""17XjIPGwafStTRf_8bPPaoi2EFjHVy10_rRJ0uvy6YcU"",""X:X""), IMPORTRANGE(""17XjIPGwafStTRf_8bPPaoi2EFjHVy10_rRJ0uvy6YcU"",""AA:AA"")) + SUMPRODUCT((IMPORTR"&amp;"ANGE(""17XjIPGwafStTRf_8bPPaoi2EFjHVy10_rRJ0uvy6YcU"",""M:M"")=B24)*1, IMPORTRANGE(""17XjIPGwafStTRf_8bPPaoi2EFjHVy10_rRJ0uvy6YcU"",""X:X""), IMPORTRANGE(""17XjIPGwafStTRf_8bPPaoi2EFjHVy10_rRJ0uvy6YcU"",""AE:AE"")) + SUMPRODUCT((IMPORTRANGE(""17XjIPGwafSt"&amp;"TRf_8bPPaoi2EFjHVy10_rRJ0uvy6YcU"",""M:M"")=B24)*1, IMPORTRANGE(""17XjIPGwafStTRf_8bPPaoi2EFjHVy10_rRJ0uvy6YcU"",""X:X""), IMPORTRANGE(""17XjIPGwafStTRf_8bPPaoi2EFjHVy10_rRJ0uvy6YcU"",""AF:AF""))"),0.0)</f>
        <v>0</v>
      </c>
      <c r="E24" s="24">
        <f>IFERROR(__xludf.DUMMYFUNCTION("SUMPRODUCT((IMPORTRANGE(""17XjIPGwafStTRf_8bPPaoi2EFjHVy10_rRJ0uvy6YcU"",""M:M"")=B24)*1, IMPORTRANGE(""17XjIPGwafStTRf_8bPPaoi2EFjHVy10_rRJ0uvy6YcU"",""X:X""), IMPORTRANGE(""17XjIPGwafStTRf_8bPPaoi2EFjHVy10_rRJ0uvy6YcU"",""AO:AO""))"),0.0)</f>
        <v>0</v>
      </c>
      <c r="F24" s="25">
        <f>IFERROR(__xludf.DUMMYFUNCTION("SUMPRODUCT((IMPORTRANGE(""17XjIPGwafStTRf_8bPPaoi2EFjHVy10_rRJ0uvy6YcU"",""M:M"")=B24)*1, IMPORTRANGE(""17XjIPGwafStTRf_8bPPaoi2EFjHVy10_rRJ0uvy6YcU"",""X:X""))"),0.0)</f>
        <v>0</v>
      </c>
      <c r="G24" s="26">
        <f>IFERROR(__xludf.DUMMYFUNCTION("COUNTIF(IMPORTRANGE(""17XjIPGwafStTRf_8bPPaoi2EFjHVy10_rRJ0uvy6YcU"",""M:M""), B24)"),0.0)</f>
        <v>0</v>
      </c>
      <c r="H24" s="27" t="str">
        <f t="shared" si="1"/>
        <v/>
      </c>
      <c r="I24" s="28" t="str">
        <f t="shared" si="2"/>
        <v/>
      </c>
      <c r="J24" s="29" t="str">
        <f t="shared" si="3"/>
        <v/>
      </c>
      <c r="K24" s="30"/>
      <c r="L24" s="31" t="str">
        <f t="shared" si="4"/>
        <v/>
      </c>
      <c r="M24" s="31" t="str">
        <f t="shared" si="5"/>
        <v/>
      </c>
      <c r="N24" s="4"/>
    </row>
    <row r="25">
      <c r="A25" s="1"/>
      <c r="B25" s="23">
        <f t="shared" si="6"/>
        <v>44550</v>
      </c>
      <c r="C25" s="24">
        <f>IFERROR(__xludf.DUMMYFUNCTION("SUMPRODUCT((IMPORTRANGE(""17XjIPGwafStTRf_8bPPaoi2EFjHVy10_rRJ0uvy6YcU"",""M:M"")=B25)*1, IMPORTRANGE(""17XjIPGwafStTRf_8bPPaoi2EFjHVy10_rRJ0uvy6YcU"",""X:X""), IMPORTRANGE(""17XjIPGwafStTRf_8bPPaoi2EFjHVy10_rRJ0uvy6YcU"",""AK:AK"")) - SUMPRODUCT((IMPORTR"&amp;"ANGE(""17XjIPGwafStTRf_8bPPaoi2EFjHVy10_rRJ0uvy6YcU"",""M:M"")=B25)*1, IMPORTRANGE(""17XjIPGwafStTRf_8bPPaoi2EFjHVy10_rRJ0uvy6YcU"",""X:X""), IMPORTRANGE(""17XjIPGwafStTRf_8bPPaoi2EFjHVy10_rRJ0uvy6YcU"",""AL:AL""))"),916824.0)</f>
        <v>916824</v>
      </c>
      <c r="D25" s="24">
        <f>IFERROR(__xludf.DUMMYFUNCTION("SUMPRODUCT((IMPORTRANGE(""17XjIPGwafStTRf_8bPPaoi2EFjHVy10_rRJ0uvy6YcU"",""M:M"")=B25)*1, IMPORTRANGE(""17XjIPGwafStTRf_8bPPaoi2EFjHVy10_rRJ0uvy6YcU"",""X:X""), IMPORTRANGE(""17XjIPGwafStTRf_8bPPaoi2EFjHVy10_rRJ0uvy6YcU"",""AA:AA"")) + SUMPRODUCT((IMPORTR"&amp;"ANGE(""17XjIPGwafStTRf_8bPPaoi2EFjHVy10_rRJ0uvy6YcU"",""M:M"")=B25)*1, IMPORTRANGE(""17XjIPGwafStTRf_8bPPaoi2EFjHVy10_rRJ0uvy6YcU"",""X:X""), IMPORTRANGE(""17XjIPGwafStTRf_8bPPaoi2EFjHVy10_rRJ0uvy6YcU"",""AE:AE"")) + SUMPRODUCT((IMPORTRANGE(""17XjIPGwafSt"&amp;"TRf_8bPPaoi2EFjHVy10_rRJ0uvy6YcU"",""M:M"")=B25)*1, IMPORTRANGE(""17XjIPGwafStTRf_8bPPaoi2EFjHVy10_rRJ0uvy6YcU"",""X:X""), IMPORTRANGE(""17XjIPGwafStTRf_8bPPaoi2EFjHVy10_rRJ0uvy6YcU"",""AF:AF""))"),557756.8894940722)</f>
        <v>557756.8895</v>
      </c>
      <c r="E25" s="24">
        <f>IFERROR(__xludf.DUMMYFUNCTION("SUMPRODUCT((IMPORTRANGE(""17XjIPGwafStTRf_8bPPaoi2EFjHVy10_rRJ0uvy6YcU"",""M:M"")=B25)*1, IMPORTRANGE(""17XjIPGwafStTRf_8bPPaoi2EFjHVy10_rRJ0uvy6YcU"",""X:X""), IMPORTRANGE(""17XjIPGwafStTRf_8bPPaoi2EFjHVy10_rRJ0uvy6YcU"",""AO:AO""))"),197063.34369653632)</f>
        <v>197063.3437</v>
      </c>
      <c r="F25" s="25">
        <f>IFERROR(__xludf.DUMMYFUNCTION("SUMPRODUCT((IMPORTRANGE(""17XjIPGwafStTRf_8bPPaoi2EFjHVy10_rRJ0uvy6YcU"",""M:M"")=B25)*1, IMPORTRANGE(""17XjIPGwafStTRf_8bPPaoi2EFjHVy10_rRJ0uvy6YcU"",""X:X""))"),147.0)</f>
        <v>147</v>
      </c>
      <c r="G25" s="26">
        <f>IFERROR(__xludf.DUMMYFUNCTION("COUNTIF(IMPORTRANGE(""17XjIPGwafStTRf_8bPPaoi2EFjHVy10_rRJ0uvy6YcU"",""M:M""), B25)"),71.0)</f>
        <v>71</v>
      </c>
      <c r="H25" s="27">
        <f t="shared" si="1"/>
        <v>2.070422535</v>
      </c>
      <c r="I25" s="28">
        <f t="shared" si="2"/>
        <v>0.2149413014</v>
      </c>
      <c r="J25" s="29">
        <f t="shared" si="3"/>
        <v>0.3533140467</v>
      </c>
      <c r="K25" s="32"/>
      <c r="L25" s="31" t="str">
        <f t="shared" si="4"/>
        <v/>
      </c>
      <c r="M25" s="31" t="str">
        <f t="shared" si="5"/>
        <v/>
      </c>
      <c r="N25" s="4"/>
    </row>
    <row r="26">
      <c r="A26" s="1"/>
      <c r="B26" s="23">
        <f t="shared" si="6"/>
        <v>44551</v>
      </c>
      <c r="C26" s="24">
        <f>IFERROR(__xludf.DUMMYFUNCTION("SUMPRODUCT((IMPORTRANGE(""17XjIPGwafStTRf_8bPPaoi2EFjHVy10_rRJ0uvy6YcU"",""M:M"")=B26)*1, IMPORTRANGE(""17XjIPGwafStTRf_8bPPaoi2EFjHVy10_rRJ0uvy6YcU"",""X:X""), IMPORTRANGE(""17XjIPGwafStTRf_8bPPaoi2EFjHVy10_rRJ0uvy6YcU"",""AK:AK"")) - SUMPRODUCT((IMPORTR"&amp;"ANGE(""17XjIPGwafStTRf_8bPPaoi2EFjHVy10_rRJ0uvy6YcU"",""M:M"")=B26)*1, IMPORTRANGE(""17XjIPGwafStTRf_8bPPaoi2EFjHVy10_rRJ0uvy6YcU"",""X:X""), IMPORTRANGE(""17XjIPGwafStTRf_8bPPaoi2EFjHVy10_rRJ0uvy6YcU"",""AL:AL""))"),310603.0)</f>
        <v>310603</v>
      </c>
      <c r="D26" s="24">
        <f>IFERROR(__xludf.DUMMYFUNCTION("SUMPRODUCT((IMPORTRANGE(""17XjIPGwafStTRf_8bPPaoi2EFjHVy10_rRJ0uvy6YcU"",""M:M"")=B26)*1, IMPORTRANGE(""17XjIPGwafStTRf_8bPPaoi2EFjHVy10_rRJ0uvy6YcU"",""X:X""), IMPORTRANGE(""17XjIPGwafStTRf_8bPPaoi2EFjHVy10_rRJ0uvy6YcU"",""AA:AA"")) + SUMPRODUCT((IMPORTR"&amp;"ANGE(""17XjIPGwafStTRf_8bPPaoi2EFjHVy10_rRJ0uvy6YcU"",""M:M"")=B26)*1, IMPORTRANGE(""17XjIPGwafStTRf_8bPPaoi2EFjHVy10_rRJ0uvy6YcU"",""X:X""), IMPORTRANGE(""17XjIPGwafStTRf_8bPPaoi2EFjHVy10_rRJ0uvy6YcU"",""AE:AE"")) + SUMPRODUCT((IMPORTRANGE(""17XjIPGwafSt"&amp;"TRf_8bPPaoi2EFjHVy10_rRJ0uvy6YcU"",""M:M"")=B26)*1, IMPORTRANGE(""17XjIPGwafStTRf_8bPPaoi2EFjHVy10_rRJ0uvy6YcU"",""X:X""), IMPORTRANGE(""17XjIPGwafStTRf_8bPPaoi2EFjHVy10_rRJ0uvy6YcU"",""AF:AF""))"),206406.3085702259)</f>
        <v>206406.3086</v>
      </c>
      <c r="E26" s="24">
        <f>IFERROR(__xludf.DUMMYFUNCTION("SUMPRODUCT((IMPORTRANGE(""17XjIPGwafStTRf_8bPPaoi2EFjHVy10_rRJ0uvy6YcU"",""M:M"")=B26)*1, IMPORTRANGE(""17XjIPGwafStTRf_8bPPaoi2EFjHVy10_rRJ0uvy6YcU"",""X:X""), IMPORTRANGE(""17XjIPGwafStTRf_8bPPaoi2EFjHVy10_rRJ0uvy6YcU"",""AO:AO""))"),66264.03052264667)</f>
        <v>66264.03052</v>
      </c>
      <c r="F26" s="25">
        <f>IFERROR(__xludf.DUMMYFUNCTION("SUMPRODUCT((IMPORTRANGE(""17XjIPGwafStTRf_8bPPaoi2EFjHVy10_rRJ0uvy6YcU"",""M:M"")=B26)*1, IMPORTRANGE(""17XjIPGwafStTRf_8bPPaoi2EFjHVy10_rRJ0uvy6YcU"",""X:X""))"),58.0)</f>
        <v>58</v>
      </c>
      <c r="G26" s="26">
        <f>IFERROR(__xludf.DUMMYFUNCTION("COUNTIF(IMPORTRANGE(""17XjIPGwafStTRf_8bPPaoi2EFjHVy10_rRJ0uvy6YcU"",""M:M""), B26)"),24.0)</f>
        <v>24</v>
      </c>
      <c r="H26" s="27">
        <f t="shared" si="1"/>
        <v>2.416666667</v>
      </c>
      <c r="I26" s="28">
        <f t="shared" si="2"/>
        <v>0.2133399565</v>
      </c>
      <c r="J26" s="29">
        <f t="shared" si="3"/>
        <v>0.3210368471</v>
      </c>
      <c r="K26" s="30"/>
      <c r="L26" s="31" t="str">
        <f t="shared" si="4"/>
        <v/>
      </c>
      <c r="M26" s="31" t="str">
        <f t="shared" si="5"/>
        <v/>
      </c>
      <c r="N26" s="4"/>
    </row>
    <row r="27">
      <c r="A27" s="1"/>
      <c r="B27" s="23">
        <f t="shared" si="6"/>
        <v>44552</v>
      </c>
      <c r="C27" s="24">
        <f>IFERROR(__xludf.DUMMYFUNCTION("SUMPRODUCT((IMPORTRANGE(""17XjIPGwafStTRf_8bPPaoi2EFjHVy10_rRJ0uvy6YcU"",""M:M"")=B27)*1, IMPORTRANGE(""17XjIPGwafStTRf_8bPPaoi2EFjHVy10_rRJ0uvy6YcU"",""X:X""), IMPORTRANGE(""17XjIPGwafStTRf_8bPPaoi2EFjHVy10_rRJ0uvy6YcU"",""AK:AK"")) - SUMPRODUCT((IMPORTR"&amp;"ANGE(""17XjIPGwafStTRf_8bPPaoi2EFjHVy10_rRJ0uvy6YcU"",""M:M"")=B27)*1, IMPORTRANGE(""17XjIPGwafStTRf_8bPPaoi2EFjHVy10_rRJ0uvy6YcU"",""X:X""), IMPORTRANGE(""17XjIPGwafStTRf_8bPPaoi2EFjHVy10_rRJ0uvy6YcU"",""AL:AL""))"),468768.0)</f>
        <v>468768</v>
      </c>
      <c r="D27" s="24">
        <f>IFERROR(__xludf.DUMMYFUNCTION("SUMPRODUCT((IMPORTRANGE(""17XjIPGwafStTRf_8bPPaoi2EFjHVy10_rRJ0uvy6YcU"",""M:M"")=B27)*1, IMPORTRANGE(""17XjIPGwafStTRf_8bPPaoi2EFjHVy10_rRJ0uvy6YcU"",""X:X""), IMPORTRANGE(""17XjIPGwafStTRf_8bPPaoi2EFjHVy10_rRJ0uvy6YcU"",""AA:AA"")) + SUMPRODUCT((IMPORTR"&amp;"ANGE(""17XjIPGwafStTRf_8bPPaoi2EFjHVy10_rRJ0uvy6YcU"",""M:M"")=B27)*1, IMPORTRANGE(""17XjIPGwafStTRf_8bPPaoi2EFjHVy10_rRJ0uvy6YcU"",""X:X""), IMPORTRANGE(""17XjIPGwafStTRf_8bPPaoi2EFjHVy10_rRJ0uvy6YcU"",""AE:AE"")) + SUMPRODUCT((IMPORTRANGE(""17XjIPGwafSt"&amp;"TRf_8bPPaoi2EFjHVy10_rRJ0uvy6YcU"",""M:M"")=B27)*1, IMPORTRANGE(""17XjIPGwafStTRf_8bPPaoi2EFjHVy10_rRJ0uvy6YcU"",""X:X""), IMPORTRANGE(""17XjIPGwafStTRf_8bPPaoi2EFjHVy10_rRJ0uvy6YcU"",""AF:AF""))"),273585.9067219352)</f>
        <v>273585.9067</v>
      </c>
      <c r="E27" s="24">
        <f>IFERROR(__xludf.DUMMYFUNCTION("SUMPRODUCT((IMPORTRANGE(""17XjIPGwafStTRf_8bPPaoi2EFjHVy10_rRJ0uvy6YcU"",""M:M"")=B27)*1, IMPORTRANGE(""17XjIPGwafStTRf_8bPPaoi2EFjHVy10_rRJ0uvy6YcU"",""X:X""), IMPORTRANGE(""17XjIPGwafStTRf_8bPPaoi2EFjHVy10_rRJ0uvy6YcU"",""AO:AO""))"),122850.9355247071)</f>
        <v>122850.9355</v>
      </c>
      <c r="F27" s="25">
        <f>IFERROR(__xludf.DUMMYFUNCTION("SUMPRODUCT((IMPORTRANGE(""17XjIPGwafStTRf_8bPPaoi2EFjHVy10_rRJ0uvy6YcU"",""M:M"")=B27)*1, IMPORTRANGE(""17XjIPGwafStTRf_8bPPaoi2EFjHVy10_rRJ0uvy6YcU"",""X:X""))"),88.0)</f>
        <v>88</v>
      </c>
      <c r="G27" s="26">
        <f>IFERROR(__xludf.DUMMYFUNCTION("COUNTIF(IMPORTRANGE(""17XjIPGwafStTRf_8bPPaoi2EFjHVy10_rRJ0uvy6YcU"",""M:M""), B27)"),36.0)</f>
        <v>36</v>
      </c>
      <c r="H27" s="27">
        <f t="shared" si="1"/>
        <v>2.444444444</v>
      </c>
      <c r="I27" s="28">
        <f t="shared" si="2"/>
        <v>0.2620719322</v>
      </c>
      <c r="J27" s="29">
        <f t="shared" si="3"/>
        <v>0.4490397075</v>
      </c>
      <c r="K27" s="32"/>
      <c r="L27" s="31" t="str">
        <f t="shared" si="4"/>
        <v/>
      </c>
      <c r="M27" s="31" t="str">
        <f t="shared" si="5"/>
        <v/>
      </c>
      <c r="N27" s="4"/>
    </row>
    <row r="28">
      <c r="A28" s="1"/>
      <c r="B28" s="23">
        <f t="shared" si="6"/>
        <v>44553</v>
      </c>
      <c r="C28" s="24">
        <f>IFERROR(__xludf.DUMMYFUNCTION("SUMPRODUCT((IMPORTRANGE(""17XjIPGwafStTRf_8bPPaoi2EFjHVy10_rRJ0uvy6YcU"",""M:M"")=B28)*1, IMPORTRANGE(""17XjIPGwafStTRf_8bPPaoi2EFjHVy10_rRJ0uvy6YcU"",""X:X""), IMPORTRANGE(""17XjIPGwafStTRf_8bPPaoi2EFjHVy10_rRJ0uvy6YcU"",""AK:AK"")) - SUMPRODUCT((IMPORTR"&amp;"ANGE(""17XjIPGwafStTRf_8bPPaoi2EFjHVy10_rRJ0uvy6YcU"",""M:M"")=B28)*1, IMPORTRANGE(""17XjIPGwafStTRf_8bPPaoi2EFjHVy10_rRJ0uvy6YcU"",""X:X""), IMPORTRANGE(""17XjIPGwafStTRf_8bPPaoi2EFjHVy10_rRJ0uvy6YcU"",""AL:AL""))"),519574.0)</f>
        <v>519574</v>
      </c>
      <c r="D28" s="24">
        <f>IFERROR(__xludf.DUMMYFUNCTION("SUMPRODUCT((IMPORTRANGE(""17XjIPGwafStTRf_8bPPaoi2EFjHVy10_rRJ0uvy6YcU"",""M:M"")=B28)*1, IMPORTRANGE(""17XjIPGwafStTRf_8bPPaoi2EFjHVy10_rRJ0uvy6YcU"",""X:X""), IMPORTRANGE(""17XjIPGwafStTRf_8bPPaoi2EFjHVy10_rRJ0uvy6YcU"",""AA:AA"")) + SUMPRODUCT((IMPORTR"&amp;"ANGE(""17XjIPGwafStTRf_8bPPaoi2EFjHVy10_rRJ0uvy6YcU"",""M:M"")=B28)*1, IMPORTRANGE(""17XjIPGwafStTRf_8bPPaoi2EFjHVy10_rRJ0uvy6YcU"",""X:X""), IMPORTRANGE(""17XjIPGwafStTRf_8bPPaoi2EFjHVy10_rRJ0uvy6YcU"",""AE:AE"")) + SUMPRODUCT((IMPORTRANGE(""17XjIPGwafSt"&amp;"TRf_8bPPaoi2EFjHVy10_rRJ0uvy6YcU"",""M:M"")=B28)*1, IMPORTRANGE(""17XjIPGwafStTRf_8bPPaoi2EFjHVy10_rRJ0uvy6YcU"",""X:X""), IMPORTRANGE(""17XjIPGwafStTRf_8bPPaoi2EFjHVy10_rRJ0uvy6YcU"",""AF:AF""))"),234952.5778787284)</f>
        <v>234952.5779</v>
      </c>
      <c r="E28" s="24">
        <f>IFERROR(__xludf.DUMMYFUNCTION("SUMPRODUCT((IMPORTRANGE(""17XjIPGwafStTRf_8bPPaoi2EFjHVy10_rRJ0uvy6YcU"",""M:M"")=B28)*1, IMPORTRANGE(""17XjIPGwafStTRf_8bPPaoi2EFjHVy10_rRJ0uvy6YcU"",""X:X""), IMPORTRANGE(""17XjIPGwafStTRf_8bPPaoi2EFjHVy10_rRJ0uvy6YcU"",""AO:AO""))"),158161.58878793824)</f>
        <v>158161.5888</v>
      </c>
      <c r="F28" s="25">
        <f>IFERROR(__xludf.DUMMYFUNCTION("SUMPRODUCT((IMPORTRANGE(""17XjIPGwafStTRf_8bPPaoi2EFjHVy10_rRJ0uvy6YcU"",""M:M"")=B28)*1, IMPORTRANGE(""17XjIPGwafStTRf_8bPPaoi2EFjHVy10_rRJ0uvy6YcU"",""X:X""))"),128.0)</f>
        <v>128</v>
      </c>
      <c r="G28" s="26">
        <f>IFERROR(__xludf.DUMMYFUNCTION("COUNTIF(IMPORTRANGE(""17XjIPGwafStTRf_8bPPaoi2EFjHVy10_rRJ0uvy6YcU"",""M:M""), B28)"),24.0)</f>
        <v>24</v>
      </c>
      <c r="H28" s="27">
        <f t="shared" si="1"/>
        <v>5.333333333</v>
      </c>
      <c r="I28" s="28">
        <f t="shared" si="2"/>
        <v>0.3044062805</v>
      </c>
      <c r="J28" s="29">
        <f t="shared" si="3"/>
        <v>0.6731638793</v>
      </c>
      <c r="K28" s="32"/>
      <c r="L28" s="31" t="str">
        <f t="shared" si="4"/>
        <v/>
      </c>
      <c r="M28" s="31" t="str">
        <f t="shared" si="5"/>
        <v/>
      </c>
      <c r="N28" s="4"/>
    </row>
    <row r="29">
      <c r="A29" s="1"/>
      <c r="B29" s="23">
        <f t="shared" si="6"/>
        <v>44554</v>
      </c>
      <c r="C29" s="24">
        <f>IFERROR(__xludf.DUMMYFUNCTION("SUMPRODUCT((IMPORTRANGE(""17XjIPGwafStTRf_8bPPaoi2EFjHVy10_rRJ0uvy6YcU"",""M:M"")=B29)*1, IMPORTRANGE(""17XjIPGwafStTRf_8bPPaoi2EFjHVy10_rRJ0uvy6YcU"",""X:X""), IMPORTRANGE(""17XjIPGwafStTRf_8bPPaoi2EFjHVy10_rRJ0uvy6YcU"",""AK:AK"")) - SUMPRODUCT((IMPORTR"&amp;"ANGE(""17XjIPGwafStTRf_8bPPaoi2EFjHVy10_rRJ0uvy6YcU"",""M:M"")=B29)*1, IMPORTRANGE(""17XjIPGwafStTRf_8bPPaoi2EFjHVy10_rRJ0uvy6YcU"",""X:X""), IMPORTRANGE(""17XjIPGwafStTRf_8bPPaoi2EFjHVy10_rRJ0uvy6YcU"",""AL:AL""))"),295788.0)</f>
        <v>295788</v>
      </c>
      <c r="D29" s="24">
        <f>IFERROR(__xludf.DUMMYFUNCTION("SUMPRODUCT((IMPORTRANGE(""17XjIPGwafStTRf_8bPPaoi2EFjHVy10_rRJ0uvy6YcU"",""M:M"")=B29)*1, IMPORTRANGE(""17XjIPGwafStTRf_8bPPaoi2EFjHVy10_rRJ0uvy6YcU"",""X:X""), IMPORTRANGE(""17XjIPGwafStTRf_8bPPaoi2EFjHVy10_rRJ0uvy6YcU"",""AA:AA"")) + SUMPRODUCT((IMPORTR"&amp;"ANGE(""17XjIPGwafStTRf_8bPPaoi2EFjHVy10_rRJ0uvy6YcU"",""M:M"")=B29)*1, IMPORTRANGE(""17XjIPGwafStTRf_8bPPaoi2EFjHVy10_rRJ0uvy6YcU"",""X:X""), IMPORTRANGE(""17XjIPGwafStTRf_8bPPaoi2EFjHVy10_rRJ0uvy6YcU"",""AE:AE"")) + SUMPRODUCT((IMPORTRANGE(""17XjIPGwafSt"&amp;"TRf_8bPPaoi2EFjHVy10_rRJ0uvy6YcU"",""M:M"")=B29)*1, IMPORTRANGE(""17XjIPGwafStTRf_8bPPaoi2EFjHVy10_rRJ0uvy6YcU"",""X:X""), IMPORTRANGE(""17XjIPGwafStTRf_8bPPaoi2EFjHVy10_rRJ0uvy6YcU"",""AF:AF""))"),184006.9553491251)</f>
        <v>184006.9553</v>
      </c>
      <c r="E29" s="24">
        <f>IFERROR(__xludf.DUMMYFUNCTION("SUMPRODUCT((IMPORTRANGE(""17XjIPGwafStTRf_8bPPaoi2EFjHVy10_rRJ0uvy6YcU"",""M:M"")=B29)*1, IMPORTRANGE(""17XjIPGwafStTRf_8bPPaoi2EFjHVy10_rRJ0uvy6YcU"",""X:X""), IMPORTRANGE(""17XjIPGwafStTRf_8bPPaoi2EFjHVy10_rRJ0uvy6YcU"",""AO:AO""))"),62716.28076730781)</f>
        <v>62716.28077</v>
      </c>
      <c r="F29" s="25">
        <f>IFERROR(__xludf.DUMMYFUNCTION("SUMPRODUCT((IMPORTRANGE(""17XjIPGwafStTRf_8bPPaoi2EFjHVy10_rRJ0uvy6YcU"",""M:M"")=B29)*1, IMPORTRANGE(""17XjIPGwafStTRf_8bPPaoi2EFjHVy10_rRJ0uvy6YcU"",""X:X""))"),41.0)</f>
        <v>41</v>
      </c>
      <c r="G29" s="26">
        <f>IFERROR(__xludf.DUMMYFUNCTION("COUNTIF(IMPORTRANGE(""17XjIPGwafStTRf_8bPPaoi2EFjHVy10_rRJ0uvy6YcU"",""M:M""), B29)"),21.0)</f>
        <v>21</v>
      </c>
      <c r="H29" s="27">
        <f t="shared" si="1"/>
        <v>1.952380952</v>
      </c>
      <c r="I29" s="28">
        <f t="shared" si="2"/>
        <v>0.2120311871</v>
      </c>
      <c r="J29" s="29">
        <f t="shared" si="3"/>
        <v>0.3408364681</v>
      </c>
      <c r="K29" s="32"/>
      <c r="L29" s="31" t="str">
        <f t="shared" si="4"/>
        <v/>
      </c>
      <c r="M29" s="31" t="str">
        <f t="shared" si="5"/>
        <v/>
      </c>
      <c r="N29" s="4"/>
    </row>
    <row r="30">
      <c r="A30" s="1"/>
      <c r="B30" s="23">
        <f t="shared" si="6"/>
        <v>44555</v>
      </c>
      <c r="C30" s="24">
        <f>IFERROR(__xludf.DUMMYFUNCTION("SUMPRODUCT((IMPORTRANGE(""17XjIPGwafStTRf_8bPPaoi2EFjHVy10_rRJ0uvy6YcU"",""M:M"")=B30)*1, IMPORTRANGE(""17XjIPGwafStTRf_8bPPaoi2EFjHVy10_rRJ0uvy6YcU"",""X:X""), IMPORTRANGE(""17XjIPGwafStTRf_8bPPaoi2EFjHVy10_rRJ0uvy6YcU"",""AK:AK"")) - SUMPRODUCT((IMPORTR"&amp;"ANGE(""17XjIPGwafStTRf_8bPPaoi2EFjHVy10_rRJ0uvy6YcU"",""M:M"")=B30)*1, IMPORTRANGE(""17XjIPGwafStTRf_8bPPaoi2EFjHVy10_rRJ0uvy6YcU"",""X:X""), IMPORTRANGE(""17XjIPGwafStTRf_8bPPaoi2EFjHVy10_rRJ0uvy6YcU"",""AL:AL""))"),366255.0)</f>
        <v>366255</v>
      </c>
      <c r="D30" s="24">
        <f>IFERROR(__xludf.DUMMYFUNCTION("SUMPRODUCT((IMPORTRANGE(""17XjIPGwafStTRf_8bPPaoi2EFjHVy10_rRJ0uvy6YcU"",""M:M"")=B30)*1, IMPORTRANGE(""17XjIPGwafStTRf_8bPPaoi2EFjHVy10_rRJ0uvy6YcU"",""X:X""), IMPORTRANGE(""17XjIPGwafStTRf_8bPPaoi2EFjHVy10_rRJ0uvy6YcU"",""AA:AA"")) + SUMPRODUCT((IMPORTR"&amp;"ANGE(""17XjIPGwafStTRf_8bPPaoi2EFjHVy10_rRJ0uvy6YcU"",""M:M"")=B30)*1, IMPORTRANGE(""17XjIPGwafStTRf_8bPPaoi2EFjHVy10_rRJ0uvy6YcU"",""X:X""), IMPORTRANGE(""17XjIPGwafStTRf_8bPPaoi2EFjHVy10_rRJ0uvy6YcU"",""AE:AE"")) + SUMPRODUCT((IMPORTRANGE(""17XjIPGwafSt"&amp;"TRf_8bPPaoi2EFjHVy10_rRJ0uvy6YcU"",""M:M"")=B30)*1, IMPORTRANGE(""17XjIPGwafStTRf_8bPPaoi2EFjHVy10_rRJ0uvy6YcU"",""X:X""), IMPORTRANGE(""17XjIPGwafStTRf_8bPPaoi2EFjHVy10_rRJ0uvy6YcU"",""AF:AF""))"),287770.5377742836)</f>
        <v>287770.5378</v>
      </c>
      <c r="E30" s="24">
        <f>IFERROR(__xludf.DUMMYFUNCTION("SUMPRODUCT((IMPORTRANGE(""17XjIPGwafStTRf_8bPPaoi2EFjHVy10_rRJ0uvy6YcU"",""M:M"")=B30)*1, IMPORTRANGE(""17XjIPGwafStTRf_8bPPaoi2EFjHVy10_rRJ0uvy6YcU"",""X:X""), IMPORTRANGE(""17XjIPGwafStTRf_8bPPaoi2EFjHVy10_rRJ0uvy6YcU"",""AO:AO""))"),90133.46071316014)</f>
        <v>90133.46071</v>
      </c>
      <c r="F30" s="25">
        <f>IFERROR(__xludf.DUMMYFUNCTION("SUMPRODUCT((IMPORTRANGE(""17XjIPGwafStTRf_8bPPaoi2EFjHVy10_rRJ0uvy6YcU"",""M:M"")=B30)*1, IMPORTRANGE(""17XjIPGwafStTRf_8bPPaoi2EFjHVy10_rRJ0uvy6YcU"",""X:X""))"),33.0)</f>
        <v>33</v>
      </c>
      <c r="G30" s="26">
        <f>IFERROR(__xludf.DUMMYFUNCTION("COUNTIF(IMPORTRANGE(""17XjIPGwafStTRf_8bPPaoi2EFjHVy10_rRJ0uvy6YcU"",""M:M""), B30)"),20.0)</f>
        <v>20</v>
      </c>
      <c r="H30" s="27">
        <f t="shared" si="1"/>
        <v>1.65</v>
      </c>
      <c r="I30" s="28">
        <f t="shared" si="2"/>
        <v>0.2460948266</v>
      </c>
      <c r="J30" s="29">
        <f t="shared" si="3"/>
        <v>0.3132129557</v>
      </c>
      <c r="K30" s="30"/>
      <c r="L30" s="31" t="str">
        <f t="shared" si="4"/>
        <v/>
      </c>
      <c r="M30" s="31" t="str">
        <f t="shared" si="5"/>
        <v/>
      </c>
      <c r="N30" s="4"/>
    </row>
    <row r="31">
      <c r="A31" s="1"/>
      <c r="B31" s="23">
        <f t="shared" si="6"/>
        <v>44556</v>
      </c>
      <c r="C31" s="24">
        <f>IFERROR(__xludf.DUMMYFUNCTION("SUMPRODUCT((IMPORTRANGE(""17XjIPGwafStTRf_8bPPaoi2EFjHVy10_rRJ0uvy6YcU"",""M:M"")=B31)*1, IMPORTRANGE(""17XjIPGwafStTRf_8bPPaoi2EFjHVy10_rRJ0uvy6YcU"",""X:X""), IMPORTRANGE(""17XjIPGwafStTRf_8bPPaoi2EFjHVy10_rRJ0uvy6YcU"",""AK:AK"")) - SUMPRODUCT((IMPORTR"&amp;"ANGE(""17XjIPGwafStTRf_8bPPaoi2EFjHVy10_rRJ0uvy6YcU"",""M:M"")=B31)*1, IMPORTRANGE(""17XjIPGwafStTRf_8bPPaoi2EFjHVy10_rRJ0uvy6YcU"",""X:X""), IMPORTRANGE(""17XjIPGwafStTRf_8bPPaoi2EFjHVy10_rRJ0uvy6YcU"",""AL:AL""))"),648239.0)</f>
        <v>648239</v>
      </c>
      <c r="D31" s="24">
        <f>IFERROR(__xludf.DUMMYFUNCTION("SUMPRODUCT((IMPORTRANGE(""17XjIPGwafStTRf_8bPPaoi2EFjHVy10_rRJ0uvy6YcU"",""M:M"")=B31)*1, IMPORTRANGE(""17XjIPGwafStTRf_8bPPaoi2EFjHVy10_rRJ0uvy6YcU"",""X:X""), IMPORTRANGE(""17XjIPGwafStTRf_8bPPaoi2EFjHVy10_rRJ0uvy6YcU"",""AA:AA"")) + SUMPRODUCT((IMPORTR"&amp;"ANGE(""17XjIPGwafStTRf_8bPPaoi2EFjHVy10_rRJ0uvy6YcU"",""M:M"")=B31)*1, IMPORTRANGE(""17XjIPGwafStTRf_8bPPaoi2EFjHVy10_rRJ0uvy6YcU"",""X:X""), IMPORTRANGE(""17XjIPGwafStTRf_8bPPaoi2EFjHVy10_rRJ0uvy6YcU"",""AE:AE"")) + SUMPRODUCT((IMPORTRANGE(""17XjIPGwafSt"&amp;"TRf_8bPPaoi2EFjHVy10_rRJ0uvy6YcU"",""M:M"")=B31)*1, IMPORTRANGE(""17XjIPGwafStTRf_8bPPaoi2EFjHVy10_rRJ0uvy6YcU"",""X:X""), IMPORTRANGE(""17XjIPGwafStTRf_8bPPaoi2EFjHVy10_rRJ0uvy6YcU"",""AF:AF""))"),382759.1233954744)</f>
        <v>382759.1234</v>
      </c>
      <c r="E31" s="24">
        <f>IFERROR(__xludf.DUMMYFUNCTION("SUMPRODUCT((IMPORTRANGE(""17XjIPGwafStTRf_8bPPaoi2EFjHVy10_rRJ0uvy6YcU"",""M:M"")=B31)*1, IMPORTRANGE(""17XjIPGwafStTRf_8bPPaoi2EFjHVy10_rRJ0uvy6YcU"",""X:X""), IMPORTRANGE(""17XjIPGwafStTRf_8bPPaoi2EFjHVy10_rRJ0uvy6YcU"",""AO:AO""))"),153707.34315998844)</f>
        <v>153707.3432</v>
      </c>
      <c r="F31" s="25">
        <f>IFERROR(__xludf.DUMMYFUNCTION("SUMPRODUCT((IMPORTRANGE(""17XjIPGwafStTRf_8bPPaoi2EFjHVy10_rRJ0uvy6YcU"",""M:M"")=B31)*1, IMPORTRANGE(""17XjIPGwafStTRf_8bPPaoi2EFjHVy10_rRJ0uvy6YcU"",""X:X""))"),140.0)</f>
        <v>140</v>
      </c>
      <c r="G31" s="26">
        <f>IFERROR(__xludf.DUMMYFUNCTION("COUNTIF(IMPORTRANGE(""17XjIPGwafStTRf_8bPPaoi2EFjHVy10_rRJ0uvy6YcU"",""M:M""), B31)"),40.0)</f>
        <v>40</v>
      </c>
      <c r="H31" s="27">
        <f t="shared" si="1"/>
        <v>3.5</v>
      </c>
      <c r="I31" s="28">
        <f t="shared" si="2"/>
        <v>0.2371152355</v>
      </c>
      <c r="J31" s="29">
        <f t="shared" si="3"/>
        <v>0.401577216</v>
      </c>
      <c r="K31" s="30"/>
      <c r="L31" s="31" t="str">
        <f t="shared" si="4"/>
        <v/>
      </c>
      <c r="M31" s="31" t="str">
        <f t="shared" si="5"/>
        <v/>
      </c>
      <c r="N31" s="4"/>
    </row>
    <row r="32">
      <c r="A32" s="1"/>
      <c r="B32" s="23">
        <f t="shared" si="6"/>
        <v>44557</v>
      </c>
      <c r="C32" s="24">
        <f>IFERROR(__xludf.DUMMYFUNCTION("SUMPRODUCT((IMPORTRANGE(""17XjIPGwafStTRf_8bPPaoi2EFjHVy10_rRJ0uvy6YcU"",""M:M"")=B32)*1, IMPORTRANGE(""17XjIPGwafStTRf_8bPPaoi2EFjHVy10_rRJ0uvy6YcU"",""X:X""), IMPORTRANGE(""17XjIPGwafStTRf_8bPPaoi2EFjHVy10_rRJ0uvy6YcU"",""AK:AK"")) - SUMPRODUCT((IMPORTR"&amp;"ANGE(""17XjIPGwafStTRf_8bPPaoi2EFjHVy10_rRJ0uvy6YcU"",""M:M"")=B32)*1, IMPORTRANGE(""17XjIPGwafStTRf_8bPPaoi2EFjHVy10_rRJ0uvy6YcU"",""X:X""), IMPORTRANGE(""17XjIPGwafStTRf_8bPPaoi2EFjHVy10_rRJ0uvy6YcU"",""AL:AL""))"),0.0)</f>
        <v>0</v>
      </c>
      <c r="D32" s="24">
        <f>IFERROR(__xludf.DUMMYFUNCTION("SUMPRODUCT((IMPORTRANGE(""17XjIPGwafStTRf_8bPPaoi2EFjHVy10_rRJ0uvy6YcU"",""M:M"")=B32)*1, IMPORTRANGE(""17XjIPGwafStTRf_8bPPaoi2EFjHVy10_rRJ0uvy6YcU"",""X:X""), IMPORTRANGE(""17XjIPGwafStTRf_8bPPaoi2EFjHVy10_rRJ0uvy6YcU"",""AA:AA"")) + SUMPRODUCT((IMPORTR"&amp;"ANGE(""17XjIPGwafStTRf_8bPPaoi2EFjHVy10_rRJ0uvy6YcU"",""M:M"")=B32)*1, IMPORTRANGE(""17XjIPGwafStTRf_8bPPaoi2EFjHVy10_rRJ0uvy6YcU"",""X:X""), IMPORTRANGE(""17XjIPGwafStTRf_8bPPaoi2EFjHVy10_rRJ0uvy6YcU"",""AE:AE"")) + SUMPRODUCT((IMPORTRANGE(""17XjIPGwafSt"&amp;"TRf_8bPPaoi2EFjHVy10_rRJ0uvy6YcU"",""M:M"")=B32)*1, IMPORTRANGE(""17XjIPGwafStTRf_8bPPaoi2EFjHVy10_rRJ0uvy6YcU"",""X:X""), IMPORTRANGE(""17XjIPGwafStTRf_8bPPaoi2EFjHVy10_rRJ0uvy6YcU"",""AF:AF""))"),0.0)</f>
        <v>0</v>
      </c>
      <c r="E32" s="24">
        <f>IFERROR(__xludf.DUMMYFUNCTION("SUMPRODUCT((IMPORTRANGE(""17XjIPGwafStTRf_8bPPaoi2EFjHVy10_rRJ0uvy6YcU"",""M:M"")=B32)*1, IMPORTRANGE(""17XjIPGwafStTRf_8bPPaoi2EFjHVy10_rRJ0uvy6YcU"",""X:X""), IMPORTRANGE(""17XjIPGwafStTRf_8bPPaoi2EFjHVy10_rRJ0uvy6YcU"",""AO:AO""))"),0.0)</f>
        <v>0</v>
      </c>
      <c r="F32" s="25">
        <f>IFERROR(__xludf.DUMMYFUNCTION("SUMPRODUCT((IMPORTRANGE(""17XjIPGwafStTRf_8bPPaoi2EFjHVy10_rRJ0uvy6YcU"",""M:M"")=B32)*1, IMPORTRANGE(""17XjIPGwafStTRf_8bPPaoi2EFjHVy10_rRJ0uvy6YcU"",""X:X""))"),0.0)</f>
        <v>0</v>
      </c>
      <c r="G32" s="26">
        <f>IFERROR(__xludf.DUMMYFUNCTION("COUNTIF(IMPORTRANGE(""17XjIPGwafStTRf_8bPPaoi2EFjHVy10_rRJ0uvy6YcU"",""M:M""), B32)"),0.0)</f>
        <v>0</v>
      </c>
      <c r="H32" s="27" t="str">
        <f t="shared" si="1"/>
        <v/>
      </c>
      <c r="I32" s="28" t="str">
        <f t="shared" si="2"/>
        <v/>
      </c>
      <c r="J32" s="29" t="str">
        <f t="shared" si="3"/>
        <v/>
      </c>
      <c r="K32" s="32"/>
      <c r="L32" s="31" t="str">
        <f t="shared" si="4"/>
        <v/>
      </c>
      <c r="M32" s="31" t="str">
        <f t="shared" si="5"/>
        <v/>
      </c>
      <c r="N32" s="4"/>
    </row>
    <row r="33">
      <c r="A33" s="1"/>
      <c r="B33" s="23">
        <f t="shared" si="6"/>
        <v>44558</v>
      </c>
      <c r="C33" s="24">
        <f>IFERROR(__xludf.DUMMYFUNCTION("SUMPRODUCT((IMPORTRANGE(""17XjIPGwafStTRf_8bPPaoi2EFjHVy10_rRJ0uvy6YcU"",""M:M"")=B33)*1, IMPORTRANGE(""17XjIPGwafStTRf_8bPPaoi2EFjHVy10_rRJ0uvy6YcU"",""X:X""), IMPORTRANGE(""17XjIPGwafStTRf_8bPPaoi2EFjHVy10_rRJ0uvy6YcU"",""AK:AK"")) - SUMPRODUCT((IMPORTR"&amp;"ANGE(""17XjIPGwafStTRf_8bPPaoi2EFjHVy10_rRJ0uvy6YcU"",""M:M"")=B33)*1, IMPORTRANGE(""17XjIPGwafStTRf_8bPPaoi2EFjHVy10_rRJ0uvy6YcU"",""X:X""), IMPORTRANGE(""17XjIPGwafStTRf_8bPPaoi2EFjHVy10_rRJ0uvy6YcU"",""AL:AL""))"),731523.0)</f>
        <v>731523</v>
      </c>
      <c r="D33" s="24">
        <f>IFERROR(__xludf.DUMMYFUNCTION("SUMPRODUCT((IMPORTRANGE(""17XjIPGwafStTRf_8bPPaoi2EFjHVy10_rRJ0uvy6YcU"",""M:M"")=B33)*1, IMPORTRANGE(""17XjIPGwafStTRf_8bPPaoi2EFjHVy10_rRJ0uvy6YcU"",""X:X""), IMPORTRANGE(""17XjIPGwafStTRf_8bPPaoi2EFjHVy10_rRJ0uvy6YcU"",""AA:AA"")) + SUMPRODUCT((IMPORTR"&amp;"ANGE(""17XjIPGwafStTRf_8bPPaoi2EFjHVy10_rRJ0uvy6YcU"",""M:M"")=B33)*1, IMPORTRANGE(""17XjIPGwafStTRf_8bPPaoi2EFjHVy10_rRJ0uvy6YcU"",""X:X""), IMPORTRANGE(""17XjIPGwafStTRf_8bPPaoi2EFjHVy10_rRJ0uvy6YcU"",""AE:AE"")) + SUMPRODUCT((IMPORTRANGE(""17XjIPGwafSt"&amp;"TRf_8bPPaoi2EFjHVy10_rRJ0uvy6YcU"",""M:M"")=B33)*1, IMPORTRANGE(""17XjIPGwafStTRf_8bPPaoi2EFjHVy10_rRJ0uvy6YcU"",""X:X""), IMPORTRANGE(""17XjIPGwafStTRf_8bPPaoi2EFjHVy10_rRJ0uvy6YcU"",""AF:AF""))"),561024.6242174378)</f>
        <v>561024.6242</v>
      </c>
      <c r="E33" s="24">
        <f>IFERROR(__xludf.DUMMYFUNCTION("SUMPRODUCT((IMPORTRANGE(""17XjIPGwafStTRf_8bPPaoi2EFjHVy10_rRJ0uvy6YcU"",""M:M"")=B33)*1, IMPORTRANGE(""17XjIPGwafStTRf_8bPPaoi2EFjHVy10_rRJ0uvy6YcU"",""X:X""), IMPORTRANGE(""17XjIPGwafStTRf_8bPPaoi2EFjHVy10_rRJ0uvy6YcU"",""AO:AO""))"),143220.82074143417)</f>
        <v>143220.8207</v>
      </c>
      <c r="F33" s="25">
        <f>IFERROR(__xludf.DUMMYFUNCTION("SUMPRODUCT((IMPORTRANGE(""17XjIPGwafStTRf_8bPPaoi2EFjHVy10_rRJ0uvy6YcU"",""M:M"")=B33)*1, IMPORTRANGE(""17XjIPGwafStTRf_8bPPaoi2EFjHVy10_rRJ0uvy6YcU"",""X:X""))"),122.0)</f>
        <v>122</v>
      </c>
      <c r="G33" s="26">
        <f>IFERROR(__xludf.DUMMYFUNCTION("COUNTIF(IMPORTRANGE(""17XjIPGwafStTRf_8bPPaoi2EFjHVy10_rRJ0uvy6YcU"",""M:M""), B33)"),45.0)</f>
        <v>45</v>
      </c>
      <c r="H33" s="27">
        <f t="shared" si="1"/>
        <v>2.711111111</v>
      </c>
      <c r="I33" s="28">
        <f t="shared" si="2"/>
        <v>0.1957844398</v>
      </c>
      <c r="J33" s="29">
        <f t="shared" si="3"/>
        <v>0.2552843753</v>
      </c>
      <c r="K33" s="30"/>
      <c r="L33" s="31" t="str">
        <f t="shared" si="4"/>
        <v/>
      </c>
      <c r="M33" s="31" t="str">
        <f t="shared" si="5"/>
        <v/>
      </c>
      <c r="N33" s="4"/>
    </row>
    <row r="34">
      <c r="A34" s="1"/>
      <c r="B34" s="23">
        <f t="shared" ref="B34:B36" si="7">IFERROR(IF(MONTH(B33)=MONTH(B33+1),B33+1,"--"),"--")</f>
        <v>44559</v>
      </c>
      <c r="C34" s="24">
        <f>IFERROR(__xludf.DUMMYFUNCTION("SUMPRODUCT((IMPORTRANGE(""17XjIPGwafStTRf_8bPPaoi2EFjHVy10_rRJ0uvy6YcU"",""M:M"")=B34)*1, IMPORTRANGE(""17XjIPGwafStTRf_8bPPaoi2EFjHVy10_rRJ0uvy6YcU"",""X:X""), IMPORTRANGE(""17XjIPGwafStTRf_8bPPaoi2EFjHVy10_rRJ0uvy6YcU"",""AK:AK"")) - SUMPRODUCT((IMPORTR"&amp;"ANGE(""17XjIPGwafStTRf_8bPPaoi2EFjHVy10_rRJ0uvy6YcU"",""M:M"")=B34)*1, IMPORTRANGE(""17XjIPGwafStTRf_8bPPaoi2EFjHVy10_rRJ0uvy6YcU"",""X:X""), IMPORTRANGE(""17XjIPGwafStTRf_8bPPaoi2EFjHVy10_rRJ0uvy6YcU"",""AL:AL""))"),223290.0)</f>
        <v>223290</v>
      </c>
      <c r="D34" s="24">
        <f>IFERROR(__xludf.DUMMYFUNCTION("SUMPRODUCT((IMPORTRANGE(""17XjIPGwafStTRf_8bPPaoi2EFjHVy10_rRJ0uvy6YcU"",""M:M"")=B34)*1, IMPORTRANGE(""17XjIPGwafStTRf_8bPPaoi2EFjHVy10_rRJ0uvy6YcU"",""X:X""), IMPORTRANGE(""17XjIPGwafStTRf_8bPPaoi2EFjHVy10_rRJ0uvy6YcU"",""AA:AA"")) + SUMPRODUCT((IMPORTR"&amp;"ANGE(""17XjIPGwafStTRf_8bPPaoi2EFjHVy10_rRJ0uvy6YcU"",""M:M"")=B34)*1, IMPORTRANGE(""17XjIPGwafStTRf_8bPPaoi2EFjHVy10_rRJ0uvy6YcU"",""X:X""), IMPORTRANGE(""17XjIPGwafStTRf_8bPPaoi2EFjHVy10_rRJ0uvy6YcU"",""AE:AE"")) + SUMPRODUCT((IMPORTRANGE(""17XjIPGwafSt"&amp;"TRf_8bPPaoi2EFjHVy10_rRJ0uvy6YcU"",""M:M"")=B34)*1, IMPORTRANGE(""17XjIPGwafStTRf_8bPPaoi2EFjHVy10_rRJ0uvy6YcU"",""X:X""), IMPORTRANGE(""17XjIPGwafStTRf_8bPPaoi2EFjHVy10_rRJ0uvy6YcU"",""AF:AF""))"),96659.60758905845)</f>
        <v>96659.60759</v>
      </c>
      <c r="E34" s="24">
        <f>IFERROR(__xludf.DUMMYFUNCTION("SUMPRODUCT((IMPORTRANGE(""17XjIPGwafStTRf_8bPPaoi2EFjHVy10_rRJ0uvy6YcU"",""M:M"")=B34)*1, IMPORTRANGE(""17XjIPGwafStTRf_8bPPaoi2EFjHVy10_rRJ0uvy6YcU"",""X:X""), IMPORTRANGE(""17XjIPGwafStTRf_8bPPaoi2EFjHVy10_rRJ0uvy6YcU"",""AO:AO""))"),85532.39241094155)</f>
        <v>85532.39241</v>
      </c>
      <c r="F34" s="25">
        <f>IFERROR(__xludf.DUMMYFUNCTION("SUMPRODUCT((IMPORTRANGE(""17XjIPGwafStTRf_8bPPaoi2EFjHVy10_rRJ0uvy6YcU"",""M:M"")=B34)*1, IMPORTRANGE(""17XjIPGwafStTRf_8bPPaoi2EFjHVy10_rRJ0uvy6YcU"",""X:X""))"),53.0)</f>
        <v>53</v>
      </c>
      <c r="G34" s="26">
        <f>IFERROR(__xludf.DUMMYFUNCTION("COUNTIF(IMPORTRANGE(""17XjIPGwafStTRf_8bPPaoi2EFjHVy10_rRJ0uvy6YcU"",""M:M""), B34)"),10.0)</f>
        <v>10</v>
      </c>
      <c r="H34" s="27">
        <f t="shared" si="1"/>
        <v>5.3</v>
      </c>
      <c r="I34" s="28">
        <f t="shared" si="2"/>
        <v>0.3830551857</v>
      </c>
      <c r="J34" s="29">
        <f t="shared" si="3"/>
        <v>0.884882471</v>
      </c>
      <c r="K34" s="30"/>
      <c r="L34" s="31" t="str">
        <f t="shared" si="4"/>
        <v/>
      </c>
      <c r="M34" s="31" t="str">
        <f t="shared" si="5"/>
        <v/>
      </c>
      <c r="N34" s="4"/>
    </row>
    <row r="35">
      <c r="A35" s="1"/>
      <c r="B35" s="23">
        <f t="shared" si="7"/>
        <v>44560</v>
      </c>
      <c r="C35" s="24">
        <f>IFERROR(__xludf.DUMMYFUNCTION("SUMPRODUCT((IMPORTRANGE(""17XjIPGwafStTRf_8bPPaoi2EFjHVy10_rRJ0uvy6YcU"",""M:M"")=B35)*1, IMPORTRANGE(""17XjIPGwafStTRf_8bPPaoi2EFjHVy10_rRJ0uvy6YcU"",""X:X""), IMPORTRANGE(""17XjIPGwafStTRf_8bPPaoi2EFjHVy10_rRJ0uvy6YcU"",""AK:AK"")) - SUMPRODUCT((IMPORTR"&amp;"ANGE(""17XjIPGwafStTRf_8bPPaoi2EFjHVy10_rRJ0uvy6YcU"",""M:M"")=B35)*1, IMPORTRANGE(""17XjIPGwafStTRf_8bPPaoi2EFjHVy10_rRJ0uvy6YcU"",""X:X""), IMPORTRANGE(""17XjIPGwafStTRf_8bPPaoi2EFjHVy10_rRJ0uvy6YcU"",""AL:AL""))"),241621.0)</f>
        <v>241621</v>
      </c>
      <c r="D35" s="24">
        <f>IFERROR(__xludf.DUMMYFUNCTION("SUMPRODUCT((IMPORTRANGE(""17XjIPGwafStTRf_8bPPaoi2EFjHVy10_rRJ0uvy6YcU"",""M:M"")=B35)*1, IMPORTRANGE(""17XjIPGwafStTRf_8bPPaoi2EFjHVy10_rRJ0uvy6YcU"",""X:X""), IMPORTRANGE(""17XjIPGwafStTRf_8bPPaoi2EFjHVy10_rRJ0uvy6YcU"",""AA:AA"")) + SUMPRODUCT((IMPORTR"&amp;"ANGE(""17XjIPGwafStTRf_8bPPaoi2EFjHVy10_rRJ0uvy6YcU"",""M:M"")=B35)*1, IMPORTRANGE(""17XjIPGwafStTRf_8bPPaoi2EFjHVy10_rRJ0uvy6YcU"",""X:X""), IMPORTRANGE(""17XjIPGwafStTRf_8bPPaoi2EFjHVy10_rRJ0uvy6YcU"",""AE:AE"")) + SUMPRODUCT((IMPORTRANGE(""17XjIPGwafSt"&amp;"TRf_8bPPaoi2EFjHVy10_rRJ0uvy6YcU"",""M:M"")=B35)*1, IMPORTRANGE(""17XjIPGwafStTRf_8bPPaoi2EFjHVy10_rRJ0uvy6YcU"",""X:X""), IMPORTRANGE(""17XjIPGwafStTRf_8bPPaoi2EFjHVy10_rRJ0uvy6YcU"",""AF:AF""))"),171134.17899557526)</f>
        <v>171134.179</v>
      </c>
      <c r="E35" s="24">
        <f>IFERROR(__xludf.DUMMYFUNCTION("SUMPRODUCT((IMPORTRANGE(""17XjIPGwafStTRf_8bPPaoi2EFjHVy10_rRJ0uvy6YcU"",""M:M"")=B35)*1, IMPORTRANGE(""17XjIPGwafStTRf_8bPPaoi2EFjHVy10_rRJ0uvy6YcU"",""X:X""), IMPORTRANGE(""17XjIPGwafStTRf_8bPPaoi2EFjHVy10_rRJ0uvy6YcU"",""AO:AO""))"),44178.52148751651)</f>
        <v>44178.52149</v>
      </c>
      <c r="F35" s="25">
        <f>IFERROR(__xludf.DUMMYFUNCTION("SUMPRODUCT((IMPORTRANGE(""17XjIPGwafStTRf_8bPPaoi2EFjHVy10_rRJ0uvy6YcU"",""M:M"")=B35)*1, IMPORTRANGE(""17XjIPGwafStTRf_8bPPaoi2EFjHVy10_rRJ0uvy6YcU"",""X:X""))"),51.0)</f>
        <v>51</v>
      </c>
      <c r="G35" s="26">
        <f>IFERROR(__xludf.DUMMYFUNCTION("COUNTIF(IMPORTRANGE(""17XjIPGwafStTRf_8bPPaoi2EFjHVy10_rRJ0uvy6YcU"",""M:M""), B35)"),17.0)</f>
        <v>17</v>
      </c>
      <c r="H35" s="27">
        <f t="shared" si="1"/>
        <v>3</v>
      </c>
      <c r="I35" s="28">
        <f t="shared" si="2"/>
        <v>0.182842226</v>
      </c>
      <c r="J35" s="29">
        <f t="shared" si="3"/>
        <v>0.2581513626</v>
      </c>
      <c r="K35" s="32"/>
      <c r="L35" s="31" t="str">
        <f t="shared" si="4"/>
        <v/>
      </c>
      <c r="M35" s="31" t="str">
        <f t="shared" si="5"/>
        <v/>
      </c>
      <c r="N35" s="4"/>
    </row>
    <row r="36">
      <c r="A36" s="1"/>
      <c r="B36" s="23">
        <f t="shared" si="7"/>
        <v>44561</v>
      </c>
      <c r="C36" s="24">
        <f>IFERROR(__xludf.DUMMYFUNCTION("SUMPRODUCT((IMPORTRANGE(""17XjIPGwafStTRf_8bPPaoi2EFjHVy10_rRJ0uvy6YcU"",""M:M"")=B36)*1, IMPORTRANGE(""17XjIPGwafStTRf_8bPPaoi2EFjHVy10_rRJ0uvy6YcU"",""X:X""), IMPORTRANGE(""17XjIPGwafStTRf_8bPPaoi2EFjHVy10_rRJ0uvy6YcU"",""AK:AK"")) - SUMPRODUCT((IMPORTR"&amp;"ANGE(""17XjIPGwafStTRf_8bPPaoi2EFjHVy10_rRJ0uvy6YcU"",""M:M"")=B36)*1, IMPORTRANGE(""17XjIPGwafStTRf_8bPPaoi2EFjHVy10_rRJ0uvy6YcU"",""X:X""), IMPORTRANGE(""17XjIPGwafStTRf_8bPPaoi2EFjHVy10_rRJ0uvy6YcU"",""AL:AL""))"),331010.0)</f>
        <v>331010</v>
      </c>
      <c r="D36" s="24">
        <f>IFERROR(__xludf.DUMMYFUNCTION("SUMPRODUCT((IMPORTRANGE(""17XjIPGwafStTRf_8bPPaoi2EFjHVy10_rRJ0uvy6YcU"",""M:M"")=B36)*1, IMPORTRANGE(""17XjIPGwafStTRf_8bPPaoi2EFjHVy10_rRJ0uvy6YcU"",""X:X""), IMPORTRANGE(""17XjIPGwafStTRf_8bPPaoi2EFjHVy10_rRJ0uvy6YcU"",""AA:AA"")) + SUMPRODUCT((IMPORTR"&amp;"ANGE(""17XjIPGwafStTRf_8bPPaoi2EFjHVy10_rRJ0uvy6YcU"",""M:M"")=B36)*1, IMPORTRANGE(""17XjIPGwafStTRf_8bPPaoi2EFjHVy10_rRJ0uvy6YcU"",""X:X""), IMPORTRANGE(""17XjIPGwafStTRf_8bPPaoi2EFjHVy10_rRJ0uvy6YcU"",""AE:AE"")) + SUMPRODUCT((IMPORTRANGE(""17XjIPGwafSt"&amp;"TRf_8bPPaoi2EFjHVy10_rRJ0uvy6YcU"",""M:M"")=B36)*1, IMPORTRANGE(""17XjIPGwafStTRf_8bPPaoi2EFjHVy10_rRJ0uvy6YcU"",""X:X""), IMPORTRANGE(""17XjIPGwafStTRf_8bPPaoi2EFjHVy10_rRJ0uvy6YcU"",""AF:AF""))"),206191.13101685152)</f>
        <v>206191.131</v>
      </c>
      <c r="E36" s="24">
        <f>IFERROR(__xludf.DUMMYFUNCTION("SUMPRODUCT((IMPORTRANGE(""17XjIPGwafStTRf_8bPPaoi2EFjHVy10_rRJ0uvy6YcU"",""M:M"")=B36)*1, IMPORTRANGE(""17XjIPGwafStTRf_8bPPaoi2EFjHVy10_rRJ0uvy6YcU"",""X:X""), IMPORTRANGE(""17XjIPGwafStTRf_8bPPaoi2EFjHVy10_rRJ0uvy6YcU"",""AO:AO""))"),73215.13336671004)</f>
        <v>73215.13337</v>
      </c>
      <c r="F36" s="25">
        <f>IFERROR(__xludf.DUMMYFUNCTION("SUMPRODUCT((IMPORTRANGE(""17XjIPGwafStTRf_8bPPaoi2EFjHVy10_rRJ0uvy6YcU"",""M:M"")=B36)*1, IMPORTRANGE(""17XjIPGwafStTRf_8bPPaoi2EFjHVy10_rRJ0uvy6YcU"",""X:X""))"),59.0)</f>
        <v>59</v>
      </c>
      <c r="G36" s="26">
        <f>IFERROR(__xludf.DUMMYFUNCTION("COUNTIF(IMPORTRANGE(""17XjIPGwafStTRf_8bPPaoi2EFjHVy10_rRJ0uvy6YcU"",""M:M""), B36)"),28.0)</f>
        <v>28</v>
      </c>
      <c r="H36" s="27">
        <f t="shared" si="1"/>
        <v>2.107142857</v>
      </c>
      <c r="I36" s="28">
        <f t="shared" si="2"/>
        <v>0.221187074</v>
      </c>
      <c r="J36" s="29">
        <f t="shared" si="3"/>
        <v>0.3550838147</v>
      </c>
      <c r="K36" s="30"/>
      <c r="L36" s="31" t="str">
        <f>if(B36="","",IF(K36="","",E36/K36))</f>
        <v/>
      </c>
      <c r="M36" s="31" t="str">
        <f>if(B36="","",IF(K36="","",D36/K36))</f>
        <v/>
      </c>
      <c r="N36" s="4"/>
    </row>
    <row r="37">
      <c r="A37" s="4"/>
      <c r="B37" s="33" t="s">
        <v>16</v>
      </c>
      <c r="C37" s="34">
        <f t="shared" ref="C37:H37" si="8">SUM(C6:C36)</f>
        <v>10849022</v>
      </c>
      <c r="D37" s="34">
        <f t="shared" si="8"/>
        <v>6664081.896</v>
      </c>
      <c r="E37" s="34">
        <f t="shared" si="8"/>
        <v>2513209.513</v>
      </c>
      <c r="F37" s="34">
        <f t="shared" si="8"/>
        <v>2022</v>
      </c>
      <c r="G37" s="34">
        <f t="shared" si="8"/>
        <v>719</v>
      </c>
      <c r="H37" s="34">
        <f t="shared" si="8"/>
        <v>84.98568332</v>
      </c>
      <c r="I37" s="35">
        <f t="shared" si="2"/>
        <v>0.231653094</v>
      </c>
      <c r="J37" s="35">
        <f t="shared" si="3"/>
        <v>0.3771276453</v>
      </c>
      <c r="K37" s="33">
        <f>SUM(K6:K36)</f>
        <v>0</v>
      </c>
      <c r="L37" s="34" t="str">
        <f>iferror(IF(K37="","",E37/K37),"")</f>
        <v/>
      </c>
      <c r="M37" s="34" t="str">
        <f>iferror(IF(K37="","",D37/K37),"")</f>
        <v/>
      </c>
      <c r="N37" s="4"/>
    </row>
    <row r="38">
      <c r="A38" s="4"/>
      <c r="B38" s="4"/>
      <c r="C38" s="4"/>
      <c r="D38" s="36" t="s">
        <v>17</v>
      </c>
      <c r="E38" s="4"/>
      <c r="F38" s="4"/>
      <c r="G38" s="4"/>
      <c r="H38" s="4"/>
      <c r="I38" s="4"/>
      <c r="J38" s="4"/>
      <c r="K38" s="4"/>
      <c r="L38" s="4"/>
      <c r="M38" s="4"/>
      <c r="N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