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ocuments\GitHub\GNURADIO_THESIS_MASTER\Telemetry Ranging Cleaned\Results\"/>
    </mc:Choice>
  </mc:AlternateContent>
  <xr:revisionPtr revIDLastSave="0" documentId="13_ncr:1_{FF0E23D1-9DEE-494B-8082-3A906638E70D}" xr6:coauthVersionLast="47" xr6:coauthVersionMax="47" xr10:uidLastSave="{00000000-0000-0000-0000-000000000000}"/>
  <bookViews>
    <workbookView xWindow="-108" yWindow="-108" windowWidth="23256" windowHeight="12576" activeTab="5" xr2:uid="{C9ACDD87-55BB-45B5-ACDC-55C44FF6AA59}"/>
  </bookViews>
  <sheets>
    <sheet name="2400bps" sheetId="4" r:id="rId1"/>
    <sheet name="9600bps" sheetId="1" r:id="rId2"/>
    <sheet name="Test" sheetId="3" r:id="rId3"/>
    <sheet name="1200bps" sheetId="5" r:id="rId4"/>
    <sheet name="4800bps" sheetId="2" r:id="rId5"/>
    <sheet name="Graph" sheetId="6" r:id="rId6"/>
  </sheets>
  <definedNames>
    <definedName name="_xlchart.v1.0" hidden="1">'2400bps'!$H$3:$H$12</definedName>
    <definedName name="_xlchart.v1.1" hidden="1">'2400bps'!$F$3:$F$12</definedName>
    <definedName name="_xlchart.v1.2" hidden="1">'1200bps'!$F$3:$F$8</definedName>
    <definedName name="_xlchart.v1.3" hidden="1">'4800bps'!$F$2:$F$21</definedName>
    <definedName name="solver_adj" localSheetId="3" hidden="1">'1200bps'!$L$3</definedName>
    <definedName name="solver_adj" localSheetId="0" hidden="1">'2400bps'!$L$3</definedName>
    <definedName name="solver_adj" localSheetId="4" hidden="1">'4800bps'!$L$2</definedName>
    <definedName name="solver_adj" localSheetId="1" hidden="1">'9600bps'!$L$2</definedName>
    <definedName name="solver_cvg" localSheetId="3" hidden="1">0.0001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3" hidden="1">1</definedName>
    <definedName name="solver_drv" localSheetId="0" hidden="1">2</definedName>
    <definedName name="solver_drv" localSheetId="4" hidden="1">1</definedName>
    <definedName name="solver_drv" localSheetId="1" hidden="1">2</definedName>
    <definedName name="solver_eng" localSheetId="3" hidden="1">3</definedName>
    <definedName name="solver_eng" localSheetId="0" hidden="1">3</definedName>
    <definedName name="solver_eng" localSheetId="4" hidden="1">3</definedName>
    <definedName name="solver_eng" localSheetId="1" hidden="1">3</definedName>
    <definedName name="solver_est" localSheetId="3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3" hidden="1">2147483647</definedName>
    <definedName name="solver_itr" localSheetId="0" hidden="1">2147483647</definedName>
    <definedName name="solver_itr" localSheetId="4" hidden="1">2147483647</definedName>
    <definedName name="solver_itr" localSheetId="1" hidden="1">2147483647</definedName>
    <definedName name="solver_lhs1" localSheetId="3" hidden="1">'1200bps'!$L$3</definedName>
    <definedName name="solver_lhs1" localSheetId="0" hidden="1">'2400bps'!$L$3</definedName>
    <definedName name="solver_lhs1" localSheetId="4" hidden="1">'4800bps'!$L$2</definedName>
    <definedName name="solver_lhs1" localSheetId="1" hidden="1">'9600bps'!$L$2</definedName>
    <definedName name="solver_lhs2" localSheetId="3" hidden="1">'1200bps'!$L$3</definedName>
    <definedName name="solver_lhs2" localSheetId="0" hidden="1">'2400bps'!$L$3</definedName>
    <definedName name="solver_lhs2" localSheetId="4" hidden="1">'4800bps'!$L$2</definedName>
    <definedName name="solver_lhs2" localSheetId="1" hidden="1">'9600bps'!$L$2</definedName>
    <definedName name="solver_mip" localSheetId="3" hidden="1">2147483647</definedName>
    <definedName name="solver_mip" localSheetId="0" hidden="1">2147483647</definedName>
    <definedName name="solver_mip" localSheetId="4" hidden="1">2147483647</definedName>
    <definedName name="solver_mip" localSheetId="1" hidden="1">2147483647</definedName>
    <definedName name="solver_mni" localSheetId="3" hidden="1">30</definedName>
    <definedName name="solver_mni" localSheetId="0" hidden="1">30</definedName>
    <definedName name="solver_mni" localSheetId="4" hidden="1">30</definedName>
    <definedName name="solver_mni" localSheetId="1" hidden="1">30</definedName>
    <definedName name="solver_mrt" localSheetId="3" hidden="1">0.075</definedName>
    <definedName name="solver_mrt" localSheetId="0" hidden="1">0.075</definedName>
    <definedName name="solver_mrt" localSheetId="4" hidden="1">0.075</definedName>
    <definedName name="solver_mrt" localSheetId="1" hidden="1">0.075</definedName>
    <definedName name="solver_msl" localSheetId="3" hidden="1">2</definedName>
    <definedName name="solver_msl" localSheetId="0" hidden="1">2</definedName>
    <definedName name="solver_msl" localSheetId="4" hidden="1">2</definedName>
    <definedName name="solver_msl" localSheetId="1" hidden="1">2</definedName>
    <definedName name="solver_neg" localSheetId="3" hidden="1">1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od" localSheetId="3" hidden="1">2147483647</definedName>
    <definedName name="solver_nod" localSheetId="0" hidden="1">2147483647</definedName>
    <definedName name="solver_nod" localSheetId="4" hidden="1">2147483647</definedName>
    <definedName name="solver_nod" localSheetId="1" hidden="1">2147483647</definedName>
    <definedName name="solver_num" localSheetId="3" hidden="1">2</definedName>
    <definedName name="solver_num" localSheetId="0" hidden="1">2</definedName>
    <definedName name="solver_num" localSheetId="4" hidden="1">2</definedName>
    <definedName name="solver_num" localSheetId="1" hidden="1">2</definedName>
    <definedName name="solver_nwt" localSheetId="3" hidden="1">1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3" hidden="1">'1200bps'!$Q$3</definedName>
    <definedName name="solver_opt" localSheetId="0" hidden="1">'2400bps'!$Q$3</definedName>
    <definedName name="solver_opt" localSheetId="4" hidden="1">'4800bps'!$Q$18</definedName>
    <definedName name="solver_opt" localSheetId="1" hidden="1">'9600bps'!$O$23</definedName>
    <definedName name="solver_pre" localSheetId="3" hidden="1">0.000001</definedName>
    <definedName name="solver_pre" localSheetId="0" hidden="1">0.000001</definedName>
    <definedName name="solver_pre" localSheetId="4" hidden="1">0.000001</definedName>
    <definedName name="solver_pre" localSheetId="1" hidden="1">0.000001</definedName>
    <definedName name="solver_rbv" localSheetId="3" hidden="1">1</definedName>
    <definedName name="solver_rbv" localSheetId="0" hidden="1">2</definedName>
    <definedName name="solver_rbv" localSheetId="4" hidden="1">1</definedName>
    <definedName name="solver_rbv" localSheetId="1" hidden="1">2</definedName>
    <definedName name="solver_rel1" localSheetId="3" hidden="1">1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3" hidden="1">3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hs1" localSheetId="3" hidden="1">11800</definedName>
    <definedName name="solver_rhs1" localSheetId="0" hidden="1">4800</definedName>
    <definedName name="solver_rhs1" localSheetId="4" hidden="1">1200</definedName>
    <definedName name="solver_rhs1" localSheetId="1" hidden="1">1100</definedName>
    <definedName name="solver_rhs2" localSheetId="3" hidden="1">10800</definedName>
    <definedName name="solver_rhs2" localSheetId="0" hidden="1">4400</definedName>
    <definedName name="solver_rhs2" localSheetId="4" hidden="1">1000</definedName>
    <definedName name="solver_rhs2" localSheetId="1" hidden="1">800</definedName>
    <definedName name="solver_rlx" localSheetId="3" hidden="1">2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rsd" localSheetId="3" hidden="1">0</definedName>
    <definedName name="solver_rsd" localSheetId="0" hidden="1">0</definedName>
    <definedName name="solver_rsd" localSheetId="4" hidden="1">0</definedName>
    <definedName name="solver_rsd" localSheetId="1" hidden="1">0</definedName>
    <definedName name="solver_scl" localSheetId="3" hidden="1">1</definedName>
    <definedName name="solver_scl" localSheetId="0" hidden="1">2</definedName>
    <definedName name="solver_scl" localSheetId="4" hidden="1">1</definedName>
    <definedName name="solver_scl" localSheetId="1" hidden="1">1</definedName>
    <definedName name="solver_sho" localSheetId="3" hidden="1">2</definedName>
    <definedName name="solver_sho" localSheetId="0" hidden="1">2</definedName>
    <definedName name="solver_sho" localSheetId="4" hidden="1">2</definedName>
    <definedName name="solver_sho" localSheetId="1" hidden="1">2</definedName>
    <definedName name="solver_ssz" localSheetId="3" hidden="1">100</definedName>
    <definedName name="solver_ssz" localSheetId="0" hidden="1">100</definedName>
    <definedName name="solver_ssz" localSheetId="4" hidden="1">100</definedName>
    <definedName name="solver_ssz" localSheetId="1" hidden="1">100</definedName>
    <definedName name="solver_tim" localSheetId="3" hidden="1">2147483647</definedName>
    <definedName name="solver_tim" localSheetId="0" hidden="1">2147483647</definedName>
    <definedName name="solver_tim" localSheetId="4" hidden="1">2147483647</definedName>
    <definedName name="solver_tim" localSheetId="1" hidden="1">2147483647</definedName>
    <definedName name="solver_tol" localSheetId="3" hidden="1">0.01</definedName>
    <definedName name="solver_tol" localSheetId="0" hidden="1">0.01</definedName>
    <definedName name="solver_tol" localSheetId="4" hidden="1">1</definedName>
    <definedName name="solver_tol" localSheetId="1" hidden="1">1</definedName>
    <definedName name="solver_typ" localSheetId="3" hidden="1">2</definedName>
    <definedName name="solver_typ" localSheetId="0" hidden="1">2</definedName>
    <definedName name="solver_typ" localSheetId="4" hidden="1">2</definedName>
    <definedName name="solver_typ" localSheetId="1" hidden="1">2</definedName>
    <definedName name="solver_val" localSheetId="3" hidden="1">0</definedName>
    <definedName name="solver_val" localSheetId="0" hidden="1">0</definedName>
    <definedName name="solver_val" localSheetId="4" hidden="1">0</definedName>
    <definedName name="solver_val" localSheetId="1" hidden="1">0</definedName>
    <definedName name="solver_ver" localSheetId="3" hidden="1">3</definedName>
    <definedName name="solver_ver" localSheetId="0" hidden="1">3</definedName>
    <definedName name="solver_ver" localSheetId="4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6" l="1"/>
  <c r="M19" i="6"/>
  <c r="N19" i="6"/>
  <c r="O19" i="6"/>
  <c r="K19" i="6"/>
  <c r="L17" i="6"/>
  <c r="M17" i="6"/>
  <c r="N17" i="6"/>
  <c r="O17" i="6"/>
  <c r="K17" i="6"/>
  <c r="O5" i="6"/>
  <c r="L12" i="6"/>
  <c r="M12" i="6"/>
  <c r="N12" i="6"/>
  <c r="K12" i="6"/>
  <c r="K15" i="6"/>
  <c r="L9" i="6"/>
  <c r="M9" i="6"/>
  <c r="N9" i="6"/>
  <c r="K9" i="6"/>
  <c r="I69" i="2"/>
  <c r="K5" i="6"/>
  <c r="I3" i="5"/>
  <c r="I36" i="4"/>
  <c r="J19" i="2"/>
  <c r="K7" i="6"/>
  <c r="T6" i="2" l="1"/>
  <c r="R8" i="2"/>
  <c r="R5" i="2"/>
  <c r="R7" i="2"/>
  <c r="R4" i="2"/>
  <c r="J21" i="1"/>
  <c r="J18" i="1"/>
  <c r="J29" i="1"/>
  <c r="J28" i="1"/>
  <c r="J17" i="1"/>
  <c r="K13" i="1"/>
  <c r="K34" i="1"/>
  <c r="K33" i="1"/>
  <c r="K49" i="1" l="1"/>
  <c r="J37" i="1" l="1"/>
  <c r="K26" i="1"/>
  <c r="K2" i="1"/>
  <c r="K22" i="1"/>
  <c r="G23" i="1"/>
  <c r="G2" i="2"/>
  <c r="H2" i="2" s="1"/>
  <c r="Q7" i="1"/>
  <c r="R32" i="1"/>
  <c r="Q32" i="1"/>
  <c r="R7" i="1"/>
  <c r="K25" i="1"/>
  <c r="K6" i="6"/>
  <c r="L6" i="6"/>
  <c r="M6" i="6"/>
  <c r="N6" i="6"/>
  <c r="L5" i="6"/>
  <c r="M5" i="6"/>
  <c r="N5" i="6"/>
  <c r="C6" i="6"/>
  <c r="D6" i="6"/>
  <c r="E6" i="6"/>
  <c r="B6" i="6"/>
  <c r="C5" i="6"/>
  <c r="D5" i="6"/>
  <c r="E5" i="6"/>
  <c r="B5" i="6"/>
  <c r="C4" i="6"/>
  <c r="D4" i="6"/>
  <c r="E4" i="6"/>
  <c r="B4" i="6"/>
  <c r="L4" i="5"/>
  <c r="G4" i="5" s="1"/>
  <c r="H4" i="5" s="1"/>
  <c r="O4" i="5" s="1"/>
  <c r="G3" i="5"/>
  <c r="H3" i="5" s="1"/>
  <c r="L4" i="4"/>
  <c r="G4" i="4" s="1"/>
  <c r="H4" i="4" s="1"/>
  <c r="D11" i="5"/>
  <c r="B11" i="5"/>
  <c r="D10" i="5"/>
  <c r="B10" i="5"/>
  <c r="D9" i="5"/>
  <c r="B9" i="5"/>
  <c r="D8" i="5"/>
  <c r="B8" i="5"/>
  <c r="D7" i="5"/>
  <c r="E7" i="5" s="1"/>
  <c r="F7" i="5" s="1"/>
  <c r="B7" i="5"/>
  <c r="D6" i="5"/>
  <c r="B6" i="5"/>
  <c r="D5" i="5"/>
  <c r="B5" i="5"/>
  <c r="D4" i="5"/>
  <c r="B4" i="5"/>
  <c r="D3" i="5"/>
  <c r="B3" i="5"/>
  <c r="G3" i="4"/>
  <c r="H3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E17" i="4" s="1"/>
  <c r="F17" i="4" s="1"/>
  <c r="B18" i="4"/>
  <c r="B19" i="4"/>
  <c r="B20" i="4"/>
  <c r="B21" i="4"/>
  <c r="E21" i="4" s="1"/>
  <c r="F21" i="4" s="1"/>
  <c r="B22" i="4"/>
  <c r="B23" i="4"/>
  <c r="B24" i="4"/>
  <c r="B25" i="4"/>
  <c r="B26" i="4"/>
  <c r="B27" i="4"/>
  <c r="B28" i="4"/>
  <c r="B29" i="4"/>
  <c r="B30" i="4"/>
  <c r="B31" i="4"/>
  <c r="B32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E7" i="4"/>
  <c r="F7" i="4" s="1"/>
  <c r="D6" i="4"/>
  <c r="D5" i="4"/>
  <c r="D4" i="4"/>
  <c r="B4" i="4"/>
  <c r="D3" i="4"/>
  <c r="E3" i="4" s="1"/>
  <c r="F3" i="4" s="1"/>
  <c r="B3" i="4"/>
  <c r="E17" i="2"/>
  <c r="F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" i="3"/>
  <c r="F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" i="3"/>
  <c r="E24" i="3"/>
  <c r="K7" i="3"/>
  <c r="K8" i="3"/>
  <c r="K9" i="3"/>
  <c r="K10" i="3"/>
  <c r="K11" i="3"/>
  <c r="K12" i="3"/>
  <c r="K13" i="3"/>
  <c r="B12" i="3" s="1"/>
  <c r="K14" i="3"/>
  <c r="B13" i="3" s="1"/>
  <c r="K15" i="3"/>
  <c r="K16" i="3"/>
  <c r="K17" i="3"/>
  <c r="K18" i="3"/>
  <c r="K19" i="3"/>
  <c r="K20" i="3"/>
  <c r="K21" i="3"/>
  <c r="B20" i="3" s="1"/>
  <c r="K22" i="3"/>
  <c r="B21" i="3" s="1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B6" i="3"/>
  <c r="C6" i="3" s="1"/>
  <c r="D6" i="3" s="1"/>
  <c r="B7" i="3"/>
  <c r="B8" i="3"/>
  <c r="B9" i="3"/>
  <c r="B10" i="3"/>
  <c r="B11" i="3"/>
  <c r="B14" i="3"/>
  <c r="B15" i="3"/>
  <c r="B16" i="3"/>
  <c r="B17" i="3"/>
  <c r="B18" i="3"/>
  <c r="B19" i="3"/>
  <c r="B22" i="3"/>
  <c r="B23" i="3"/>
  <c r="B24" i="3"/>
  <c r="B25" i="3"/>
  <c r="B26" i="3"/>
  <c r="B27" i="3"/>
  <c r="B28" i="3"/>
  <c r="B29" i="3"/>
  <c r="B30" i="3"/>
  <c r="G7" i="3"/>
  <c r="G8" i="3" s="1"/>
  <c r="C2" i="3"/>
  <c r="D2" i="3" s="1"/>
  <c r="C3" i="3"/>
  <c r="D3" i="3" s="1"/>
  <c r="C4" i="3"/>
  <c r="D4" i="3" s="1"/>
  <c r="C5" i="3"/>
  <c r="D5" i="3" s="1"/>
  <c r="C7" i="3"/>
  <c r="D7" i="3" s="1"/>
  <c r="B1" i="3"/>
  <c r="G2" i="3"/>
  <c r="K2" i="3"/>
  <c r="C1" i="3" s="1"/>
  <c r="D1" i="3" s="1"/>
  <c r="G3" i="3"/>
  <c r="G4" i="3" s="1"/>
  <c r="K3" i="3"/>
  <c r="B2" i="3" s="1"/>
  <c r="B4" i="3"/>
  <c r="K4" i="3"/>
  <c r="B3" i="3" s="1"/>
  <c r="K5" i="3"/>
  <c r="K6" i="3"/>
  <c r="B5" i="3" s="1"/>
  <c r="L5" i="5" l="1"/>
  <c r="L5" i="4"/>
  <c r="O4" i="4"/>
  <c r="E5" i="5"/>
  <c r="F5" i="5" s="1"/>
  <c r="E6" i="5"/>
  <c r="F6" i="5" s="1"/>
  <c r="E10" i="5"/>
  <c r="F10" i="5" s="1"/>
  <c r="E4" i="5"/>
  <c r="F4" i="5" s="1"/>
  <c r="E8" i="5"/>
  <c r="F8" i="5" s="1"/>
  <c r="E9" i="5"/>
  <c r="F9" i="5" s="1"/>
  <c r="E3" i="5"/>
  <c r="F3" i="5" s="1"/>
  <c r="E11" i="5"/>
  <c r="F11" i="5" s="1"/>
  <c r="E11" i="4"/>
  <c r="F11" i="4" s="1"/>
  <c r="E12" i="4"/>
  <c r="F12" i="4" s="1"/>
  <c r="E9" i="4"/>
  <c r="F9" i="4" s="1"/>
  <c r="E19" i="4"/>
  <c r="F19" i="4" s="1"/>
  <c r="E16" i="4"/>
  <c r="F16" i="4" s="1"/>
  <c r="E6" i="4"/>
  <c r="F6" i="4" s="1"/>
  <c r="E10" i="4"/>
  <c r="F10" i="4" s="1"/>
  <c r="E14" i="4"/>
  <c r="F14" i="4" s="1"/>
  <c r="E20" i="4"/>
  <c r="F20" i="4" s="1"/>
  <c r="E4" i="4"/>
  <c r="F4" i="4" s="1"/>
  <c r="E15" i="4"/>
  <c r="F15" i="4" s="1"/>
  <c r="E18" i="4"/>
  <c r="F18" i="4" s="1"/>
  <c r="E8" i="4"/>
  <c r="F8" i="4" s="1"/>
  <c r="E5" i="4"/>
  <c r="F5" i="4" s="1"/>
  <c r="E22" i="4"/>
  <c r="F22" i="4" s="1"/>
  <c r="C8" i="3"/>
  <c r="D8" i="3" s="1"/>
  <c r="G9" i="3"/>
  <c r="G5" i="3"/>
  <c r="L6" i="5" l="1"/>
  <c r="G5" i="5"/>
  <c r="H5" i="5" s="1"/>
  <c r="O5" i="5" s="1"/>
  <c r="L6" i="4"/>
  <c r="G5" i="4"/>
  <c r="H5" i="4" s="1"/>
  <c r="O5" i="4" s="1"/>
  <c r="C9" i="3"/>
  <c r="D9" i="3" s="1"/>
  <c r="G10" i="3"/>
  <c r="G6" i="3"/>
  <c r="G6" i="5" l="1"/>
  <c r="H6" i="5" s="1"/>
  <c r="L7" i="5"/>
  <c r="L7" i="4"/>
  <c r="G6" i="4"/>
  <c r="H6" i="4" s="1"/>
  <c r="O6" i="4" s="1"/>
  <c r="C10" i="3"/>
  <c r="D10" i="3" s="1"/>
  <c r="G11" i="3"/>
  <c r="G7" i="5" l="1"/>
  <c r="H7" i="5" s="1"/>
  <c r="O7" i="5" s="1"/>
  <c r="L8" i="5"/>
  <c r="O6" i="5"/>
  <c r="L8" i="4"/>
  <c r="G7" i="4"/>
  <c r="H7" i="4" s="1"/>
  <c r="O7" i="4" s="1"/>
  <c r="C11" i="3"/>
  <c r="D11" i="3" s="1"/>
  <c r="G12" i="3"/>
  <c r="G8" i="5" l="1"/>
  <c r="H8" i="5" s="1"/>
  <c r="L9" i="5"/>
  <c r="L9" i="4"/>
  <c r="G8" i="4"/>
  <c r="H8" i="4" s="1"/>
  <c r="O8" i="4" s="1"/>
  <c r="C12" i="3"/>
  <c r="D12" i="3" s="1"/>
  <c r="G13" i="3"/>
  <c r="L10" i="5" l="1"/>
  <c r="G9" i="5"/>
  <c r="H9" i="5" s="1"/>
  <c r="O9" i="5" s="1"/>
  <c r="I2" i="5" a="1"/>
  <c r="I2" i="5" s="1"/>
  <c r="O8" i="5"/>
  <c r="L10" i="4"/>
  <c r="G9" i="4"/>
  <c r="H9" i="4" s="1"/>
  <c r="O9" i="4" s="1"/>
  <c r="G14" i="3"/>
  <c r="C13" i="3"/>
  <c r="D13" i="3" s="1"/>
  <c r="L11" i="5" l="1"/>
  <c r="G11" i="5" s="1"/>
  <c r="H11" i="5" s="1"/>
  <c r="O11" i="5" s="1"/>
  <c r="G10" i="5"/>
  <c r="H10" i="5" s="1"/>
  <c r="L11" i="4"/>
  <c r="G10" i="4"/>
  <c r="H10" i="4" s="1"/>
  <c r="G15" i="3"/>
  <c r="C14" i="3"/>
  <c r="D14" i="3" s="1"/>
  <c r="N3" i="5" l="1"/>
  <c r="O3" i="5" s="1"/>
  <c r="O10" i="5"/>
  <c r="O10" i="4"/>
  <c r="G11" i="4"/>
  <c r="H11" i="4" s="1"/>
  <c r="O11" i="4" s="1"/>
  <c r="L12" i="4"/>
  <c r="G16" i="3"/>
  <c r="C15" i="3"/>
  <c r="D15" i="3" s="1"/>
  <c r="Q3" i="5" l="1" a="1"/>
  <c r="Q3" i="5" s="1"/>
  <c r="L13" i="4"/>
  <c r="L14" i="4" s="1"/>
  <c r="G12" i="4"/>
  <c r="H12" i="4" s="1"/>
  <c r="O12" i="4" s="1"/>
  <c r="C16" i="3"/>
  <c r="D16" i="3" s="1"/>
  <c r="G17" i="3"/>
  <c r="N3" i="4" l="1"/>
  <c r="O3" i="4" s="1"/>
  <c r="Q3" i="4" s="1" a="1"/>
  <c r="Q3" i="4" s="1"/>
  <c r="I3" i="4"/>
  <c r="I2" i="4" a="1"/>
  <c r="I2" i="4" s="1"/>
  <c r="G14" i="4"/>
  <c r="H14" i="4" s="1"/>
  <c r="L15" i="4"/>
  <c r="C17" i="3"/>
  <c r="D17" i="3" s="1"/>
  <c r="G18" i="3"/>
  <c r="G15" i="4" l="1"/>
  <c r="H15" i="4" s="1"/>
  <c r="L16" i="4"/>
  <c r="C18" i="3"/>
  <c r="D18" i="3" s="1"/>
  <c r="G19" i="3"/>
  <c r="G16" i="4" l="1"/>
  <c r="H16" i="4" s="1"/>
  <c r="L17" i="4"/>
  <c r="C19" i="3"/>
  <c r="D19" i="3" s="1"/>
  <c r="G20" i="3"/>
  <c r="L18" i="4" l="1"/>
  <c r="G17" i="4"/>
  <c r="H17" i="4" s="1"/>
  <c r="C20" i="3"/>
  <c r="D20" i="3" s="1"/>
  <c r="G21" i="3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18" i="4" l="1"/>
  <c r="H18" i="4" s="1"/>
  <c r="L19" i="4"/>
  <c r="L20" i="4" l="1"/>
  <c r="G19" i="4"/>
  <c r="H19" i="4" s="1"/>
  <c r="L21" i="4" l="1"/>
  <c r="G20" i="4"/>
  <c r="H20" i="4" s="1"/>
  <c r="G21" i="4" l="1"/>
  <c r="H21" i="4" s="1"/>
  <c r="L22" i="4"/>
  <c r="L23" i="4" l="1"/>
  <c r="L24" i="4" s="1"/>
  <c r="L25" i="4" s="1"/>
  <c r="L26" i="4" s="1"/>
  <c r="L27" i="4" s="1"/>
  <c r="L28" i="4" s="1"/>
  <c r="L29" i="4" s="1"/>
  <c r="L30" i="4" s="1"/>
  <c r="G22" i="4"/>
  <c r="H22" i="4" s="1"/>
  <c r="K89" i="1" l="1"/>
  <c r="L2" i="1"/>
  <c r="D63" i="2" l="1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F53" i="1"/>
  <c r="G53" i="1" s="1"/>
  <c r="H53" i="1" s="1"/>
  <c r="I53" i="1" s="1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B22" i="2"/>
  <c r="E22" i="2" s="1"/>
  <c r="F22" i="2" s="1"/>
  <c r="B23" i="2"/>
  <c r="E23" i="2" s="1"/>
  <c r="F23" i="2" s="1"/>
  <c r="G23" i="2" s="1"/>
  <c r="H23" i="2" s="1"/>
  <c r="B24" i="2"/>
  <c r="B25" i="2"/>
  <c r="E25" i="2" s="1"/>
  <c r="F25" i="2" s="1"/>
  <c r="B26" i="2"/>
  <c r="B27" i="2"/>
  <c r="B28" i="2"/>
  <c r="B29" i="2"/>
  <c r="B30" i="2"/>
  <c r="E30" i="2" s="1"/>
  <c r="F30" i="2" s="1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E20" i="2" s="1"/>
  <c r="F20" i="2" s="1"/>
  <c r="D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D2" i="2"/>
  <c r="B2" i="2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Q27" i="1"/>
  <c r="Q26" i="1"/>
  <c r="Q25" i="1"/>
  <c r="Q24" i="1"/>
  <c r="Q23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E44" i="2" l="1"/>
  <c r="F44" i="2" s="1"/>
  <c r="E45" i="2"/>
  <c r="F45" i="2" s="1"/>
  <c r="E32" i="2"/>
  <c r="F32" i="2" s="1"/>
  <c r="E57" i="2"/>
  <c r="F57" i="2" s="1"/>
  <c r="E26" i="2"/>
  <c r="F26" i="2" s="1"/>
  <c r="E38" i="2"/>
  <c r="F38" i="2" s="1"/>
  <c r="E16" i="2"/>
  <c r="F16" i="2" s="1"/>
  <c r="E4" i="2"/>
  <c r="F4" i="2" s="1"/>
  <c r="E3" i="2"/>
  <c r="F3" i="2" s="1"/>
  <c r="E49" i="2"/>
  <c r="F49" i="2" s="1"/>
  <c r="E61" i="2"/>
  <c r="F61" i="2" s="1"/>
  <c r="E41" i="2"/>
  <c r="F41" i="2" s="1"/>
  <c r="E28" i="2"/>
  <c r="F28" i="2" s="1"/>
  <c r="E59" i="2"/>
  <c r="F59" i="2" s="1"/>
  <c r="E46" i="2"/>
  <c r="F46" i="2" s="1"/>
  <c r="E8" i="2"/>
  <c r="F8" i="2" s="1"/>
  <c r="E15" i="2"/>
  <c r="F15" i="2" s="1"/>
  <c r="E43" i="2"/>
  <c r="F43" i="2" s="1"/>
  <c r="E42" i="2"/>
  <c r="F42" i="2" s="1"/>
  <c r="E12" i="2"/>
  <c r="F12" i="2" s="1"/>
  <c r="E51" i="2"/>
  <c r="F51" i="2" s="1"/>
  <c r="E40" i="2"/>
  <c r="F40" i="2" s="1"/>
  <c r="E53" i="2"/>
  <c r="F53" i="2" s="1"/>
  <c r="E19" i="2"/>
  <c r="F19" i="2" s="1"/>
  <c r="E9" i="2"/>
  <c r="F9" i="2" s="1"/>
  <c r="E18" i="2"/>
  <c r="F18" i="2" s="1"/>
  <c r="E27" i="2"/>
  <c r="F27" i="2" s="1"/>
  <c r="E58" i="2"/>
  <c r="F58" i="2" s="1"/>
  <c r="F17" i="2"/>
  <c r="E7" i="2"/>
  <c r="F7" i="2" s="1"/>
  <c r="E50" i="2"/>
  <c r="F50" i="2" s="1"/>
  <c r="E36" i="2"/>
  <c r="F36" i="2" s="1"/>
  <c r="E35" i="2"/>
  <c r="F35" i="2" s="1"/>
  <c r="E60" i="2"/>
  <c r="F60" i="2" s="1"/>
  <c r="E34" i="2"/>
  <c r="F34" i="2" s="1"/>
  <c r="E24" i="2"/>
  <c r="F24" i="2" s="1"/>
  <c r="E52" i="2"/>
  <c r="F52" i="2" s="1"/>
  <c r="E33" i="2"/>
  <c r="F33" i="2" s="1"/>
  <c r="E62" i="2"/>
  <c r="F62" i="2" s="1"/>
  <c r="E54" i="2"/>
  <c r="F54" i="2" s="1"/>
  <c r="E63" i="2"/>
  <c r="F63" i="2" s="1"/>
  <c r="E55" i="2"/>
  <c r="F55" i="2" s="1"/>
  <c r="E11" i="2"/>
  <c r="F11" i="2" s="1"/>
  <c r="E47" i="2"/>
  <c r="F47" i="2" s="1"/>
  <c r="E56" i="2"/>
  <c r="F56" i="2" s="1"/>
  <c r="E48" i="2"/>
  <c r="F48" i="2" s="1"/>
  <c r="E23" i="1"/>
  <c r="F23" i="1" s="1"/>
  <c r="H23" i="1" s="1"/>
  <c r="E39" i="2"/>
  <c r="F39" i="2" s="1"/>
  <c r="E2" i="2"/>
  <c r="F2" i="2" s="1"/>
  <c r="E37" i="2"/>
  <c r="F37" i="2" s="1"/>
  <c r="E31" i="2"/>
  <c r="F31" i="2" s="1"/>
  <c r="E14" i="2"/>
  <c r="F14" i="2" s="1"/>
  <c r="E10" i="2"/>
  <c r="F10" i="2" s="1"/>
  <c r="E6" i="2"/>
  <c r="F6" i="2" s="1"/>
  <c r="E21" i="2"/>
  <c r="F21" i="2" s="1"/>
  <c r="E13" i="2"/>
  <c r="F13" i="2" s="1"/>
  <c r="E5" i="2"/>
  <c r="F5" i="2" s="1"/>
  <c r="E29" i="2"/>
  <c r="F29" i="2" s="1"/>
  <c r="L3" i="2"/>
  <c r="G3" i="2" s="1"/>
  <c r="H3" i="2" s="1"/>
  <c r="E41" i="1"/>
  <c r="F41" i="1" s="1"/>
  <c r="E33" i="1"/>
  <c r="F33" i="1" s="1"/>
  <c r="E25" i="1"/>
  <c r="F25" i="1" s="1"/>
  <c r="G25" i="1" s="1"/>
  <c r="H25" i="1" s="1"/>
  <c r="E40" i="1"/>
  <c r="F40" i="1" s="1"/>
  <c r="E32" i="1"/>
  <c r="F32" i="1" s="1"/>
  <c r="E24" i="1"/>
  <c r="F24" i="1" s="1"/>
  <c r="G24" i="1" s="1"/>
  <c r="H24" i="1" s="1"/>
  <c r="E39" i="1"/>
  <c r="F39" i="1" s="1"/>
  <c r="E31" i="1"/>
  <c r="F31" i="1" s="1"/>
  <c r="E38" i="1"/>
  <c r="F38" i="1" s="1"/>
  <c r="E30" i="1"/>
  <c r="F30" i="1" s="1"/>
  <c r="E45" i="1"/>
  <c r="F45" i="1" s="1"/>
  <c r="E37" i="1"/>
  <c r="F37" i="1" s="1"/>
  <c r="E29" i="1"/>
  <c r="F29" i="1" s="1"/>
  <c r="E22" i="1"/>
  <c r="F22" i="1" s="1"/>
  <c r="G22" i="1" s="1"/>
  <c r="H22" i="1" s="1"/>
  <c r="E44" i="1"/>
  <c r="F44" i="1" s="1"/>
  <c r="E36" i="1"/>
  <c r="F36" i="1" s="1"/>
  <c r="E28" i="1"/>
  <c r="F28" i="1" s="1"/>
  <c r="E43" i="1"/>
  <c r="F43" i="1" s="1"/>
  <c r="E35" i="1"/>
  <c r="F35" i="1" s="1"/>
  <c r="E27" i="1"/>
  <c r="F27" i="1" s="1"/>
  <c r="E42" i="1"/>
  <c r="F42" i="1" s="1"/>
  <c r="E34" i="1"/>
  <c r="F34" i="1" s="1"/>
  <c r="E26" i="1"/>
  <c r="F26" i="1" s="1"/>
  <c r="G26" i="1" s="1"/>
  <c r="H26" i="1" s="1"/>
  <c r="L27" i="1"/>
  <c r="L28" i="1" l="1"/>
  <c r="G27" i="1"/>
  <c r="H27" i="1" s="1"/>
  <c r="L4" i="2"/>
  <c r="G4" i="2" s="1"/>
  <c r="H4" i="2" s="1"/>
  <c r="L29" i="1" l="1"/>
  <c r="G28" i="1"/>
  <c r="H28" i="1" s="1"/>
  <c r="L5" i="2"/>
  <c r="G5" i="2" s="1"/>
  <c r="H5" i="2" s="1"/>
  <c r="L30" i="1" l="1"/>
  <c r="G29" i="1"/>
  <c r="H29" i="1" s="1"/>
  <c r="L6" i="2"/>
  <c r="G6" i="2" s="1"/>
  <c r="H6" i="2" s="1"/>
  <c r="L31" i="1" l="1"/>
  <c r="G30" i="1"/>
  <c r="H30" i="1" s="1"/>
  <c r="L7" i="2"/>
  <c r="G7" i="2" s="1"/>
  <c r="H7" i="2" s="1"/>
  <c r="D3" i="1"/>
  <c r="D4" i="1"/>
  <c r="E4" i="1" s="1"/>
  <c r="F4" i="1" s="1"/>
  <c r="G4" i="1" s="1"/>
  <c r="H4" i="1" s="1"/>
  <c r="D5" i="1"/>
  <c r="E5" i="1" s="1"/>
  <c r="F5" i="1" s="1"/>
  <c r="G5" i="1" s="1"/>
  <c r="H5" i="1" s="1"/>
  <c r="D6" i="1"/>
  <c r="E6" i="1" s="1"/>
  <c r="F6" i="1" s="1"/>
  <c r="G6" i="1" s="1"/>
  <c r="H6" i="1" s="1"/>
  <c r="D7" i="1"/>
  <c r="E7" i="1" s="1"/>
  <c r="F7" i="1" s="1"/>
  <c r="G7" i="1" s="1"/>
  <c r="H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0" i="1" s="1"/>
  <c r="F20" i="1" s="1"/>
  <c r="G20" i="1" s="1"/>
  <c r="H20" i="1" s="1"/>
  <c r="D21" i="1"/>
  <c r="E21" i="1" s="1"/>
  <c r="F21" i="1" s="1"/>
  <c r="G21" i="1" s="1"/>
  <c r="H21" i="1" s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E11" i="1" l="1"/>
  <c r="F11" i="1" s="1"/>
  <c r="G11" i="1" s="1"/>
  <c r="H11" i="1" s="1"/>
  <c r="E15" i="1"/>
  <c r="F15" i="1" s="1"/>
  <c r="G15" i="1" s="1"/>
  <c r="H15" i="1" s="1"/>
  <c r="E10" i="1"/>
  <c r="F10" i="1" s="1"/>
  <c r="G10" i="1" s="1"/>
  <c r="H10" i="1" s="1"/>
  <c r="E14" i="1"/>
  <c r="F14" i="1" s="1"/>
  <c r="G14" i="1" s="1"/>
  <c r="H14" i="1" s="1"/>
  <c r="E9" i="1"/>
  <c r="F9" i="1" s="1"/>
  <c r="G9" i="1" s="1"/>
  <c r="H9" i="1" s="1"/>
  <c r="E13" i="1"/>
  <c r="F13" i="1" s="1"/>
  <c r="G13" i="1" s="1"/>
  <c r="H13" i="1" s="1"/>
  <c r="E17" i="1"/>
  <c r="F17" i="1" s="1"/>
  <c r="G17" i="1" s="1"/>
  <c r="H17" i="1" s="1"/>
  <c r="E12" i="1"/>
  <c r="F12" i="1" s="1"/>
  <c r="G12" i="1" s="1"/>
  <c r="H12" i="1" s="1"/>
  <c r="E8" i="1"/>
  <c r="F8" i="1" s="1"/>
  <c r="G8" i="1" s="1"/>
  <c r="H8" i="1" s="1"/>
  <c r="E3" i="1"/>
  <c r="F3" i="1" s="1"/>
  <c r="G3" i="1" s="1"/>
  <c r="H3" i="1" s="1"/>
  <c r="E19" i="1"/>
  <c r="F19" i="1" s="1"/>
  <c r="G19" i="1" s="1"/>
  <c r="H19" i="1" s="1"/>
  <c r="E18" i="1"/>
  <c r="F18" i="1" s="1"/>
  <c r="G18" i="1" s="1"/>
  <c r="H18" i="1" s="1"/>
  <c r="E16" i="1"/>
  <c r="F16" i="1" s="1"/>
  <c r="G16" i="1" s="1"/>
  <c r="H16" i="1" s="1"/>
  <c r="E2" i="1"/>
  <c r="F2" i="1" s="1"/>
  <c r="G2" i="1" s="1"/>
  <c r="H2" i="1" s="1"/>
  <c r="G31" i="1"/>
  <c r="H31" i="1" s="1"/>
  <c r="L32" i="1"/>
  <c r="L8" i="2"/>
  <c r="G8" i="2" s="1"/>
  <c r="H8" i="2" s="1"/>
  <c r="I2" i="1" l="1"/>
  <c r="O2" i="1" a="1"/>
  <c r="O2" i="1" s="1"/>
  <c r="O23" i="1" s="1" a="1"/>
  <c r="O23" i="1" s="1"/>
  <c r="L33" i="1"/>
  <c r="G32" i="1"/>
  <c r="H32" i="1" s="1"/>
  <c r="L9" i="2"/>
  <c r="G9" i="2" s="1"/>
  <c r="H9" i="2" s="1"/>
  <c r="I1" i="1" a="1"/>
  <c r="I1" i="1" s="1"/>
  <c r="Q22" i="1" s="1"/>
  <c r="J12" i="1" a="1"/>
  <c r="J12" i="1" s="1"/>
  <c r="J13" i="1" s="1"/>
  <c r="K12" i="1" l="1"/>
  <c r="L34" i="1"/>
  <c r="G33" i="1"/>
  <c r="H33" i="1" s="1"/>
  <c r="L10" i="2"/>
  <c r="G10" i="2" s="1"/>
  <c r="H10" i="2" s="1"/>
  <c r="L35" i="1" l="1"/>
  <c r="G34" i="1"/>
  <c r="H34" i="1" s="1"/>
  <c r="L11" i="2"/>
  <c r="G11" i="2" s="1"/>
  <c r="H11" i="2" s="1"/>
  <c r="G35" i="1" l="1"/>
  <c r="H35" i="1" s="1"/>
  <c r="L36" i="1"/>
  <c r="L12" i="2"/>
  <c r="G12" i="2" s="1"/>
  <c r="H12" i="2" s="1"/>
  <c r="G36" i="1" l="1"/>
  <c r="H36" i="1" s="1"/>
  <c r="L37" i="1"/>
  <c r="L13" i="2"/>
  <c r="G13" i="2" s="1"/>
  <c r="H13" i="2" s="1"/>
  <c r="G37" i="1" l="1"/>
  <c r="H37" i="1" s="1"/>
  <c r="L38" i="1"/>
  <c r="L14" i="2"/>
  <c r="G14" i="2" s="1"/>
  <c r="H14" i="2" s="1"/>
  <c r="G38" i="1" l="1"/>
  <c r="H38" i="1" s="1"/>
  <c r="L39" i="1"/>
  <c r="L15" i="2"/>
  <c r="G15" i="2" s="1"/>
  <c r="H15" i="2" s="1"/>
  <c r="G39" i="1" l="1"/>
  <c r="H39" i="1" s="1"/>
  <c r="L40" i="1"/>
  <c r="L16" i="2"/>
  <c r="G16" i="2" s="1"/>
  <c r="H16" i="2" s="1"/>
  <c r="G40" i="1" l="1"/>
  <c r="H40" i="1" s="1"/>
  <c r="L41" i="1"/>
  <c r="L17" i="2"/>
  <c r="G17" i="2" s="1"/>
  <c r="H17" i="2" s="1"/>
  <c r="G41" i="1" l="1"/>
  <c r="H41" i="1" s="1"/>
  <c r="L42" i="1"/>
  <c r="L18" i="2"/>
  <c r="G18" i="2" s="1"/>
  <c r="H18" i="2" s="1"/>
  <c r="G42" i="1" l="1"/>
  <c r="H42" i="1" s="1"/>
  <c r="L43" i="1"/>
  <c r="L19" i="2"/>
  <c r="G19" i="2" s="1"/>
  <c r="H19" i="2" s="1"/>
  <c r="L24" i="2"/>
  <c r="G24" i="2" s="1"/>
  <c r="H24" i="2" s="1"/>
  <c r="G43" i="1" l="1"/>
  <c r="H43" i="1" s="1"/>
  <c r="L44" i="1"/>
  <c r="L20" i="2"/>
  <c r="G20" i="2" s="1"/>
  <c r="H20" i="2" s="1"/>
  <c r="L25" i="2"/>
  <c r="G25" i="2" s="1"/>
  <c r="H25" i="2" s="1"/>
  <c r="G44" i="1" l="1"/>
  <c r="H44" i="1" s="1"/>
  <c r="L45" i="1"/>
  <c r="G45" i="1" s="1"/>
  <c r="H45" i="1" s="1"/>
  <c r="L21" i="2"/>
  <c r="L26" i="2"/>
  <c r="G26" i="2" s="1"/>
  <c r="H26" i="2" s="1"/>
  <c r="I26" i="1" l="1"/>
  <c r="G21" i="2"/>
  <c r="H21" i="2" s="1"/>
  <c r="O26" i="1" a="1"/>
  <c r="O26" i="1" s="1"/>
  <c r="O47" i="1" s="1" a="1"/>
  <c r="O47" i="1" s="1"/>
  <c r="J33" i="1" a="1"/>
  <c r="J33" i="1" s="1"/>
  <c r="J34" i="1" s="1"/>
  <c r="K48" i="1" s="1"/>
  <c r="I25" i="1" a="1"/>
  <c r="I25" i="1" s="1"/>
  <c r="L22" i="2"/>
  <c r="G22" i="2" s="1"/>
  <c r="H22" i="2" s="1"/>
  <c r="L27" i="2"/>
  <c r="G27" i="2" s="1"/>
  <c r="H27" i="2" s="1"/>
  <c r="I2" i="2" l="1"/>
  <c r="J2" i="2" s="1"/>
  <c r="J8" i="2" a="1"/>
  <c r="J8" i="2" s="1"/>
  <c r="O2" i="2" a="1"/>
  <c r="O2" i="2" s="1"/>
  <c r="Q18" i="2" s="1" a="1"/>
  <c r="Q18" i="2" s="1"/>
  <c r="L28" i="2"/>
  <c r="G28" i="2" s="1"/>
  <c r="H28" i="2" s="1"/>
  <c r="I1" i="2" l="1" a="1"/>
  <c r="I1" i="2" s="1"/>
  <c r="K8" i="2" s="1"/>
  <c r="K9" i="2" s="1"/>
  <c r="J9" i="2"/>
  <c r="L29" i="2"/>
  <c r="G29" i="2" s="1"/>
  <c r="H29" i="2" s="1"/>
  <c r="L30" i="2" l="1"/>
  <c r="G30" i="2" s="1"/>
  <c r="H30" i="2" s="1"/>
  <c r="L31" i="2" l="1"/>
  <c r="G31" i="2" s="1"/>
  <c r="H31" i="2" s="1"/>
  <c r="L32" i="2" l="1"/>
  <c r="G32" i="2" s="1"/>
  <c r="H32" i="2" s="1"/>
  <c r="L33" i="2" l="1"/>
  <c r="G33" i="2" s="1"/>
  <c r="H33" i="2" s="1"/>
  <c r="L34" i="2" l="1"/>
  <c r="G34" i="2" s="1"/>
  <c r="H34" i="2" s="1"/>
  <c r="L35" i="2" l="1"/>
  <c r="G35" i="2" s="1"/>
  <c r="H35" i="2" s="1"/>
  <c r="L36" i="2" l="1"/>
  <c r="G36" i="2" s="1"/>
  <c r="H36" i="2" s="1"/>
  <c r="L37" i="2" l="1"/>
  <c r="G37" i="2" s="1"/>
  <c r="H37" i="2" s="1"/>
  <c r="L38" i="2" l="1"/>
  <c r="G38" i="2" s="1"/>
  <c r="H38" i="2" s="1"/>
  <c r="L39" i="2" l="1"/>
  <c r="G39" i="2" s="1"/>
  <c r="H39" i="2" s="1"/>
  <c r="L40" i="2" l="1"/>
  <c r="G40" i="2" s="1"/>
  <c r="H40" i="2" s="1"/>
  <c r="L41" i="2" l="1"/>
  <c r="G41" i="2" s="1"/>
  <c r="H41" i="2" s="1"/>
  <c r="L42" i="2" l="1"/>
  <c r="G42" i="2" s="1"/>
  <c r="H42" i="2" s="1"/>
  <c r="L43" i="2" l="1"/>
  <c r="G43" i="2" s="1"/>
  <c r="H43" i="2" s="1"/>
  <c r="I24" i="2" l="1"/>
  <c r="T8" i="2" s="1"/>
  <c r="J30" i="2" a="1"/>
  <c r="J30" i="2" s="1"/>
  <c r="J31" i="2" s="1"/>
  <c r="L44" i="2"/>
  <c r="G44" i="2" s="1"/>
  <c r="H44" i="2" s="1"/>
  <c r="L45" i="2" l="1"/>
  <c r="G45" i="2" s="1"/>
  <c r="H45" i="2" s="1"/>
  <c r="J36" i="2"/>
  <c r="L46" i="2" l="1"/>
  <c r="G46" i="2" s="1"/>
  <c r="H46" i="2" s="1"/>
  <c r="L47" i="2" l="1"/>
  <c r="G47" i="2" s="1"/>
  <c r="H47" i="2" s="1"/>
  <c r="L48" i="2" l="1"/>
  <c r="G48" i="2" s="1"/>
  <c r="H48" i="2" s="1"/>
  <c r="L49" i="2" l="1"/>
  <c r="G49" i="2" s="1"/>
  <c r="H49" i="2" s="1"/>
  <c r="L50" i="2" l="1"/>
  <c r="G50" i="2" s="1"/>
  <c r="H50" i="2" s="1"/>
  <c r="L51" i="2" l="1"/>
  <c r="G51" i="2" s="1"/>
  <c r="H51" i="2" s="1"/>
  <c r="L52" i="2" l="1"/>
  <c r="G52" i="2" s="1"/>
  <c r="H52" i="2" s="1"/>
  <c r="L53" i="2" l="1"/>
  <c r="G53" i="2" s="1"/>
  <c r="H53" i="2" s="1"/>
  <c r="L54" i="2" l="1"/>
  <c r="G54" i="2" s="1"/>
  <c r="H54" i="2" s="1"/>
  <c r="L55" i="2" l="1"/>
  <c r="G55" i="2" s="1"/>
  <c r="H55" i="2" s="1"/>
  <c r="L56" i="2" l="1"/>
  <c r="G56" i="2" s="1"/>
  <c r="H56" i="2" s="1"/>
  <c r="L57" i="2" l="1"/>
  <c r="G57" i="2" s="1"/>
  <c r="H57" i="2" s="1"/>
  <c r="L58" i="2" l="1"/>
  <c r="G58" i="2" s="1"/>
  <c r="H58" i="2" s="1"/>
  <c r="L59" i="2" l="1"/>
  <c r="G59" i="2" s="1"/>
  <c r="H59" i="2" s="1"/>
  <c r="L60" i="2" l="1"/>
  <c r="G60" i="2" s="1"/>
  <c r="H60" i="2" s="1"/>
  <c r="L61" i="2" l="1"/>
  <c r="G61" i="2" s="1"/>
  <c r="H61" i="2" s="1"/>
  <c r="L62" i="2" l="1"/>
  <c r="G62" i="2" s="1"/>
  <c r="H62" i="2" s="1"/>
  <c r="L63" i="2" l="1"/>
  <c r="G63" i="2" s="1"/>
  <c r="H63" i="2" s="1"/>
  <c r="Q12" i="2" s="1"/>
  <c r="O24" i="2" l="1" a="1"/>
  <c r="O24" i="2" s="1"/>
  <c r="Q40" i="2" s="1" a="1"/>
  <c r="Q40" i="2" s="1"/>
  <c r="I23" i="2" a="1"/>
  <c r="I23" i="2" s="1"/>
  <c r="K30" i="2" s="1"/>
  <c r="K31" i="2" s="1"/>
  <c r="K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<sst xmlns="http://schemas.openxmlformats.org/spreadsheetml/2006/main" count="96" uniqueCount="42">
  <si>
    <t>Time spent in satellite in seconds</t>
  </si>
  <si>
    <t>Time spent in satellite (ticks)</t>
  </si>
  <si>
    <t>Time total for ranging</t>
  </si>
  <si>
    <t>Time total for ranging in seconds</t>
  </si>
  <si>
    <t>Time in air in samples</t>
  </si>
  <si>
    <t>Time in air in seconds</t>
  </si>
  <si>
    <t>Bit shift index</t>
  </si>
  <si>
    <t>Bit Shift Index reference value</t>
  </si>
  <si>
    <t>bps</t>
  </si>
  <si>
    <t>value before correction</t>
  </si>
  <si>
    <t>value after correction</t>
  </si>
  <si>
    <t>RMS value</t>
  </si>
  <si>
    <t>Certainity window at 95% confidence(2 SD)</t>
  </si>
  <si>
    <t>KM</t>
  </si>
  <si>
    <t>500KHz samples</t>
  </si>
  <si>
    <t>Range values:</t>
  </si>
  <si>
    <t>Certainity Interval</t>
  </si>
  <si>
    <t>Range</t>
  </si>
  <si>
    <t>Uncertainity</t>
  </si>
  <si>
    <t>km</t>
  </si>
  <si>
    <t>8km delay line</t>
  </si>
  <si>
    <t>no delay line</t>
  </si>
  <si>
    <t>RMSE</t>
  </si>
  <si>
    <t>Residuals</t>
  </si>
  <si>
    <t xml:space="preserve">Range </t>
  </si>
  <si>
    <t>Certainity</t>
  </si>
  <si>
    <t>range</t>
  </si>
  <si>
    <t>certainity</t>
  </si>
  <si>
    <t>True Range</t>
  </si>
  <si>
    <t>jitter</t>
  </si>
  <si>
    <t>500KHz</t>
  </si>
  <si>
    <t>2400bps</t>
  </si>
  <si>
    <t>1200bps</t>
  </si>
  <si>
    <t>1sigma</t>
  </si>
  <si>
    <t>microsec</t>
  </si>
  <si>
    <t>sec</t>
  </si>
  <si>
    <t xml:space="preserve">500KHz samples </t>
  </si>
  <si>
    <t>1sigma:</t>
  </si>
  <si>
    <t>RMS</t>
  </si>
  <si>
    <t>Average</t>
  </si>
  <si>
    <t>Count</t>
  </si>
  <si>
    <t>Theoretical Worst Case Clock Recovery (1 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</si>
</sst>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Estimate vs Delay Line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6.7268653776072829E-2"/>
          <c:y val="0.10791893743674844"/>
          <c:w val="0.91816357282608296"/>
          <c:h val="0.69632454084826112"/>
        </c:manualLayout>
      </c:layout>
      <c:scatterChart>
        <c:scatterStyle val="lineMarker"/>
        <c:varyColors val="0"/>
        <c:ser>
          <c:idx val="0"/>
          <c:order val="0"/>
          <c:tx>
            <c:v>Range Estimate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'9600bps'!$J$68:$L$68</c:f>
                <c:numCache>
                  <c:formatCode>General</c:formatCode>
                  <c:ptCount val="3"/>
                  <c:pt idx="0">
                    <c:v>3.2504837805479556</c:v>
                  </c:pt>
                  <c:pt idx="1">
                    <c:v>5.58</c:v>
                  </c:pt>
                  <c:pt idx="2">
                    <c:v>7.7063400366978039</c:v>
                  </c:pt>
                </c:numCache>
              </c:numRef>
            </c:plus>
            <c:minus>
              <c:numRef>
                <c:f>'9600bps'!$J$68:$L$68</c:f>
                <c:numCache>
                  <c:formatCode>General</c:formatCode>
                  <c:ptCount val="3"/>
                  <c:pt idx="0">
                    <c:v>3.2504837805479556</c:v>
                  </c:pt>
                  <c:pt idx="1">
                    <c:v>5.58</c:v>
                  </c:pt>
                  <c:pt idx="2">
                    <c:v>7.7063400366978039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3"/>
              <c:pt idx="0">
                <c:v>9600.1</c:v>
              </c:pt>
              <c:pt idx="1">
                <c:v>9600.2000000000007</c:v>
              </c:pt>
              <c:pt idx="2">
                <c:v>4800</c:v>
              </c:pt>
            </c:numLit>
          </c:xVal>
          <c:yVal>
            <c:numRef>
              <c:f>'9600bps'!$J$67:$L$67</c:f>
              <c:numCache>
                <c:formatCode>General</c:formatCode>
                <c:ptCount val="3"/>
                <c:pt idx="0">
                  <c:v>9.0379461206893001</c:v>
                </c:pt>
                <c:pt idx="1">
                  <c:v>8.2953549999999723</c:v>
                </c:pt>
                <c:pt idx="2">
                  <c:v>8.6908900000003086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F-48C4-AB51-EB6014A1AF45}"/>
            </c:ext>
          </c:extLst>
        </c:ser>
        <c:ser>
          <c:idx val="1"/>
          <c:order val="1"/>
          <c:tx>
            <c:v>Delay Line Delay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'9600bps'!$J$70:$L$70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</c:numCache>
              </c:numRef>
            </c:plus>
            <c:minus>
              <c:numRef>
                <c:f>'9600bps'!$J$70:$L$70</c:f>
                <c:numCache>
                  <c:formatCode>General</c:formatCode>
                  <c:ptCount val="3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3"/>
              <c:pt idx="0">
                <c:v>9600.1</c:v>
              </c:pt>
              <c:pt idx="1">
                <c:v>9600.2000000000007</c:v>
              </c:pt>
              <c:pt idx="2">
                <c:v>4800</c:v>
              </c:pt>
            </c:numLit>
          </c:xVal>
          <c:yVal>
            <c:numRef>
              <c:f>'9600bps'!$J$69:$L$69</c:f>
              <c:numCache>
                <c:formatCode>General</c:formatCode>
                <c:ptCount val="3"/>
                <c:pt idx="0">
                  <c:v>10.07</c:v>
                </c:pt>
                <c:pt idx="1">
                  <c:v>10.07</c:v>
                </c:pt>
                <c:pt idx="2">
                  <c:v>10.07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8F-48C4-AB51-EB6014A1A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10976"/>
        <c:axId val="303371904"/>
      </c:scatterChart>
      <c:valAx>
        <c:axId val="3617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03371904"/>
        <c:crosses val="autoZero"/>
        <c:crossBetween val="midCat"/>
      </c:valAx>
      <c:valAx>
        <c:axId val="3033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171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Range Accuracy vs Bitrate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Range Error (1 sigma)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Graph!$K$12:$N$12</c:f>
                <c:numCache>
                  <c:formatCode>General</c:formatCode>
                  <c:ptCount val="4"/>
                  <c:pt idx="0">
                    <c:v>62.628045738061147</c:v>
                  </c:pt>
                  <c:pt idx="1">
                    <c:v>23.743726881954188</c:v>
                  </c:pt>
                  <c:pt idx="2">
                    <c:v>5.8591352377051944</c:v>
                  </c:pt>
                  <c:pt idx="3">
                    <c:v>3.9891680345845226</c:v>
                  </c:pt>
                </c:numCache>
              </c:numRef>
            </c:plus>
            <c:minus>
              <c:numRef>
                <c:f>Graph!$K$12:$N$12</c:f>
                <c:numCache>
                  <c:formatCode>General</c:formatCode>
                  <c:ptCount val="4"/>
                  <c:pt idx="0">
                    <c:v>62.628045738061147</c:v>
                  </c:pt>
                  <c:pt idx="1">
                    <c:v>23.743726881954188</c:v>
                  </c:pt>
                  <c:pt idx="2">
                    <c:v>5.8591352377051944</c:v>
                  </c:pt>
                  <c:pt idx="3">
                    <c:v>3.9891680345845226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Graph!$K$4:$N$4</c:f>
              <c:numCache>
                <c:formatCode>General</c:formatCode>
                <c:ptCount val="4"/>
                <c:pt idx="0">
                  <c:v>1200</c:v>
                </c:pt>
                <c:pt idx="1">
                  <c:v>2400</c:v>
                </c:pt>
                <c:pt idx="2">
                  <c:v>4800</c:v>
                </c:pt>
                <c:pt idx="3">
                  <c:v>9600</c:v>
                </c:pt>
              </c:numCache>
            </c:numRef>
          </c:xVal>
          <c:yVal>
            <c:numRef>
              <c:f>Graph!$K$5:$N$5</c:f>
              <c:numCache>
                <c:formatCode>General</c:formatCode>
                <c:ptCount val="4"/>
                <c:pt idx="0">
                  <c:v>76.70337782296825</c:v>
                </c:pt>
                <c:pt idx="1">
                  <c:v>37.542128543971572</c:v>
                </c:pt>
                <c:pt idx="2">
                  <c:v>18.528212470100485</c:v>
                </c:pt>
                <c:pt idx="3">
                  <c:v>8.9200508990002252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C7-4B41-AB22-BAE7938077A3}"/>
            </c:ext>
          </c:extLst>
        </c:ser>
        <c:ser>
          <c:idx val="1"/>
          <c:order val="1"/>
          <c:tx>
            <c:strRef>
              <c:f>Graph!$J$9</c:f>
              <c:strCache>
                <c:ptCount val="1"/>
                <c:pt idx="0">
                  <c:v>Theoretical Worst Case Clock Recovery (1 sigma)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Graph!$K$4:$N$4</c:f>
              <c:numCache>
                <c:formatCode>General</c:formatCode>
                <c:ptCount val="4"/>
                <c:pt idx="0">
                  <c:v>1200</c:v>
                </c:pt>
                <c:pt idx="1">
                  <c:v>2400</c:v>
                </c:pt>
                <c:pt idx="2">
                  <c:v>4800</c:v>
                </c:pt>
                <c:pt idx="3">
                  <c:v>9600</c:v>
                </c:pt>
              </c:numCache>
            </c:numRef>
          </c:xVal>
          <c:yVal>
            <c:numRef>
              <c:f>Graph!$K$9:$N$9</c:f>
              <c:numCache>
                <c:formatCode>General</c:formatCode>
                <c:ptCount val="4"/>
                <c:pt idx="0">
                  <c:v>83.275682777777774</c:v>
                </c:pt>
                <c:pt idx="1">
                  <c:v>41.637841388888887</c:v>
                </c:pt>
                <c:pt idx="2">
                  <c:v>20.818920694444444</c:v>
                </c:pt>
                <c:pt idx="3">
                  <c:v>10.409460347222222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54-48DF-A798-0666A2C99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0240"/>
        <c:axId val="2111387808"/>
      </c:scatterChart>
      <c:valAx>
        <c:axId val="220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>
                    <a:latin typeface="+mj-lt"/>
                  </a:rPr>
                  <a:t>Bitrate (bps)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11387808"/>
        <c:crosses val="autoZero"/>
        <c:crossBetween val="midCat"/>
      </c:valAx>
      <c:valAx>
        <c:axId val="2111387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 Sigma Range Accuracy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208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Averaging Time vs</a:t>
            </a:r>
            <a:r>
              <a:rPr lang="en-US" baseline="0"/>
              <a:t> Bitrate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Graph!$K$4:$O$4</c:f>
              <c:numCache>
                <c:formatCode>General</c:formatCode>
                <c:ptCount val="5"/>
                <c:pt idx="0">
                  <c:v>1200</c:v>
                </c:pt>
                <c:pt idx="1">
                  <c:v>2400</c:v>
                </c:pt>
                <c:pt idx="2">
                  <c:v>4800</c:v>
                </c:pt>
                <c:pt idx="3">
                  <c:v>9600</c:v>
                </c:pt>
                <c:pt idx="4">
                  <c:v>19200</c:v>
                </c:pt>
              </c:numCache>
            </c:numRef>
          </c:xVal>
          <c:yVal>
            <c:numRef>
              <c:f>Graph!$K$19:$O$19</c:f>
              <c:numCache>
                <c:formatCode>General</c:formatCode>
                <c:ptCount val="5"/>
                <c:pt idx="0">
                  <c:v>2510.08</c:v>
                </c:pt>
                <c:pt idx="1">
                  <c:v>300.58666666666664</c:v>
                </c:pt>
                <c:pt idx="2">
                  <c:v>36.586666666666666</c:v>
                </c:pt>
                <c:pt idx="3">
                  <c:v>4.2666666666666666</c:v>
                </c:pt>
                <c:pt idx="4">
                  <c:v>0.53333333333333333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E9-4566-8D76-E82BD732A3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43595936"/>
        <c:axId val="1832562144"/>
      </c:scatterChart>
      <c:valAx>
        <c:axId val="174359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32562144"/>
        <c:crosses val="autoZero"/>
        <c:crossBetween val="midCat"/>
      </c:valAx>
      <c:valAx>
        <c:axId val="1832562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Averaging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4359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0979602-75E6-4A55-9ED3-8BBC39969F17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FF07D40-C459-45D7-93D7-62D983D29CB4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40AF2F3-CF2F-41BA-B96A-ECE3D5E60C3C}">
          <cx:dataId val="0"/>
          <cx:layoutPr>
            <cx:binning intervalClosed="r">
              <cx:binCount val="1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8EBF19A-2ADB-43DC-BE80-B174D3B37E96}">
          <cx:dataId val="0"/>
          <cx:layoutPr>
            <cx:binning intervalClosed="r">
              <cx:binCount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18</xdr:row>
      <xdr:rowOff>52387</xdr:rowOff>
    </xdr:from>
    <xdr:to>
      <xdr:col>3</xdr:col>
      <xdr:colOff>1095375</xdr:colOff>
      <xdr:row>32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F6DE9B-5EA5-9765-7E62-48760BB9B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1185" y="3374707"/>
              <a:ext cx="471297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1452562</xdr:colOff>
      <xdr:row>18</xdr:row>
      <xdr:rowOff>52387</xdr:rowOff>
    </xdr:from>
    <xdr:to>
      <xdr:col>7</xdr:col>
      <xdr:colOff>185737</xdr:colOff>
      <xdr:row>32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283278-D8C8-70B4-BAD4-53FFF00F3F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1342" y="3374707"/>
              <a:ext cx="4722495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1454202</xdr:colOff>
      <xdr:row>50</xdr:row>
      <xdr:rowOff>3478</xdr:rowOff>
    </xdr:from>
    <xdr:to>
      <xdr:col>7</xdr:col>
      <xdr:colOff>266699</xdr:colOff>
      <xdr:row>76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C9AFC9-1758-F89F-07FC-4B695FCB6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</xdr:colOff>
      <xdr:row>8</xdr:row>
      <xdr:rowOff>38100</xdr:rowOff>
    </xdr:from>
    <xdr:to>
      <xdr:col>16</xdr:col>
      <xdr:colOff>308610</xdr:colOff>
      <xdr:row>22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C9781B-6D06-712F-909A-6ACF7026B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210" y="1531620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34016</xdr:colOff>
      <xdr:row>20</xdr:row>
      <xdr:rowOff>29935</xdr:rowOff>
    </xdr:from>
    <xdr:to>
      <xdr:col>26</xdr:col>
      <xdr:colOff>54428</xdr:colOff>
      <xdr:row>38</xdr:row>
      <xdr:rowOff>40820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7F7104-BCA1-0184-22C3-BE33F2453E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7216" y="3710395"/>
              <a:ext cx="5506812" cy="3333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357186</xdr:colOff>
      <xdr:row>19</xdr:row>
      <xdr:rowOff>90486</xdr:rowOff>
    </xdr:from>
    <xdr:to>
      <xdr:col>16</xdr:col>
      <xdr:colOff>13335</xdr:colOff>
      <xdr:row>50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71462-29F6-B3C6-F437-C4DDF2B5C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1188720</xdr:colOff>
      <xdr:row>23</xdr:row>
      <xdr:rowOff>171450</xdr:rowOff>
    </xdr:from>
    <xdr:to>
      <xdr:col>15</xdr:col>
      <xdr:colOff>259080</xdr:colOff>
      <xdr:row>38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8B2F1-891A-A08A-8627-647B43E6F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1503-1049-4AF5-9D3E-269426F6B5E7}">
  <dimension ref="A1:Q36"/>
  <sheetViews>
    <sheetView topLeftCell="C1" workbookViewId="0">
      <selection activeCell="I36" sqref="I36"/>
    </sheetView>
  </sheetViews>
  <sheetFormatPr defaultRowHeight="14.4" x14ac:dyDescent="0.3"/>
  <cols>
    <col min="1" max="1" width="58.6640625" customWidth="1"/>
    <col min="2" max="2" width="27.6640625" customWidth="1"/>
    <col min="3" max="3" width="49.109375" customWidth="1"/>
    <col min="4" max="4" width="30" customWidth="1"/>
    <col min="5" max="5" width="23.44140625" customWidth="1"/>
    <col min="6" max="6" width="25" customWidth="1"/>
    <col min="12" max="12" width="10" bestFit="1" customWidth="1"/>
  </cols>
  <sheetData>
    <row r="1" spans="1:17" ht="15" thickBot="1" x14ac:dyDescent="0.35">
      <c r="A1" t="s">
        <v>30</v>
      </c>
      <c r="B1" t="s">
        <v>31</v>
      </c>
      <c r="C1" t="s">
        <v>30</v>
      </c>
      <c r="D1" t="s">
        <v>21</v>
      </c>
    </row>
    <row r="2" spans="1:17" ht="15.6" thickTop="1" thickBot="1" x14ac:dyDescent="0.35">
      <c r="A2" t="s">
        <v>1</v>
      </c>
      <c r="B2" t="s">
        <v>0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I2" s="1" cm="1">
        <f t="array" ref="I2">MAX(ABS(H3:H12-AVERAGE(H3:H12)))</f>
        <v>92.497583333327384</v>
      </c>
    </row>
    <row r="3" spans="1:17" ht="15" thickTop="1" x14ac:dyDescent="0.3">
      <c r="A3">
        <v>8274504</v>
      </c>
      <c r="B3">
        <f>A3/48000000</f>
        <v>0.1723855</v>
      </c>
      <c r="C3">
        <v>90865</v>
      </c>
      <c r="D3">
        <f>C3/500000</f>
        <v>0.18173</v>
      </c>
      <c r="E3">
        <f>D3-B3</f>
        <v>9.3445000000000056E-3</v>
      </c>
      <c r="F3">
        <f>E3*500000</f>
        <v>4672.2500000000027</v>
      </c>
      <c r="G3">
        <f>ROUND((F3 - L3) / 208.33, 0)</f>
        <v>0</v>
      </c>
      <c r="H3">
        <f>F3-G3*208.33</f>
        <v>4672.2500000000027</v>
      </c>
      <c r="I3">
        <f>_xlfn.STDEV.S(H3:H12)</f>
        <v>62.613530697912978</v>
      </c>
      <c r="L3">
        <v>4666.3273199770265</v>
      </c>
      <c r="N3">
        <f>AVERAGE(H3:H12)</f>
        <v>4682.2967500000013</v>
      </c>
      <c r="O3">
        <f>H3-N3</f>
        <v>-10.04674999999861</v>
      </c>
      <c r="Q3" cm="1">
        <f t="array" ref="Q3">SQRT(SUM(POWER(O3:O12,2)))</f>
        <v>187.84059209373893</v>
      </c>
    </row>
    <row r="4" spans="1:17" x14ac:dyDescent="0.3">
      <c r="A4">
        <v>8206980</v>
      </c>
      <c r="B4">
        <f t="shared" ref="B4:B32" si="0">A4/48000000</f>
        <v>0.17097875000000001</v>
      </c>
      <c r="C4">
        <v>89690</v>
      </c>
      <c r="D4">
        <f t="shared" ref="D4:D22" si="1">C4/500000</f>
        <v>0.17938000000000001</v>
      </c>
      <c r="E4">
        <f t="shared" ref="E4:E22" si="2">D4-B4</f>
        <v>8.401249999999999E-3</v>
      </c>
      <c r="F4">
        <f t="shared" ref="F4:F22" si="3">E4*500000</f>
        <v>4200.6249999999991</v>
      </c>
      <c r="G4">
        <f t="shared" ref="G4:G22" si="4">ROUND((F4 - L4) / 208.33, 0)</f>
        <v>-2</v>
      </c>
      <c r="H4">
        <f t="shared" ref="H4:H12" si="5">F4-G4*208.33</f>
        <v>4617.2849999999989</v>
      </c>
      <c r="L4">
        <f>L3</f>
        <v>4666.3273199770265</v>
      </c>
      <c r="N4">
        <v>4682.2967500000013</v>
      </c>
      <c r="O4">
        <f t="shared" ref="O4:O12" si="6">H4-N4</f>
        <v>-65.011750000002394</v>
      </c>
    </row>
    <row r="5" spans="1:17" x14ac:dyDescent="0.3">
      <c r="A5">
        <v>8299444</v>
      </c>
      <c r="B5">
        <f t="shared" si="0"/>
        <v>0.17290508333333332</v>
      </c>
      <c r="C5">
        <v>92056</v>
      </c>
      <c r="D5">
        <f t="shared" si="1"/>
        <v>0.184112</v>
      </c>
      <c r="E5">
        <f t="shared" si="2"/>
        <v>1.1206916666666678E-2</v>
      </c>
      <c r="F5">
        <f t="shared" si="3"/>
        <v>5603.4583333333385</v>
      </c>
      <c r="G5">
        <f t="shared" si="4"/>
        <v>4</v>
      </c>
      <c r="H5">
        <f t="shared" si="5"/>
        <v>4770.1383333333388</v>
      </c>
      <c r="L5">
        <f t="shared" ref="L5:L30" si="7">L4</f>
        <v>4666.3273199770265</v>
      </c>
      <c r="N5">
        <v>4682.2967500000013</v>
      </c>
      <c r="O5">
        <f t="shared" si="6"/>
        <v>87.841583333337439</v>
      </c>
    </row>
    <row r="6" spans="1:17" x14ac:dyDescent="0.3">
      <c r="A6">
        <v>8393254</v>
      </c>
      <c r="B6">
        <f t="shared" si="0"/>
        <v>0.17485945833333333</v>
      </c>
      <c r="C6">
        <v>91296</v>
      </c>
      <c r="D6">
        <f t="shared" si="1"/>
        <v>0.182592</v>
      </c>
      <c r="E6">
        <f t="shared" si="2"/>
        <v>7.7325416666666758E-3</v>
      </c>
      <c r="F6">
        <f t="shared" si="3"/>
        <v>3866.270833333338</v>
      </c>
      <c r="G6">
        <f t="shared" si="4"/>
        <v>-4</v>
      </c>
      <c r="H6">
        <f t="shared" si="5"/>
        <v>4699.5908333333382</v>
      </c>
      <c r="L6">
        <f t="shared" si="7"/>
        <v>4666.3273199770265</v>
      </c>
      <c r="N6">
        <v>4682.2967500000013</v>
      </c>
      <c r="O6">
        <f t="shared" si="6"/>
        <v>17.294083333336857</v>
      </c>
    </row>
    <row r="7" spans="1:17" x14ac:dyDescent="0.3">
      <c r="A7">
        <v>8324574</v>
      </c>
      <c r="B7">
        <f t="shared" si="0"/>
        <v>0.173428625</v>
      </c>
      <c r="C7">
        <v>91788</v>
      </c>
      <c r="D7">
        <f t="shared" si="1"/>
        <v>0.18357599999999999</v>
      </c>
      <c r="E7">
        <f t="shared" si="2"/>
        <v>1.0147374999999986E-2</v>
      </c>
      <c r="F7">
        <f t="shared" si="3"/>
        <v>5073.6874999999927</v>
      </c>
      <c r="G7">
        <f t="shared" si="4"/>
        <v>2</v>
      </c>
      <c r="H7">
        <f t="shared" si="5"/>
        <v>4657.0274999999929</v>
      </c>
      <c r="L7">
        <f t="shared" si="7"/>
        <v>4666.3273199770265</v>
      </c>
      <c r="N7">
        <v>4682.2967500000013</v>
      </c>
      <c r="O7">
        <f t="shared" si="6"/>
        <v>-25.269250000008469</v>
      </c>
    </row>
    <row r="8" spans="1:17" x14ac:dyDescent="0.3">
      <c r="A8">
        <v>8418386</v>
      </c>
      <c r="B8">
        <f t="shared" si="0"/>
        <v>0.17538304166666666</v>
      </c>
      <c r="C8">
        <v>91448</v>
      </c>
      <c r="D8">
        <f t="shared" si="1"/>
        <v>0.182896</v>
      </c>
      <c r="E8">
        <f t="shared" si="2"/>
        <v>7.5129583333333472E-3</v>
      </c>
      <c r="F8">
        <f t="shared" si="3"/>
        <v>3756.4791666666738</v>
      </c>
      <c r="G8">
        <f t="shared" si="4"/>
        <v>-4</v>
      </c>
      <c r="H8">
        <f t="shared" si="5"/>
        <v>4589.799166666674</v>
      </c>
      <c r="L8">
        <f t="shared" si="7"/>
        <v>4666.3273199770265</v>
      </c>
      <c r="N8">
        <v>4682.2967500000013</v>
      </c>
      <c r="O8">
        <f t="shared" si="6"/>
        <v>-92.497583333327384</v>
      </c>
    </row>
    <row r="9" spans="1:17" x14ac:dyDescent="0.3">
      <c r="A9">
        <v>8350862</v>
      </c>
      <c r="B9">
        <f t="shared" si="0"/>
        <v>0.17397629166666667</v>
      </c>
      <c r="C9">
        <v>91520</v>
      </c>
      <c r="D9">
        <f t="shared" si="1"/>
        <v>0.18304000000000001</v>
      </c>
      <c r="E9">
        <f t="shared" si="2"/>
        <v>9.0637083333333368E-3</v>
      </c>
      <c r="F9">
        <f t="shared" si="3"/>
        <v>4531.8541666666688</v>
      </c>
      <c r="G9">
        <f t="shared" si="4"/>
        <v>-1</v>
      </c>
      <c r="H9">
        <f t="shared" si="5"/>
        <v>4740.1841666666687</v>
      </c>
      <c r="L9">
        <f t="shared" si="7"/>
        <v>4666.3273199770265</v>
      </c>
      <c r="N9">
        <v>4682.2967500000013</v>
      </c>
      <c r="O9">
        <f t="shared" si="6"/>
        <v>57.887416666667377</v>
      </c>
    </row>
    <row r="10" spans="1:17" x14ac:dyDescent="0.3">
      <c r="A10">
        <v>8443510</v>
      </c>
      <c r="B10">
        <f t="shared" si="0"/>
        <v>0.17590645833333332</v>
      </c>
      <c r="C10">
        <v>90761</v>
      </c>
      <c r="D10">
        <f t="shared" si="1"/>
        <v>0.18152199999999999</v>
      </c>
      <c r="E10">
        <f t="shared" si="2"/>
        <v>5.615541666666668E-3</v>
      </c>
      <c r="F10">
        <f t="shared" si="3"/>
        <v>2807.7708333333339</v>
      </c>
      <c r="G10">
        <f t="shared" si="4"/>
        <v>-9</v>
      </c>
      <c r="H10">
        <f t="shared" si="5"/>
        <v>4682.7408333333342</v>
      </c>
      <c r="L10">
        <f t="shared" si="7"/>
        <v>4666.3273199770265</v>
      </c>
      <c r="N10">
        <v>4682.2967500000013</v>
      </c>
      <c r="O10">
        <f t="shared" si="6"/>
        <v>0.44408333333285555</v>
      </c>
    </row>
    <row r="11" spans="1:17" x14ac:dyDescent="0.3">
      <c r="A11">
        <v>8215994</v>
      </c>
      <c r="B11">
        <f t="shared" si="0"/>
        <v>0.17116654166666667</v>
      </c>
      <c r="C11">
        <v>89793</v>
      </c>
      <c r="D11">
        <f t="shared" si="1"/>
        <v>0.179586</v>
      </c>
      <c r="E11">
        <f t="shared" si="2"/>
        <v>8.4194583333333239E-3</v>
      </c>
      <c r="F11">
        <f t="shared" si="3"/>
        <v>4209.7291666666624</v>
      </c>
      <c r="G11">
        <f t="shared" si="4"/>
        <v>-2</v>
      </c>
      <c r="H11">
        <f t="shared" si="5"/>
        <v>4626.3891666666623</v>
      </c>
      <c r="L11">
        <f t="shared" si="7"/>
        <v>4666.3273199770265</v>
      </c>
      <c r="N11">
        <v>4682.2967500000013</v>
      </c>
      <c r="O11">
        <f t="shared" si="6"/>
        <v>-55.907583333339062</v>
      </c>
    </row>
    <row r="12" spans="1:17" x14ac:dyDescent="0.3">
      <c r="A12">
        <v>8309802</v>
      </c>
      <c r="B12">
        <f t="shared" si="0"/>
        <v>0.17312087500000001</v>
      </c>
      <c r="C12">
        <v>91328</v>
      </c>
      <c r="D12">
        <f t="shared" si="1"/>
        <v>0.18265600000000001</v>
      </c>
      <c r="E12">
        <f t="shared" si="2"/>
        <v>9.5351250000000054E-3</v>
      </c>
      <c r="F12">
        <f t="shared" si="3"/>
        <v>4767.5625000000027</v>
      </c>
      <c r="G12">
        <f t="shared" si="4"/>
        <v>0</v>
      </c>
      <c r="H12">
        <f t="shared" si="5"/>
        <v>4767.5625000000027</v>
      </c>
      <c r="L12">
        <f t="shared" si="7"/>
        <v>4666.3273199770265</v>
      </c>
      <c r="N12">
        <v>4682.2967500000013</v>
      </c>
      <c r="O12">
        <f t="shared" si="6"/>
        <v>85.26575000000139</v>
      </c>
    </row>
    <row r="13" spans="1:17" x14ac:dyDescent="0.3">
      <c r="A13">
        <v>8242278</v>
      </c>
      <c r="B13">
        <f t="shared" si="0"/>
        <v>0.171714125</v>
      </c>
      <c r="D13">
        <f t="shared" si="1"/>
        <v>0</v>
      </c>
      <c r="L13">
        <f t="shared" si="7"/>
        <v>4666.3273199770265</v>
      </c>
    </row>
    <row r="14" spans="1:17" x14ac:dyDescent="0.3">
      <c r="B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-22</v>
      </c>
      <c r="H14">
        <f t="shared" ref="H14:H22" si="8">F14-G14*52.083</f>
        <v>1145.826</v>
      </c>
      <c r="L14">
        <f t="shared" si="7"/>
        <v>4666.3273199770265</v>
      </c>
    </row>
    <row r="15" spans="1:17" x14ac:dyDescent="0.3">
      <c r="B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-22</v>
      </c>
      <c r="H15">
        <f t="shared" si="8"/>
        <v>1145.826</v>
      </c>
      <c r="L15">
        <f t="shared" si="7"/>
        <v>4666.3273199770265</v>
      </c>
    </row>
    <row r="16" spans="1:17" x14ac:dyDescent="0.3">
      <c r="B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-22</v>
      </c>
      <c r="H16">
        <f t="shared" si="8"/>
        <v>1145.826</v>
      </c>
      <c r="L16">
        <f t="shared" si="7"/>
        <v>4666.3273199770265</v>
      </c>
    </row>
    <row r="17" spans="2:12" x14ac:dyDescent="0.3">
      <c r="B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-22</v>
      </c>
      <c r="H17">
        <f t="shared" si="8"/>
        <v>1145.826</v>
      </c>
      <c r="L17">
        <f t="shared" si="7"/>
        <v>4666.3273199770265</v>
      </c>
    </row>
    <row r="18" spans="2:12" x14ac:dyDescent="0.3">
      <c r="B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-22</v>
      </c>
      <c r="H18">
        <f t="shared" si="8"/>
        <v>1145.826</v>
      </c>
      <c r="L18">
        <f t="shared" si="7"/>
        <v>4666.3273199770265</v>
      </c>
    </row>
    <row r="19" spans="2:12" x14ac:dyDescent="0.3">
      <c r="B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-22</v>
      </c>
      <c r="H19">
        <f t="shared" si="8"/>
        <v>1145.826</v>
      </c>
      <c r="L19">
        <f t="shared" si="7"/>
        <v>4666.3273199770265</v>
      </c>
    </row>
    <row r="20" spans="2:12" x14ac:dyDescent="0.3">
      <c r="B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-22</v>
      </c>
      <c r="H20">
        <f t="shared" si="8"/>
        <v>1145.826</v>
      </c>
      <c r="L20">
        <f t="shared" si="7"/>
        <v>4666.3273199770265</v>
      </c>
    </row>
    <row r="21" spans="2:12" x14ac:dyDescent="0.3">
      <c r="B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-22</v>
      </c>
      <c r="H21">
        <f t="shared" si="8"/>
        <v>1145.826</v>
      </c>
      <c r="L21">
        <f t="shared" si="7"/>
        <v>4666.3273199770265</v>
      </c>
    </row>
    <row r="22" spans="2:12" x14ac:dyDescent="0.3">
      <c r="B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-22</v>
      </c>
      <c r="H22">
        <f t="shared" si="8"/>
        <v>1145.826</v>
      </c>
      <c r="L22">
        <f t="shared" si="7"/>
        <v>4666.3273199770265</v>
      </c>
    </row>
    <row r="23" spans="2:12" x14ac:dyDescent="0.3">
      <c r="B23">
        <f t="shared" si="0"/>
        <v>0</v>
      </c>
      <c r="L23">
        <f t="shared" si="7"/>
        <v>4666.3273199770265</v>
      </c>
    </row>
    <row r="24" spans="2:12" x14ac:dyDescent="0.3">
      <c r="B24">
        <f t="shared" si="0"/>
        <v>0</v>
      </c>
      <c r="L24">
        <f t="shared" si="7"/>
        <v>4666.3273199770265</v>
      </c>
    </row>
    <row r="25" spans="2:12" x14ac:dyDescent="0.3">
      <c r="B25">
        <f t="shared" si="0"/>
        <v>0</v>
      </c>
      <c r="L25">
        <f t="shared" si="7"/>
        <v>4666.3273199770265</v>
      </c>
    </row>
    <row r="26" spans="2:12" x14ac:dyDescent="0.3">
      <c r="B26">
        <f t="shared" si="0"/>
        <v>0</v>
      </c>
      <c r="L26">
        <f t="shared" si="7"/>
        <v>4666.3273199770265</v>
      </c>
    </row>
    <row r="27" spans="2:12" x14ac:dyDescent="0.3">
      <c r="B27">
        <f t="shared" si="0"/>
        <v>0</v>
      </c>
      <c r="L27">
        <f t="shared" si="7"/>
        <v>4666.3273199770265</v>
      </c>
    </row>
    <row r="28" spans="2:12" x14ac:dyDescent="0.3">
      <c r="B28">
        <f t="shared" si="0"/>
        <v>0</v>
      </c>
      <c r="L28">
        <f t="shared" si="7"/>
        <v>4666.3273199770265</v>
      </c>
    </row>
    <row r="29" spans="2:12" x14ac:dyDescent="0.3">
      <c r="B29">
        <f t="shared" si="0"/>
        <v>0</v>
      </c>
      <c r="L29">
        <f t="shared" si="7"/>
        <v>4666.3273199770265</v>
      </c>
    </row>
    <row r="30" spans="2:12" x14ac:dyDescent="0.3">
      <c r="B30">
        <f t="shared" si="0"/>
        <v>0</v>
      </c>
      <c r="L30">
        <f t="shared" si="7"/>
        <v>4666.3273199770265</v>
      </c>
    </row>
    <row r="31" spans="2:12" x14ac:dyDescent="0.3">
      <c r="B31">
        <f t="shared" si="0"/>
        <v>0</v>
      </c>
    </row>
    <row r="32" spans="2:12" x14ac:dyDescent="0.3">
      <c r="B32">
        <f t="shared" si="0"/>
        <v>0</v>
      </c>
    </row>
    <row r="36" spans="9:9" x14ac:dyDescent="0.3">
      <c r="I36">
        <f>COUNT(F3:F12)</f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DEA5-A3D3-4032-BAD6-0BAAFEDCF7FA}">
  <dimension ref="A1:R89"/>
  <sheetViews>
    <sheetView topLeftCell="B12" zoomScale="77" zoomScaleNormal="100" workbookViewId="0">
      <selection activeCell="G89" sqref="G89"/>
    </sheetView>
  </sheetViews>
  <sheetFormatPr defaultRowHeight="14.4" x14ac:dyDescent="0.3"/>
  <cols>
    <col min="1" max="1" width="23.109375" customWidth="1"/>
    <col min="2" max="2" width="30" customWidth="1"/>
    <col min="3" max="3" width="21.33203125" customWidth="1"/>
    <col min="4" max="4" width="31" customWidth="1"/>
    <col min="5" max="5" width="25.88671875" customWidth="1"/>
    <col min="6" max="6" width="21.88671875" customWidth="1"/>
    <col min="7" max="7" width="21.33203125" customWidth="1"/>
    <col min="9" max="9" width="11.6640625" customWidth="1"/>
    <col min="10" max="10" width="19.6640625" customWidth="1"/>
    <col min="11" max="11" width="41.6640625" customWidth="1"/>
    <col min="12" max="12" width="17.5546875" customWidth="1"/>
    <col min="17" max="17" width="22.33203125" customWidth="1"/>
    <col min="18" max="18" width="20.88671875" customWidth="1"/>
  </cols>
  <sheetData>
    <row r="1" spans="1:18" ht="15.6" thickTop="1" thickBot="1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I1" s="1" cm="1">
        <f t="array" ref="I1">MAX(ABS(H2:H21-AVERAGE(H2:H21)))</f>
        <v>24.56263333333618</v>
      </c>
      <c r="J1">
        <v>391.40000000000146</v>
      </c>
      <c r="L1" t="s">
        <v>7</v>
      </c>
      <c r="P1" t="s">
        <v>8</v>
      </c>
      <c r="Q1" t="s">
        <v>9</v>
      </c>
      <c r="R1" t="s">
        <v>10</v>
      </c>
    </row>
    <row r="2" spans="1:18" ht="15" thickTop="1" x14ac:dyDescent="0.3">
      <c r="A2">
        <v>2109470</v>
      </c>
      <c r="B2">
        <f>A2/48000000</f>
        <v>4.3947291666666666E-2</v>
      </c>
      <c r="C2">
        <v>22925</v>
      </c>
      <c r="D2">
        <f>C2/500000</f>
        <v>4.5850000000000002E-2</v>
      </c>
      <c r="E2">
        <f>D2-B2</f>
        <v>1.9027083333333361E-3</v>
      </c>
      <c r="F2">
        <f>E2*500000</f>
        <v>951.35416666666811</v>
      </c>
      <c r="G2">
        <f>ROUND((F2 - L2) / 52.083, 0)</f>
        <v>-2</v>
      </c>
      <c r="H2">
        <f>F2-G2*52.083</f>
        <v>1055.520166666668</v>
      </c>
      <c r="I2">
        <f>1*_xlfn.STDEV.S(H2:H21)</f>
        <v>14.877043536232366</v>
      </c>
      <c r="K2">
        <f>I2*2*0.3</f>
        <v>8.9262261217394183</v>
      </c>
      <c r="L2">
        <f>847.507730753863+52.083*4</f>
        <v>1055.839730753863</v>
      </c>
      <c r="O2" cm="1">
        <f t="array" ref="O2:O21">H2:H21-AVERAGE(H2:H21)</f>
        <v>-2.1459666666655721</v>
      </c>
      <c r="Q2">
        <v>391.40000000000146</v>
      </c>
    </row>
    <row r="3" spans="1:18" x14ac:dyDescent="0.3">
      <c r="A3">
        <v>2134296</v>
      </c>
      <c r="B3">
        <f t="shared" ref="B3:B45" si="0">A3/48000000</f>
        <v>4.4464499999999997E-2</v>
      </c>
      <c r="C3">
        <v>22869</v>
      </c>
      <c r="D3">
        <f t="shared" ref="D3:D45" si="1">C3/500000</f>
        <v>4.5738000000000001E-2</v>
      </c>
      <c r="E3">
        <f t="shared" ref="E3:E21" si="2">D3-B3</f>
        <v>1.2735000000000038E-3</v>
      </c>
      <c r="F3">
        <f t="shared" ref="F3:F45" si="3">E3*500000</f>
        <v>636.75000000000193</v>
      </c>
      <c r="G3">
        <f t="shared" ref="G3:G45" si="4">ROUND((F3 - L3) / 52.083, 0)</f>
        <v>-8</v>
      </c>
      <c r="H3">
        <f t="shared" ref="H3:H45" si="5">F3-G3*52.083</f>
        <v>1053.414000000002</v>
      </c>
      <c r="J3" t="s">
        <v>20</v>
      </c>
      <c r="L3">
        <f>L2</f>
        <v>1055.839730753863</v>
      </c>
      <c r="O3">
        <v>-4.2521333333315852</v>
      </c>
    </row>
    <row r="4" spans="1:18" x14ac:dyDescent="0.3">
      <c r="A4">
        <v>2160364</v>
      </c>
      <c r="B4">
        <f t="shared" si="0"/>
        <v>4.500758333333333E-2</v>
      </c>
      <c r="C4">
        <v>22760</v>
      </c>
      <c r="D4">
        <f t="shared" si="1"/>
        <v>4.5519999999999998E-2</v>
      </c>
      <c r="E4">
        <f t="shared" si="2"/>
        <v>5.1241666666666796E-4</v>
      </c>
      <c r="F4">
        <f t="shared" si="3"/>
        <v>256.208333333334</v>
      </c>
      <c r="G4">
        <f t="shared" si="4"/>
        <v>-15</v>
      </c>
      <c r="H4">
        <f t="shared" si="5"/>
        <v>1037.4533333333341</v>
      </c>
      <c r="L4">
        <f t="shared" ref="L4:L45" si="6">L3</f>
        <v>1055.839730753863</v>
      </c>
      <c r="O4">
        <v>-20.212799999999561</v>
      </c>
    </row>
    <row r="5" spans="1:18" x14ac:dyDescent="0.3">
      <c r="A5">
        <v>2185812</v>
      </c>
      <c r="B5">
        <f t="shared" si="0"/>
        <v>4.5537750000000002E-2</v>
      </c>
      <c r="C5">
        <v>23068</v>
      </c>
      <c r="D5">
        <f t="shared" si="1"/>
        <v>4.6136000000000003E-2</v>
      </c>
      <c r="E5">
        <f t="shared" si="2"/>
        <v>5.9825000000000156E-4</v>
      </c>
      <c r="F5">
        <f t="shared" si="3"/>
        <v>299.1250000000008</v>
      </c>
      <c r="G5">
        <f t="shared" si="4"/>
        <v>-15</v>
      </c>
      <c r="H5">
        <f t="shared" si="5"/>
        <v>1080.3700000000008</v>
      </c>
      <c r="L5">
        <f t="shared" si="6"/>
        <v>1055.839730753863</v>
      </c>
      <c r="O5">
        <v>22.703866666667182</v>
      </c>
    </row>
    <row r="6" spans="1:18" x14ac:dyDescent="0.3">
      <c r="A6">
        <v>2211260</v>
      </c>
      <c r="B6">
        <f t="shared" si="0"/>
        <v>4.6067916666666667E-2</v>
      </c>
      <c r="C6">
        <v>23375</v>
      </c>
      <c r="D6">
        <f t="shared" si="1"/>
        <v>4.675E-2</v>
      </c>
      <c r="E6">
        <f t="shared" si="2"/>
        <v>6.8208333333333315E-4</v>
      </c>
      <c r="F6">
        <f t="shared" si="3"/>
        <v>341.04166666666657</v>
      </c>
      <c r="G6">
        <f t="shared" si="4"/>
        <v>-14</v>
      </c>
      <c r="H6">
        <f t="shared" si="5"/>
        <v>1070.2036666666665</v>
      </c>
      <c r="L6">
        <f t="shared" si="6"/>
        <v>1055.839730753863</v>
      </c>
      <c r="O6">
        <v>12.537533333332931</v>
      </c>
    </row>
    <row r="7" spans="1:18" x14ac:dyDescent="0.3">
      <c r="A7">
        <v>2236708</v>
      </c>
      <c r="B7">
        <f t="shared" si="0"/>
        <v>4.6598083333333332E-2</v>
      </c>
      <c r="C7">
        <v>23266</v>
      </c>
      <c r="D7">
        <f t="shared" si="1"/>
        <v>4.6531999999999997E-2</v>
      </c>
      <c r="E7">
        <f t="shared" si="2"/>
        <v>-6.608333333333466E-5</v>
      </c>
      <c r="F7">
        <f t="shared" si="3"/>
        <v>-33.041666666667332</v>
      </c>
      <c r="G7">
        <f t="shared" si="4"/>
        <v>-21</v>
      </c>
      <c r="H7">
        <f t="shared" si="5"/>
        <v>1060.7013333333325</v>
      </c>
      <c r="L7">
        <f t="shared" si="6"/>
        <v>1055.839730753863</v>
      </c>
      <c r="O7">
        <v>3.0351999999988948</v>
      </c>
      <c r="Q7">
        <f>1852.6-L8</f>
        <v>796.76026924613689</v>
      </c>
      <c r="R7">
        <f>Q7/52.083</f>
        <v>15.297895076054315</v>
      </c>
    </row>
    <row r="8" spans="1:18" x14ac:dyDescent="0.3">
      <c r="A8">
        <v>2262156</v>
      </c>
      <c r="B8">
        <f t="shared" si="0"/>
        <v>4.7128249999999997E-2</v>
      </c>
      <c r="C8">
        <v>23158</v>
      </c>
      <c r="D8">
        <f t="shared" si="1"/>
        <v>4.6316000000000003E-2</v>
      </c>
      <c r="E8">
        <f t="shared" si="2"/>
        <v>-8.1224999999999353E-4</v>
      </c>
      <c r="F8">
        <f t="shared" si="3"/>
        <v>-406.12499999999676</v>
      </c>
      <c r="G8">
        <f t="shared" si="4"/>
        <v>-28</v>
      </c>
      <c r="H8">
        <f t="shared" si="5"/>
        <v>1052.1990000000033</v>
      </c>
      <c r="L8">
        <f t="shared" si="6"/>
        <v>1055.839730753863</v>
      </c>
      <c r="O8">
        <v>-5.4671333333303664</v>
      </c>
    </row>
    <row r="9" spans="1:18" x14ac:dyDescent="0.3">
      <c r="A9">
        <v>2167592</v>
      </c>
      <c r="B9">
        <f t="shared" si="0"/>
        <v>4.5158166666666666E-2</v>
      </c>
      <c r="C9">
        <v>22945</v>
      </c>
      <c r="D9">
        <f t="shared" si="1"/>
        <v>4.589E-2</v>
      </c>
      <c r="E9">
        <f t="shared" si="2"/>
        <v>7.3183333333333433E-4</v>
      </c>
      <c r="F9">
        <f t="shared" si="3"/>
        <v>365.91666666666714</v>
      </c>
      <c r="G9">
        <f t="shared" si="4"/>
        <v>-13</v>
      </c>
      <c r="H9">
        <f t="shared" si="5"/>
        <v>1042.9956666666671</v>
      </c>
      <c r="L9">
        <f t="shared" si="6"/>
        <v>1055.839730753863</v>
      </c>
      <c r="O9">
        <v>-14.670466666666471</v>
      </c>
    </row>
    <row r="10" spans="1:18" x14ac:dyDescent="0.3">
      <c r="A10">
        <v>2113062</v>
      </c>
      <c r="B10">
        <f t="shared" si="0"/>
        <v>4.4022125000000002E-2</v>
      </c>
      <c r="C10">
        <v>22940</v>
      </c>
      <c r="D10">
        <f t="shared" si="1"/>
        <v>4.5879999999999997E-2</v>
      </c>
      <c r="E10">
        <f t="shared" si="2"/>
        <v>1.8578749999999949E-3</v>
      </c>
      <c r="F10">
        <f t="shared" si="3"/>
        <v>928.9374999999975</v>
      </c>
      <c r="G10">
        <f t="shared" si="4"/>
        <v>-2</v>
      </c>
      <c r="H10">
        <f t="shared" si="5"/>
        <v>1033.1034999999974</v>
      </c>
      <c r="L10">
        <f t="shared" si="6"/>
        <v>1055.839730753863</v>
      </c>
      <c r="O10">
        <v>-24.56263333333618</v>
      </c>
    </row>
    <row r="11" spans="1:18" x14ac:dyDescent="0.3">
      <c r="A11">
        <v>2138504</v>
      </c>
      <c r="B11">
        <f t="shared" si="0"/>
        <v>4.4552166666666664E-2</v>
      </c>
      <c r="C11">
        <v>22727</v>
      </c>
      <c r="D11">
        <f t="shared" si="1"/>
        <v>4.5454000000000001E-2</v>
      </c>
      <c r="E11">
        <f t="shared" si="2"/>
        <v>9.0183333333333782E-4</v>
      </c>
      <c r="F11">
        <f t="shared" si="3"/>
        <v>450.9166666666689</v>
      </c>
      <c r="G11">
        <f t="shared" si="4"/>
        <v>-12</v>
      </c>
      <c r="H11">
        <f t="shared" si="5"/>
        <v>1075.9126666666689</v>
      </c>
      <c r="J11" t="s">
        <v>11</v>
      </c>
      <c r="K11" t="s">
        <v>12</v>
      </c>
      <c r="L11">
        <f t="shared" si="6"/>
        <v>1055.839730753863</v>
      </c>
      <c r="O11">
        <v>18.246533333335265</v>
      </c>
    </row>
    <row r="12" spans="1:18" x14ac:dyDescent="0.3">
      <c r="A12">
        <v>2163954</v>
      </c>
      <c r="B12">
        <f t="shared" si="0"/>
        <v>4.5082375000000001E-2</v>
      </c>
      <c r="C12">
        <v>22722</v>
      </c>
      <c r="D12">
        <f t="shared" si="1"/>
        <v>4.5443999999999998E-2</v>
      </c>
      <c r="E12">
        <f t="shared" si="2"/>
        <v>3.6162499999999737E-4</v>
      </c>
      <c r="F12">
        <f t="shared" si="3"/>
        <v>180.81249999999869</v>
      </c>
      <c r="G12">
        <f t="shared" si="4"/>
        <v>-17</v>
      </c>
      <c r="H12">
        <f t="shared" si="5"/>
        <v>1066.2234999999987</v>
      </c>
      <c r="I12" t="s">
        <v>14</v>
      </c>
      <c r="J12" cm="1">
        <f t="array" ref="J12">SQRT(AVERAGE(POWER(H2:H21,2)))</f>
        <v>1057.7655268080186</v>
      </c>
      <c r="K12">
        <f>I2/SQRT(20)</f>
        <v>3.3266080651239425</v>
      </c>
      <c r="L12">
        <f t="shared" si="6"/>
        <v>1055.839730753863</v>
      </c>
      <c r="O12">
        <v>8.5573666666650752</v>
      </c>
    </row>
    <row r="13" spans="1:18" x14ac:dyDescent="0.3">
      <c r="A13">
        <v>2189400</v>
      </c>
      <c r="B13">
        <f t="shared" si="0"/>
        <v>4.56125E-2</v>
      </c>
      <c r="C13">
        <v>23394</v>
      </c>
      <c r="D13">
        <f t="shared" si="1"/>
        <v>4.6788000000000003E-2</v>
      </c>
      <c r="E13">
        <f t="shared" si="2"/>
        <v>1.1755000000000029E-3</v>
      </c>
      <c r="F13">
        <f t="shared" si="3"/>
        <v>587.75000000000148</v>
      </c>
      <c r="G13">
        <f t="shared" si="4"/>
        <v>-9</v>
      </c>
      <c r="H13">
        <f t="shared" si="5"/>
        <v>1056.4970000000014</v>
      </c>
      <c r="I13" t="s">
        <v>13</v>
      </c>
      <c r="J13">
        <f>J12*2*0.3</f>
        <v>634.65931608481117</v>
      </c>
      <c r="K13">
        <f>K12*2*0.3*2</f>
        <v>3.9919296781487308</v>
      </c>
      <c r="L13">
        <f t="shared" si="6"/>
        <v>1055.839730753863</v>
      </c>
      <c r="O13">
        <v>-1.1691333333321836</v>
      </c>
    </row>
    <row r="14" spans="1:18" x14ac:dyDescent="0.3">
      <c r="A14">
        <v>2214852</v>
      </c>
      <c r="B14">
        <f t="shared" si="0"/>
        <v>4.6142750000000003E-2</v>
      </c>
      <c r="C14">
        <v>23234</v>
      </c>
      <c r="D14">
        <f t="shared" si="1"/>
        <v>4.6468000000000002E-2</v>
      </c>
      <c r="E14">
        <f t="shared" si="2"/>
        <v>3.2524999999999915E-4</v>
      </c>
      <c r="F14">
        <f t="shared" si="3"/>
        <v>162.62499999999957</v>
      </c>
      <c r="G14">
        <f t="shared" si="4"/>
        <v>-17</v>
      </c>
      <c r="H14">
        <f t="shared" si="5"/>
        <v>1048.0359999999996</v>
      </c>
      <c r="L14">
        <f t="shared" si="6"/>
        <v>1055.839730753863</v>
      </c>
      <c r="O14">
        <v>-9.6301333333340153</v>
      </c>
    </row>
    <row r="15" spans="1:18" x14ac:dyDescent="0.3">
      <c r="A15">
        <v>2240296</v>
      </c>
      <c r="B15">
        <f t="shared" si="0"/>
        <v>4.667283333333333E-2</v>
      </c>
      <c r="C15">
        <v>23229</v>
      </c>
      <c r="D15">
        <f t="shared" si="1"/>
        <v>4.6457999999999999E-2</v>
      </c>
      <c r="E15">
        <f t="shared" si="2"/>
        <v>-2.1483333333333077E-4</v>
      </c>
      <c r="F15">
        <f t="shared" si="3"/>
        <v>-107.41666666666538</v>
      </c>
      <c r="G15">
        <f t="shared" si="4"/>
        <v>-22</v>
      </c>
      <c r="H15">
        <f t="shared" si="5"/>
        <v>1038.4093333333346</v>
      </c>
      <c r="L15">
        <f t="shared" si="6"/>
        <v>1055.839730753863</v>
      </c>
      <c r="O15">
        <v>-19.256799999998975</v>
      </c>
    </row>
    <row r="16" spans="1:18" x14ac:dyDescent="0.3">
      <c r="A16">
        <v>2265744</v>
      </c>
      <c r="B16">
        <f t="shared" si="0"/>
        <v>4.7203000000000002E-2</v>
      </c>
      <c r="C16">
        <v>23120</v>
      </c>
      <c r="D16">
        <f t="shared" si="1"/>
        <v>4.6240000000000003E-2</v>
      </c>
      <c r="E16">
        <f t="shared" si="2"/>
        <v>-9.6299999999999858E-4</v>
      </c>
      <c r="F16">
        <f t="shared" si="3"/>
        <v>-481.49999999999932</v>
      </c>
      <c r="G16">
        <f t="shared" si="4"/>
        <v>-30</v>
      </c>
      <c r="H16">
        <f t="shared" si="5"/>
        <v>1080.9900000000007</v>
      </c>
      <c r="L16">
        <f t="shared" si="6"/>
        <v>1055.839730753863</v>
      </c>
      <c r="O16">
        <v>23.323866666667072</v>
      </c>
    </row>
    <row r="17" spans="1:18" x14ac:dyDescent="0.3">
      <c r="A17">
        <v>2131192</v>
      </c>
      <c r="B17">
        <f t="shared" si="0"/>
        <v>4.4399833333333333E-2</v>
      </c>
      <c r="C17">
        <v>23011</v>
      </c>
      <c r="D17">
        <f t="shared" si="1"/>
        <v>4.6022E-2</v>
      </c>
      <c r="E17">
        <f t="shared" si="2"/>
        <v>1.6221666666666676E-3</v>
      </c>
      <c r="F17">
        <f t="shared" si="3"/>
        <v>811.08333333333383</v>
      </c>
      <c r="G17">
        <f t="shared" si="4"/>
        <v>-5</v>
      </c>
      <c r="H17">
        <f t="shared" si="5"/>
        <v>1071.4983333333339</v>
      </c>
      <c r="J17">
        <f>AVERAGE(H2:H21)</f>
        <v>1057.6661333333336</v>
      </c>
      <c r="L17">
        <f t="shared" si="6"/>
        <v>1055.839730753863</v>
      </c>
      <c r="O17">
        <v>13.832200000000284</v>
      </c>
    </row>
    <row r="18" spans="1:18" x14ac:dyDescent="0.3">
      <c r="A18">
        <v>2116646</v>
      </c>
      <c r="B18">
        <f t="shared" si="0"/>
        <v>4.409679166666667E-2</v>
      </c>
      <c r="C18">
        <v>22850</v>
      </c>
      <c r="D18">
        <f t="shared" si="1"/>
        <v>4.5699999999999998E-2</v>
      </c>
      <c r="E18">
        <f t="shared" si="2"/>
        <v>1.603208333333328E-3</v>
      </c>
      <c r="F18">
        <f t="shared" si="3"/>
        <v>801.60416666666401</v>
      </c>
      <c r="G18">
        <f t="shared" si="4"/>
        <v>-5</v>
      </c>
      <c r="H18">
        <f t="shared" si="5"/>
        <v>1062.019166666664</v>
      </c>
      <c r="J18">
        <f>J17*2*0.3</f>
        <v>634.59968000000015</v>
      </c>
      <c r="L18">
        <f t="shared" si="6"/>
        <v>1055.839730753863</v>
      </c>
      <c r="O18">
        <v>4.3530333333303588</v>
      </c>
    </row>
    <row r="19" spans="1:18" x14ac:dyDescent="0.3">
      <c r="A19">
        <v>2142428</v>
      </c>
      <c r="B19">
        <f t="shared" si="0"/>
        <v>4.4633916666666669E-2</v>
      </c>
      <c r="C19">
        <v>22793</v>
      </c>
      <c r="D19">
        <f t="shared" si="1"/>
        <v>4.5586000000000002E-2</v>
      </c>
      <c r="E19">
        <f t="shared" si="2"/>
        <v>9.5208333333333256E-4</v>
      </c>
      <c r="F19">
        <f t="shared" si="3"/>
        <v>476.04166666666629</v>
      </c>
      <c r="G19">
        <f t="shared" si="4"/>
        <v>-11</v>
      </c>
      <c r="H19">
        <f t="shared" si="5"/>
        <v>1048.9546666666663</v>
      </c>
      <c r="L19">
        <f t="shared" si="6"/>
        <v>1055.839730753863</v>
      </c>
      <c r="O19">
        <v>-8.7114666666673202</v>
      </c>
    </row>
    <row r="20" spans="1:18" x14ac:dyDescent="0.3">
      <c r="A20">
        <v>2167540</v>
      </c>
      <c r="B20">
        <f t="shared" si="0"/>
        <v>4.5157083333333334E-2</v>
      </c>
      <c r="C20">
        <v>22632</v>
      </c>
      <c r="D20">
        <f t="shared" si="1"/>
        <v>4.5263999999999999E-2</v>
      </c>
      <c r="E20">
        <f t="shared" si="2"/>
        <v>1.0691666666666488E-4</v>
      </c>
      <c r="F20">
        <f t="shared" si="3"/>
        <v>53.45833333333244</v>
      </c>
      <c r="G20">
        <f t="shared" si="4"/>
        <v>-19</v>
      </c>
      <c r="H20">
        <f t="shared" si="5"/>
        <v>1043.0353333333323</v>
      </c>
      <c r="L20">
        <f t="shared" si="6"/>
        <v>1055.839730753863</v>
      </c>
      <c r="O20">
        <v>-14.630800000001273</v>
      </c>
    </row>
    <row r="21" spans="1:18" x14ac:dyDescent="0.3">
      <c r="A21">
        <v>2192988</v>
      </c>
      <c r="B21">
        <f t="shared" si="0"/>
        <v>4.5687249999999999E-2</v>
      </c>
      <c r="C21">
        <v>23034</v>
      </c>
      <c r="D21">
        <f t="shared" si="1"/>
        <v>4.6067999999999998E-2</v>
      </c>
      <c r="E21">
        <f t="shared" si="2"/>
        <v>3.8074999999999914E-4</v>
      </c>
      <c r="F21">
        <f t="shared" si="3"/>
        <v>190.37499999999957</v>
      </c>
      <c r="G21">
        <f t="shared" si="4"/>
        <v>-17</v>
      </c>
      <c r="H21">
        <f t="shared" si="5"/>
        <v>1075.7859999999996</v>
      </c>
      <c r="J21">
        <f>J18-J29</f>
        <v>8.2953549999999723</v>
      </c>
      <c r="L21">
        <f t="shared" si="6"/>
        <v>1055.839730753863</v>
      </c>
      <c r="O21">
        <v>18.119866666665985</v>
      </c>
    </row>
    <row r="22" spans="1:18" x14ac:dyDescent="0.3">
      <c r="B22">
        <f t="shared" si="0"/>
        <v>0</v>
      </c>
      <c r="D22">
        <f t="shared" si="1"/>
        <v>0</v>
      </c>
      <c r="E22">
        <f t="shared" ref="E22:E45" si="7">D22-B22</f>
        <v>0</v>
      </c>
      <c r="F22">
        <f t="shared" si="3"/>
        <v>0</v>
      </c>
      <c r="G22">
        <f t="shared" si="4"/>
        <v>-20</v>
      </c>
      <c r="H22">
        <f t="shared" si="5"/>
        <v>1041.6599999999999</v>
      </c>
      <c r="K22">
        <f>COUNT(F26:F45)</f>
        <v>20</v>
      </c>
      <c r="L22">
        <f t="shared" si="6"/>
        <v>1055.839730753863</v>
      </c>
      <c r="Q22">
        <f>MIN($I$1)</f>
        <v>24.56263333333618</v>
      </c>
    </row>
    <row r="23" spans="1:18" x14ac:dyDescent="0.3">
      <c r="B23">
        <f t="shared" si="0"/>
        <v>0</v>
      </c>
      <c r="D23">
        <f t="shared" si="1"/>
        <v>0</v>
      </c>
      <c r="E23">
        <f t="shared" si="7"/>
        <v>0</v>
      </c>
      <c r="F23">
        <f t="shared" si="3"/>
        <v>0</v>
      </c>
      <c r="G23">
        <f t="shared" si="4"/>
        <v>-20</v>
      </c>
      <c r="H23">
        <f t="shared" si="5"/>
        <v>1041.6599999999999</v>
      </c>
      <c r="L23">
        <f t="shared" si="6"/>
        <v>1055.839730753863</v>
      </c>
      <c r="O23" cm="1">
        <f t="array" ref="O23">SQRT(SUM(POWER(O2:O21,2)))</f>
        <v>64.847529353091858</v>
      </c>
      <c r="Q23">
        <f>COUNT($L$2)</f>
        <v>1</v>
      </c>
    </row>
    <row r="24" spans="1:18" ht="15" thickBot="1" x14ac:dyDescent="0.35">
      <c r="B24">
        <f t="shared" si="0"/>
        <v>0</v>
      </c>
      <c r="D24">
        <f t="shared" si="1"/>
        <v>0</v>
      </c>
      <c r="E24">
        <f t="shared" si="7"/>
        <v>0</v>
      </c>
      <c r="F24">
        <f t="shared" si="3"/>
        <v>0</v>
      </c>
      <c r="G24">
        <f t="shared" si="4"/>
        <v>-20</v>
      </c>
      <c r="H24">
        <f t="shared" si="5"/>
        <v>1041.6599999999999</v>
      </c>
      <c r="L24">
        <f t="shared" si="6"/>
        <v>1055.839730753863</v>
      </c>
      <c r="Q24" t="b">
        <f>$L$2&lt;=2500</f>
        <v>1</v>
      </c>
    </row>
    <row r="25" spans="1:18" ht="15.6" thickTop="1" thickBot="1" x14ac:dyDescent="0.35">
      <c r="B25">
        <f t="shared" si="0"/>
        <v>0</v>
      </c>
      <c r="D25">
        <f t="shared" si="1"/>
        <v>0</v>
      </c>
      <c r="E25">
        <f t="shared" si="7"/>
        <v>0</v>
      </c>
      <c r="F25">
        <f t="shared" si="3"/>
        <v>0</v>
      </c>
      <c r="G25">
        <f t="shared" si="4"/>
        <v>-20</v>
      </c>
      <c r="H25">
        <f t="shared" si="5"/>
        <v>1041.6599999999999</v>
      </c>
      <c r="I25" s="1" cm="1">
        <f t="array" ref="I25">MAX(ABS(H26:H45-AVERAGE(H26:H45)))</f>
        <v>24.477458333333971</v>
      </c>
      <c r="K25">
        <f>30*0.3</f>
        <v>9</v>
      </c>
      <c r="L25">
        <f t="shared" si="6"/>
        <v>1055.839730753863</v>
      </c>
      <c r="Q25" t="b">
        <f>$L$2&gt;=0</f>
        <v>1</v>
      </c>
    </row>
    <row r="26" spans="1:18" ht="15" thickTop="1" x14ac:dyDescent="0.3">
      <c r="A26">
        <v>2295788</v>
      </c>
      <c r="B26">
        <f t="shared" si="0"/>
        <v>4.7828916666666665E-2</v>
      </c>
      <c r="C26">
        <v>23407</v>
      </c>
      <c r="D26">
        <f t="shared" si="1"/>
        <v>4.6814000000000001E-2</v>
      </c>
      <c r="E26">
        <f t="shared" si="7"/>
        <v>-1.014916666666664E-3</v>
      </c>
      <c r="F26">
        <f t="shared" si="3"/>
        <v>-507.45833333333201</v>
      </c>
      <c r="G26">
        <f t="shared" si="4"/>
        <v>-30</v>
      </c>
      <c r="H26">
        <f t="shared" si="5"/>
        <v>1055.0316666666681</v>
      </c>
      <c r="I26">
        <f>1*_xlfn.STDEV.S(H26:H45)</f>
        <v>14.55868639283846</v>
      </c>
      <c r="J26" t="s">
        <v>21</v>
      </c>
      <c r="K26">
        <f>I26*2*0.3</f>
        <v>8.7352118357030761</v>
      </c>
      <c r="L26">
        <v>1043.7636406830345</v>
      </c>
      <c r="O26" cm="1">
        <f t="array" ref="O26:O45">H26:H45-AVERAGE(H26:H45)</f>
        <v>11.191125000001193</v>
      </c>
      <c r="Q26">
        <f>{32767,32767,0.000001,0.01,FALSE,FALSE,FALSE,1,2,1,0.0001,TRUE}</f>
        <v>32767</v>
      </c>
    </row>
    <row r="27" spans="1:18" x14ac:dyDescent="0.3">
      <c r="A27">
        <v>2321238</v>
      </c>
      <c r="B27">
        <f t="shared" si="0"/>
        <v>4.8359125000000003E-2</v>
      </c>
      <c r="C27">
        <v>23194</v>
      </c>
      <c r="D27">
        <f t="shared" si="1"/>
        <v>4.6387999999999999E-2</v>
      </c>
      <c r="E27">
        <f t="shared" si="7"/>
        <v>-1.9711250000000041E-3</v>
      </c>
      <c r="F27">
        <f t="shared" si="3"/>
        <v>-985.56250000000205</v>
      </c>
      <c r="G27">
        <f t="shared" si="4"/>
        <v>-39</v>
      </c>
      <c r="H27">
        <f t="shared" si="5"/>
        <v>1045.6744999999978</v>
      </c>
      <c r="L27">
        <f t="shared" si="6"/>
        <v>1043.7636406830345</v>
      </c>
      <c r="O27">
        <v>1.8339583333308838</v>
      </c>
      <c r="Q27">
        <f>{0,0,1,100,0,FALSE,FALSE,0.075,0,0,FALSE,30}</f>
        <v>0</v>
      </c>
    </row>
    <row r="28" spans="1:18" x14ac:dyDescent="0.3">
      <c r="A28">
        <v>2346346</v>
      </c>
      <c r="B28">
        <f t="shared" si="0"/>
        <v>4.8882208333333337E-2</v>
      </c>
      <c r="C28">
        <v>23085</v>
      </c>
      <c r="D28">
        <f t="shared" si="1"/>
        <v>4.6170000000000003E-2</v>
      </c>
      <c r="E28">
        <f t="shared" si="7"/>
        <v>-2.7122083333333338E-3</v>
      </c>
      <c r="F28">
        <f t="shared" si="3"/>
        <v>-1356.104166666667</v>
      </c>
      <c r="G28">
        <f t="shared" si="4"/>
        <v>-46</v>
      </c>
      <c r="H28">
        <f t="shared" si="5"/>
        <v>1039.7138333333328</v>
      </c>
      <c r="J28">
        <f>AVERAGE(H26:H45)</f>
        <v>1043.8405416666669</v>
      </c>
      <c r="L28">
        <f t="shared" si="6"/>
        <v>1043.7636406830345</v>
      </c>
      <c r="O28">
        <v>-4.1267083333341361</v>
      </c>
    </row>
    <row r="29" spans="1:18" x14ac:dyDescent="0.3">
      <c r="A29">
        <v>2251790</v>
      </c>
      <c r="B29">
        <f t="shared" si="0"/>
        <v>4.6912291666666668E-2</v>
      </c>
      <c r="C29">
        <v>23132</v>
      </c>
      <c r="D29">
        <f t="shared" si="1"/>
        <v>4.6264E-2</v>
      </c>
      <c r="E29">
        <f t="shared" si="7"/>
        <v>-6.4829166666666854E-4</v>
      </c>
      <c r="F29">
        <f t="shared" si="3"/>
        <v>-324.14583333333428</v>
      </c>
      <c r="G29">
        <f t="shared" si="4"/>
        <v>-26</v>
      </c>
      <c r="H29">
        <f t="shared" si="5"/>
        <v>1030.0121666666655</v>
      </c>
      <c r="J29">
        <f>J28*2*0.3</f>
        <v>626.30432500000018</v>
      </c>
      <c r="L29">
        <f t="shared" si="6"/>
        <v>1043.7636406830345</v>
      </c>
      <c r="O29">
        <v>-13.828375000001415</v>
      </c>
    </row>
    <row r="30" spans="1:18" x14ac:dyDescent="0.3">
      <c r="A30">
        <v>2237244</v>
      </c>
      <c r="B30">
        <f t="shared" si="0"/>
        <v>4.6609249999999998E-2</v>
      </c>
      <c r="C30">
        <v>23023</v>
      </c>
      <c r="D30">
        <f t="shared" si="1"/>
        <v>4.6045999999999997E-2</v>
      </c>
      <c r="E30">
        <f t="shared" si="7"/>
        <v>-5.6325000000000125E-4</v>
      </c>
      <c r="F30">
        <f t="shared" si="3"/>
        <v>-281.62500000000063</v>
      </c>
      <c r="G30">
        <f t="shared" si="4"/>
        <v>-25</v>
      </c>
      <c r="H30">
        <f t="shared" si="5"/>
        <v>1020.4499999999994</v>
      </c>
      <c r="L30">
        <f t="shared" si="6"/>
        <v>1043.7636406830345</v>
      </c>
      <c r="O30">
        <v>-23.390541666667559</v>
      </c>
    </row>
    <row r="31" spans="1:18" x14ac:dyDescent="0.3">
      <c r="A31">
        <v>2262690</v>
      </c>
      <c r="B31">
        <f t="shared" si="0"/>
        <v>4.7139374999999997E-2</v>
      </c>
      <c r="C31">
        <v>23279</v>
      </c>
      <c r="D31">
        <f t="shared" si="1"/>
        <v>4.6558000000000002E-2</v>
      </c>
      <c r="E31">
        <f t="shared" si="7"/>
        <v>-5.8137499999999509E-4</v>
      </c>
      <c r="F31">
        <f t="shared" si="3"/>
        <v>-290.68749999999756</v>
      </c>
      <c r="G31">
        <f t="shared" si="4"/>
        <v>-26</v>
      </c>
      <c r="H31">
        <f t="shared" si="5"/>
        <v>1063.4705000000024</v>
      </c>
      <c r="L31">
        <f t="shared" si="6"/>
        <v>1043.7636406830345</v>
      </c>
      <c r="O31">
        <v>19.62995833333548</v>
      </c>
    </row>
    <row r="32" spans="1:18" x14ac:dyDescent="0.3">
      <c r="A32">
        <v>2328134</v>
      </c>
      <c r="B32">
        <f t="shared" si="0"/>
        <v>4.850279166666667E-2</v>
      </c>
      <c r="C32">
        <v>23118</v>
      </c>
      <c r="D32">
        <f t="shared" si="1"/>
        <v>4.6235999999999999E-2</v>
      </c>
      <c r="E32">
        <f t="shared" si="7"/>
        <v>-2.2667916666666704E-3</v>
      </c>
      <c r="F32">
        <f t="shared" si="3"/>
        <v>-1133.3958333333353</v>
      </c>
      <c r="G32">
        <f t="shared" si="4"/>
        <v>-42</v>
      </c>
      <c r="H32">
        <f t="shared" si="5"/>
        <v>1054.0901666666646</v>
      </c>
      <c r="K32" t="s">
        <v>11</v>
      </c>
      <c r="L32">
        <f t="shared" si="6"/>
        <v>1043.7636406830345</v>
      </c>
      <c r="O32">
        <v>10.24962499999765</v>
      </c>
      <c r="Q32">
        <f>1852-L33</f>
        <v>808.23635931696549</v>
      </c>
      <c r="R32">
        <f>Q32/52.083</f>
        <v>15.518237415605197</v>
      </c>
    </row>
    <row r="33" spans="1:15" x14ac:dyDescent="0.3">
      <c r="A33">
        <v>2273928</v>
      </c>
      <c r="B33">
        <f t="shared" si="0"/>
        <v>4.7373499999999999E-2</v>
      </c>
      <c r="C33">
        <v>23530</v>
      </c>
      <c r="D33">
        <f t="shared" si="1"/>
        <v>4.7059999999999998E-2</v>
      </c>
      <c r="E33">
        <f t="shared" si="7"/>
        <v>-3.1350000000000128E-4</v>
      </c>
      <c r="F33">
        <f t="shared" si="3"/>
        <v>-156.75000000000063</v>
      </c>
      <c r="G33">
        <f t="shared" si="4"/>
        <v>-23</v>
      </c>
      <c r="H33">
        <f t="shared" si="5"/>
        <v>1041.1589999999992</v>
      </c>
      <c r="I33" t="s">
        <v>14</v>
      </c>
      <c r="J33" cm="1">
        <f t="array" ref="J33">SQRT(AVERAGE(POWER(H26:H45,2)))</f>
        <v>1043.9369875662853</v>
      </c>
      <c r="K33">
        <f>I26/SQRT(20)</f>
        <v>3.2554212437488004</v>
      </c>
      <c r="L33">
        <f t="shared" si="6"/>
        <v>1043.7636406830345</v>
      </c>
      <c r="O33">
        <v>-2.6815416666677265</v>
      </c>
    </row>
    <row r="34" spans="1:15" x14ac:dyDescent="0.3">
      <c r="A34">
        <v>2299376</v>
      </c>
      <c r="B34">
        <f t="shared" si="0"/>
        <v>4.7903666666666664E-2</v>
      </c>
      <c r="C34">
        <v>23421</v>
      </c>
      <c r="D34">
        <f t="shared" si="1"/>
        <v>4.6842000000000002E-2</v>
      </c>
      <c r="E34">
        <f t="shared" si="7"/>
        <v>-1.0616666666666622E-3</v>
      </c>
      <c r="F34">
        <f t="shared" si="3"/>
        <v>-530.8333333333311</v>
      </c>
      <c r="G34">
        <f t="shared" si="4"/>
        <v>-30</v>
      </c>
      <c r="H34">
        <f t="shared" si="5"/>
        <v>1031.656666666669</v>
      </c>
      <c r="I34" t="s">
        <v>13</v>
      </c>
      <c r="J34">
        <f>J33*2*0.3</f>
        <v>626.36219253977117</v>
      </c>
      <c r="K34">
        <f>K33*2*0.3*2</f>
        <v>3.9065054924985603</v>
      </c>
      <c r="L34">
        <f t="shared" si="6"/>
        <v>1043.7636406830345</v>
      </c>
      <c r="O34">
        <v>-12.183874999997897</v>
      </c>
    </row>
    <row r="35" spans="1:15" ht="15" thickBot="1" x14ac:dyDescent="0.35">
      <c r="A35">
        <v>2324488</v>
      </c>
      <c r="B35">
        <f t="shared" si="0"/>
        <v>4.8426833333333336E-2</v>
      </c>
      <c r="C35">
        <v>23208</v>
      </c>
      <c r="D35">
        <f t="shared" si="1"/>
        <v>4.6415999999999999E-2</v>
      </c>
      <c r="E35">
        <f t="shared" si="7"/>
        <v>-2.0108333333333367E-3</v>
      </c>
      <c r="F35">
        <f t="shared" si="3"/>
        <v>-1005.4166666666683</v>
      </c>
      <c r="G35">
        <f t="shared" si="4"/>
        <v>-39</v>
      </c>
      <c r="H35">
        <f t="shared" si="5"/>
        <v>1025.8203333333315</v>
      </c>
      <c r="L35">
        <f>L34</f>
        <v>1043.7636406830345</v>
      </c>
      <c r="O35">
        <v>-18.020208333335404</v>
      </c>
    </row>
    <row r="36" spans="1:15" ht="15.6" thickTop="1" thickBot="1" x14ac:dyDescent="0.35">
      <c r="A36">
        <v>2349936</v>
      </c>
      <c r="B36">
        <f t="shared" si="0"/>
        <v>4.8957000000000001E-2</v>
      </c>
      <c r="C36">
        <v>23151</v>
      </c>
      <c r="D36">
        <f t="shared" si="1"/>
        <v>4.6302000000000003E-2</v>
      </c>
      <c r="E36">
        <f t="shared" si="7"/>
        <v>-2.6549999999999976E-3</v>
      </c>
      <c r="F36">
        <f t="shared" si="3"/>
        <v>-1327.4999999999989</v>
      </c>
      <c r="G36">
        <f t="shared" si="4"/>
        <v>-46</v>
      </c>
      <c r="H36">
        <f t="shared" si="5"/>
        <v>1068.3180000000009</v>
      </c>
      <c r="L36">
        <f t="shared" si="6"/>
        <v>1043.7636406830345</v>
      </c>
      <c r="N36" s="1"/>
      <c r="O36">
        <v>24.477458333333971</v>
      </c>
    </row>
    <row r="37" spans="1:15" ht="15" thickTop="1" x14ac:dyDescent="0.3">
      <c r="A37">
        <v>2255378</v>
      </c>
      <c r="B37">
        <f t="shared" si="0"/>
        <v>4.6987041666666667E-2</v>
      </c>
      <c r="C37">
        <v>23095</v>
      </c>
      <c r="D37">
        <f t="shared" si="1"/>
        <v>4.6190000000000002E-2</v>
      </c>
      <c r="E37">
        <f t="shared" si="7"/>
        <v>-7.9704166666666465E-4</v>
      </c>
      <c r="F37">
        <f t="shared" si="3"/>
        <v>-398.52083333333235</v>
      </c>
      <c r="G37">
        <f t="shared" si="4"/>
        <v>-28</v>
      </c>
      <c r="H37">
        <f t="shared" si="5"/>
        <v>1059.8031666666677</v>
      </c>
      <c r="J37">
        <f>J34-J13</f>
        <v>-8.2971235450399945</v>
      </c>
      <c r="L37">
        <f t="shared" si="6"/>
        <v>1043.7636406830345</v>
      </c>
      <c r="O37">
        <v>15.962625000000799</v>
      </c>
    </row>
    <row r="38" spans="1:15" x14ac:dyDescent="0.3">
      <c r="A38">
        <v>2240832</v>
      </c>
      <c r="B38">
        <f t="shared" si="0"/>
        <v>4.6684000000000003E-2</v>
      </c>
      <c r="C38">
        <v>23767</v>
      </c>
      <c r="D38">
        <f t="shared" si="1"/>
        <v>4.7534E-2</v>
      </c>
      <c r="E38">
        <f t="shared" si="7"/>
        <v>8.4999999999999659E-4</v>
      </c>
      <c r="F38">
        <f t="shared" si="3"/>
        <v>424.99999999999829</v>
      </c>
      <c r="G38">
        <f t="shared" si="4"/>
        <v>-12</v>
      </c>
      <c r="H38">
        <f t="shared" si="5"/>
        <v>1049.9959999999983</v>
      </c>
      <c r="L38">
        <f t="shared" si="6"/>
        <v>1043.7636406830345</v>
      </c>
      <c r="O38">
        <v>6.1554583333313531</v>
      </c>
    </row>
    <row r="39" spans="1:15" x14ac:dyDescent="0.3">
      <c r="A39">
        <v>2266616</v>
      </c>
      <c r="B39">
        <f t="shared" si="0"/>
        <v>4.7221166666666668E-2</v>
      </c>
      <c r="C39">
        <v>23293</v>
      </c>
      <c r="D39">
        <f t="shared" si="1"/>
        <v>4.6586000000000002E-2</v>
      </c>
      <c r="E39">
        <f t="shared" si="7"/>
        <v>-6.3516666666666582E-4</v>
      </c>
      <c r="F39">
        <f t="shared" si="3"/>
        <v>-317.58333333333292</v>
      </c>
      <c r="G39">
        <f t="shared" si="4"/>
        <v>-26</v>
      </c>
      <c r="H39">
        <f t="shared" si="5"/>
        <v>1036.5746666666669</v>
      </c>
      <c r="L39">
        <f t="shared" si="6"/>
        <v>1043.7636406830345</v>
      </c>
      <c r="O39">
        <v>-7.2658750000000509</v>
      </c>
    </row>
    <row r="40" spans="1:15" x14ac:dyDescent="0.3">
      <c r="A40">
        <v>2251732</v>
      </c>
      <c r="B40">
        <f t="shared" si="0"/>
        <v>4.6911083333333332E-2</v>
      </c>
      <c r="C40">
        <v>23133</v>
      </c>
      <c r="D40">
        <f t="shared" si="1"/>
        <v>4.6266000000000002E-2</v>
      </c>
      <c r="E40">
        <f t="shared" si="7"/>
        <v>-6.4508333333333084E-4</v>
      </c>
      <c r="F40">
        <f t="shared" si="3"/>
        <v>-322.54166666666544</v>
      </c>
      <c r="G40">
        <f t="shared" si="4"/>
        <v>-26</v>
      </c>
      <c r="H40">
        <f t="shared" si="5"/>
        <v>1031.6163333333345</v>
      </c>
      <c r="L40">
        <f t="shared" si="6"/>
        <v>1043.7636406830345</v>
      </c>
      <c r="O40">
        <v>-12.224208333332399</v>
      </c>
    </row>
    <row r="41" spans="1:15" x14ac:dyDescent="0.3">
      <c r="A41">
        <v>2277180</v>
      </c>
      <c r="B41">
        <f t="shared" si="0"/>
        <v>4.7441249999999997E-2</v>
      </c>
      <c r="C41">
        <v>23440</v>
      </c>
      <c r="D41">
        <f t="shared" si="1"/>
        <v>4.6879999999999998E-2</v>
      </c>
      <c r="E41">
        <f t="shared" si="7"/>
        <v>-5.6124999999999925E-4</v>
      </c>
      <c r="F41">
        <f t="shared" si="3"/>
        <v>-280.6249999999996</v>
      </c>
      <c r="G41">
        <f t="shared" si="4"/>
        <v>-25</v>
      </c>
      <c r="H41">
        <f t="shared" si="5"/>
        <v>1021.4500000000005</v>
      </c>
      <c r="L41">
        <f t="shared" si="6"/>
        <v>1043.7636406830345</v>
      </c>
      <c r="O41">
        <v>-22.390541666666422</v>
      </c>
    </row>
    <row r="42" spans="1:15" x14ac:dyDescent="0.3">
      <c r="A42">
        <v>2302628</v>
      </c>
      <c r="B42">
        <f t="shared" si="0"/>
        <v>4.7971416666666669E-2</v>
      </c>
      <c r="C42">
        <v>23279</v>
      </c>
      <c r="D42">
        <f t="shared" si="1"/>
        <v>4.6558000000000002E-2</v>
      </c>
      <c r="E42">
        <f t="shared" si="7"/>
        <v>-1.413416666666667E-3</v>
      </c>
      <c r="F42">
        <f t="shared" si="3"/>
        <v>-706.70833333333348</v>
      </c>
      <c r="G42">
        <f t="shared" si="4"/>
        <v>-34</v>
      </c>
      <c r="H42">
        <f t="shared" si="5"/>
        <v>1064.1136666666664</v>
      </c>
      <c r="L42">
        <f t="shared" si="6"/>
        <v>1043.7636406830345</v>
      </c>
      <c r="O42">
        <v>20.273124999999482</v>
      </c>
    </row>
    <row r="43" spans="1:15" x14ac:dyDescent="0.3">
      <c r="A43">
        <v>2328076</v>
      </c>
      <c r="B43">
        <f t="shared" si="0"/>
        <v>4.8501583333333334E-2</v>
      </c>
      <c r="C43">
        <v>23118</v>
      </c>
      <c r="D43">
        <f t="shared" si="1"/>
        <v>4.6235999999999999E-2</v>
      </c>
      <c r="E43">
        <f t="shared" si="7"/>
        <v>-2.2655833333333347E-3</v>
      </c>
      <c r="F43">
        <f t="shared" si="3"/>
        <v>-1132.7916666666674</v>
      </c>
      <c r="G43">
        <f t="shared" si="4"/>
        <v>-42</v>
      </c>
      <c r="H43">
        <f t="shared" si="5"/>
        <v>1054.6943333333325</v>
      </c>
      <c r="L43">
        <f t="shared" si="6"/>
        <v>1043.7636406830345</v>
      </c>
      <c r="O43">
        <v>10.853791666665529</v>
      </c>
    </row>
    <row r="44" spans="1:15" x14ac:dyDescent="0.3">
      <c r="A44">
        <v>2353524</v>
      </c>
      <c r="B44">
        <f t="shared" si="0"/>
        <v>4.9031749999999999E-2</v>
      </c>
      <c r="C44">
        <v>23166</v>
      </c>
      <c r="D44">
        <f t="shared" si="1"/>
        <v>4.6331999999999998E-2</v>
      </c>
      <c r="E44">
        <f t="shared" si="7"/>
        <v>-2.6997500000000008E-3</v>
      </c>
      <c r="F44">
        <f t="shared" si="3"/>
        <v>-1349.8750000000005</v>
      </c>
      <c r="G44">
        <f t="shared" si="4"/>
        <v>-46</v>
      </c>
      <c r="H44">
        <f t="shared" si="5"/>
        <v>1045.9429999999993</v>
      </c>
      <c r="L44">
        <f t="shared" si="6"/>
        <v>1043.7636406830345</v>
      </c>
      <c r="O44">
        <v>2.102458333332379</v>
      </c>
    </row>
    <row r="45" spans="1:15" x14ac:dyDescent="0.3">
      <c r="A45">
        <v>2257858</v>
      </c>
      <c r="B45">
        <f t="shared" si="0"/>
        <v>4.7038708333333332E-2</v>
      </c>
      <c r="C45">
        <v>23567</v>
      </c>
      <c r="D45">
        <f t="shared" si="1"/>
        <v>4.7134000000000002E-2</v>
      </c>
      <c r="E45">
        <f t="shared" si="7"/>
        <v>9.5291666666670605E-5</v>
      </c>
      <c r="F45">
        <f t="shared" si="3"/>
        <v>47.645833333335304</v>
      </c>
      <c r="G45">
        <f t="shared" si="4"/>
        <v>-19</v>
      </c>
      <c r="H45">
        <f t="shared" si="5"/>
        <v>1037.2228333333353</v>
      </c>
      <c r="L45">
        <f t="shared" si="6"/>
        <v>1043.7636406830345</v>
      </c>
      <c r="O45">
        <v>-6.6177083333316205</v>
      </c>
    </row>
    <row r="47" spans="1:15" x14ac:dyDescent="0.3">
      <c r="O47" cm="1">
        <f t="array" ref="O47">SQRT(SUM(POWER(O26:O45,2)))</f>
        <v>63.459842737083548</v>
      </c>
    </row>
    <row r="48" spans="1:15" x14ac:dyDescent="0.3">
      <c r="J48" t="s">
        <v>15</v>
      </c>
      <c r="K48">
        <f>J34-J13</f>
        <v>-8.2971235450399945</v>
      </c>
    </row>
    <row r="49" spans="6:18" x14ac:dyDescent="0.3">
      <c r="J49" t="s">
        <v>16</v>
      </c>
      <c r="K49">
        <f>SQRT(POWER(K13,2)+POWER(K34,2))</f>
        <v>5.5853637050962091</v>
      </c>
    </row>
    <row r="53" spans="6:18" x14ac:dyDescent="0.3">
      <c r="F53">
        <f>48000000/9600</f>
        <v>5000</v>
      </c>
      <c r="G53">
        <f>F53*1/48000000</f>
        <v>1.0416666666666667E-4</v>
      </c>
      <c r="H53">
        <f>G53*1000000</f>
        <v>104.16666666666667</v>
      </c>
      <c r="I53">
        <f>H53/2</f>
        <v>52.083333333333336</v>
      </c>
      <c r="O53" t="s">
        <v>38</v>
      </c>
    </row>
    <row r="54" spans="6:18" x14ac:dyDescent="0.3">
      <c r="P54" t="s">
        <v>8</v>
      </c>
      <c r="Q54" t="s">
        <v>24</v>
      </c>
      <c r="R54" t="s">
        <v>25</v>
      </c>
    </row>
    <row r="55" spans="6:18" x14ac:dyDescent="0.3">
      <c r="P55">
        <v>9600</v>
      </c>
      <c r="Q55">
        <v>8.2971235450399892</v>
      </c>
      <c r="R55">
        <v>5.1691517632554023</v>
      </c>
    </row>
    <row r="56" spans="6:18" x14ac:dyDescent="0.3">
      <c r="P56">
        <v>4800</v>
      </c>
      <c r="Q56">
        <v>9.7962409040154608</v>
      </c>
      <c r="R56">
        <v>7.7063400366978039</v>
      </c>
    </row>
    <row r="58" spans="6:18" x14ac:dyDescent="0.3">
      <c r="O58" t="s">
        <v>8</v>
      </c>
      <c r="P58">
        <v>9600</v>
      </c>
      <c r="Q58">
        <v>9600</v>
      </c>
      <c r="R58">
        <v>4800</v>
      </c>
    </row>
    <row r="59" spans="6:18" x14ac:dyDescent="0.3">
      <c r="O59" t="s">
        <v>26</v>
      </c>
      <c r="P59">
        <v>9.0381962268861606</v>
      </c>
      <c r="Q59">
        <v>8.2971235450399892</v>
      </c>
      <c r="R59">
        <v>9.7962409040154608</v>
      </c>
    </row>
    <row r="60" spans="6:18" x14ac:dyDescent="0.3">
      <c r="O60" t="s">
        <v>27</v>
      </c>
      <c r="P60">
        <v>3.2504837805479556</v>
      </c>
      <c r="Q60">
        <v>5.58</v>
      </c>
      <c r="R60">
        <v>7.7063400366978039</v>
      </c>
    </row>
    <row r="61" spans="6:18" x14ac:dyDescent="0.3">
      <c r="I61" t="s">
        <v>39</v>
      </c>
      <c r="O61" t="s">
        <v>28</v>
      </c>
      <c r="P61">
        <v>10.07</v>
      </c>
      <c r="Q61">
        <v>10.07</v>
      </c>
      <c r="R61">
        <v>10.07</v>
      </c>
    </row>
    <row r="62" spans="6:18" x14ac:dyDescent="0.3">
      <c r="J62" t="s">
        <v>8</v>
      </c>
      <c r="K62" t="s">
        <v>24</v>
      </c>
      <c r="L62" t="s">
        <v>25</v>
      </c>
      <c r="O62" t="s">
        <v>27</v>
      </c>
      <c r="P62">
        <v>0.1</v>
      </c>
      <c r="Q62">
        <v>0.1</v>
      </c>
      <c r="R62">
        <v>0.1</v>
      </c>
    </row>
    <row r="63" spans="6:18" x14ac:dyDescent="0.3">
      <c r="J63">
        <v>9600</v>
      </c>
      <c r="K63">
        <v>8.2971235450399892</v>
      </c>
      <c r="L63">
        <v>5.1691517632554023</v>
      </c>
    </row>
    <row r="64" spans="6:18" x14ac:dyDescent="0.3">
      <c r="J64">
        <v>4800</v>
      </c>
      <c r="K64">
        <v>9.7962409040154608</v>
      </c>
      <c r="L64">
        <v>7.7063400366978039</v>
      </c>
      <c r="P64">
        <v>9.0381962268861606</v>
      </c>
      <c r="Q64">
        <v>3.2504837805479556</v>
      </c>
    </row>
    <row r="66" spans="9:12" x14ac:dyDescent="0.3">
      <c r="I66" t="s">
        <v>8</v>
      </c>
      <c r="J66">
        <v>9600</v>
      </c>
      <c r="K66">
        <v>9600</v>
      </c>
      <c r="L66">
        <v>4800</v>
      </c>
    </row>
    <row r="67" spans="9:12" x14ac:dyDescent="0.3">
      <c r="I67" t="s">
        <v>26</v>
      </c>
      <c r="J67">
        <v>9.0379461206893001</v>
      </c>
      <c r="K67">
        <v>8.2953549999999723</v>
      </c>
      <c r="L67">
        <v>8.6908900000003086</v>
      </c>
    </row>
    <row r="68" spans="9:12" x14ac:dyDescent="0.3">
      <c r="I68" t="s">
        <v>27</v>
      </c>
      <c r="J68">
        <v>3.2504837805479556</v>
      </c>
      <c r="K68">
        <v>5.58</v>
      </c>
      <c r="L68">
        <v>7.7063400366978039</v>
      </c>
    </row>
    <row r="69" spans="9:12" x14ac:dyDescent="0.3">
      <c r="I69" t="s">
        <v>28</v>
      </c>
      <c r="J69">
        <v>10.07</v>
      </c>
      <c r="K69">
        <v>10.07</v>
      </c>
      <c r="L69">
        <v>10.07</v>
      </c>
    </row>
    <row r="70" spans="9:12" x14ac:dyDescent="0.3">
      <c r="I70" t="s">
        <v>27</v>
      </c>
      <c r="J70">
        <v>0.1</v>
      </c>
      <c r="K70">
        <v>0.1</v>
      </c>
      <c r="L70">
        <v>0.1</v>
      </c>
    </row>
    <row r="72" spans="9:12" x14ac:dyDescent="0.3">
      <c r="J72">
        <v>9.0381962268861606</v>
      </c>
      <c r="K72">
        <v>3.2504837805479556</v>
      </c>
    </row>
    <row r="76" spans="9:12" x14ac:dyDescent="0.3">
      <c r="K76">
        <v>8.2953549999999723</v>
      </c>
    </row>
    <row r="82" spans="11:12" x14ac:dyDescent="0.3">
      <c r="K82" t="s">
        <v>8</v>
      </c>
      <c r="L82" t="s">
        <v>29</v>
      </c>
    </row>
    <row r="83" spans="11:12" x14ac:dyDescent="0.3">
      <c r="K83">
        <v>2400</v>
      </c>
      <c r="L83">
        <v>14.182995673943108</v>
      </c>
    </row>
    <row r="84" spans="11:12" x14ac:dyDescent="0.3">
      <c r="K84">
        <v>4800</v>
      </c>
      <c r="L84">
        <v>59.997453436099391</v>
      </c>
    </row>
    <row r="85" spans="11:12" x14ac:dyDescent="0.3">
      <c r="K85">
        <v>9600</v>
      </c>
      <c r="L85" s="2">
        <v>17.726569898677074</v>
      </c>
    </row>
    <row r="88" spans="11:12" x14ac:dyDescent="0.3">
      <c r="K88">
        <v>4800</v>
      </c>
      <c r="L88">
        <v>9600</v>
      </c>
    </row>
    <row r="89" spans="11:12" x14ac:dyDescent="0.3">
      <c r="K89">
        <f>L84*2*0.3</f>
        <v>35.998472061659633</v>
      </c>
      <c r="L89">
        <v>17.726569898677099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CE78-F3E4-499A-91FA-8BFB28FC7E9F}">
  <dimension ref="A1:K40"/>
  <sheetViews>
    <sheetView topLeftCell="A25" workbookViewId="0">
      <selection activeCell="E38" sqref="E38"/>
    </sheetView>
  </sheetViews>
  <sheetFormatPr defaultRowHeight="14.4" x14ac:dyDescent="0.3"/>
  <sheetData>
    <row r="1" spans="1:11" x14ac:dyDescent="0.3">
      <c r="A1">
        <v>23407</v>
      </c>
      <c r="B1">
        <f t="shared" ref="B1:B30" si="0">K2/0.000004</f>
        <v>26.041666666666668</v>
      </c>
      <c r="C1">
        <f t="shared" ref="C1:C20" si="1">ROUND((A1 - G1) / B1, 0)</f>
        <v>75</v>
      </c>
      <c r="D1">
        <f t="shared" ref="D1:D20" si="2">A1-C1*B1</f>
        <v>21453.875</v>
      </c>
      <c r="E1">
        <v>2295788</v>
      </c>
      <c r="G1">
        <v>21452</v>
      </c>
    </row>
    <row r="2" spans="1:11" x14ac:dyDescent="0.3">
      <c r="A2">
        <v>23194</v>
      </c>
      <c r="B2">
        <f t="shared" si="0"/>
        <v>26.041666666666668</v>
      </c>
      <c r="C2">
        <f t="shared" si="1"/>
        <v>67</v>
      </c>
      <c r="D2">
        <f t="shared" si="2"/>
        <v>21449.208333333332</v>
      </c>
      <c r="E2">
        <v>2321238</v>
      </c>
      <c r="F2">
        <f t="shared" ref="F2:F20" si="3">E2-E1</f>
        <v>25450</v>
      </c>
      <c r="G2">
        <f t="shared" ref="G2:G40" si="4">G1</f>
        <v>21452</v>
      </c>
      <c r="H2">
        <f t="shared" ref="H2:H20" si="5">D2-D1</f>
        <v>-4.6666666666678793</v>
      </c>
      <c r="K2">
        <f t="shared" ref="K2:K37" si="6">1/9600</f>
        <v>1.0416666666666667E-4</v>
      </c>
    </row>
    <row r="3" spans="1:11" x14ac:dyDescent="0.3">
      <c r="A3">
        <v>23085</v>
      </c>
      <c r="B3">
        <f t="shared" si="0"/>
        <v>26.041666666666668</v>
      </c>
      <c r="C3">
        <f t="shared" si="1"/>
        <v>63</v>
      </c>
      <c r="D3">
        <f t="shared" si="2"/>
        <v>21444.375</v>
      </c>
      <c r="E3">
        <v>2346346</v>
      </c>
      <c r="F3">
        <f t="shared" si="3"/>
        <v>25108</v>
      </c>
      <c r="G3">
        <f t="shared" si="4"/>
        <v>21452</v>
      </c>
      <c r="H3">
        <f t="shared" si="5"/>
        <v>-4.8333333333321207</v>
      </c>
      <c r="K3">
        <f t="shared" si="6"/>
        <v>1.0416666666666667E-4</v>
      </c>
    </row>
    <row r="4" spans="1:11" x14ac:dyDescent="0.3">
      <c r="A4">
        <v>23132</v>
      </c>
      <c r="B4">
        <f t="shared" si="0"/>
        <v>26.041666666666668</v>
      </c>
      <c r="C4">
        <f t="shared" si="1"/>
        <v>65</v>
      </c>
      <c r="D4">
        <f t="shared" si="2"/>
        <v>21439.291666666668</v>
      </c>
      <c r="E4">
        <v>2251790</v>
      </c>
      <c r="F4">
        <f t="shared" si="3"/>
        <v>-94556</v>
      </c>
      <c r="G4">
        <f t="shared" si="4"/>
        <v>21452</v>
      </c>
      <c r="H4">
        <f t="shared" si="5"/>
        <v>-5.0833333333321207</v>
      </c>
      <c r="K4">
        <f t="shared" si="6"/>
        <v>1.0416666666666667E-4</v>
      </c>
    </row>
    <row r="5" spans="1:11" x14ac:dyDescent="0.3">
      <c r="A5">
        <v>23023</v>
      </c>
      <c r="B5">
        <f t="shared" si="0"/>
        <v>26.041666666666668</v>
      </c>
      <c r="C5">
        <f t="shared" si="1"/>
        <v>60</v>
      </c>
      <c r="D5">
        <f t="shared" si="2"/>
        <v>21460.5</v>
      </c>
      <c r="E5">
        <v>2237244</v>
      </c>
      <c r="F5">
        <f t="shared" si="3"/>
        <v>-14546</v>
      </c>
      <c r="G5">
        <f t="shared" si="4"/>
        <v>21452</v>
      </c>
      <c r="H5">
        <f t="shared" si="5"/>
        <v>21.208333333332121</v>
      </c>
      <c r="K5">
        <f t="shared" si="6"/>
        <v>1.0416666666666667E-4</v>
      </c>
    </row>
    <row r="6" spans="1:11" x14ac:dyDescent="0.3">
      <c r="A6">
        <v>23279</v>
      </c>
      <c r="B6">
        <f t="shared" si="0"/>
        <v>26.041666666666668</v>
      </c>
      <c r="C6">
        <f t="shared" si="1"/>
        <v>70</v>
      </c>
      <c r="D6">
        <f t="shared" si="2"/>
        <v>21456.083333333332</v>
      </c>
      <c r="E6">
        <v>2262690</v>
      </c>
      <c r="F6">
        <f t="shared" si="3"/>
        <v>25446</v>
      </c>
      <c r="G6">
        <f t="shared" si="4"/>
        <v>21452</v>
      </c>
      <c r="H6">
        <f t="shared" si="5"/>
        <v>-4.4166666666678793</v>
      </c>
      <c r="K6">
        <f t="shared" si="6"/>
        <v>1.0416666666666667E-4</v>
      </c>
    </row>
    <row r="7" spans="1:11" x14ac:dyDescent="0.3">
      <c r="A7">
        <v>23118</v>
      </c>
      <c r="B7">
        <f t="shared" si="0"/>
        <v>26.041666666666668</v>
      </c>
      <c r="C7">
        <f t="shared" si="1"/>
        <v>64</v>
      </c>
      <c r="D7">
        <f t="shared" si="2"/>
        <v>21451.333333333332</v>
      </c>
      <c r="E7">
        <v>2328134</v>
      </c>
      <c r="F7">
        <f t="shared" si="3"/>
        <v>65444</v>
      </c>
      <c r="G7">
        <f t="shared" si="4"/>
        <v>21452</v>
      </c>
      <c r="H7">
        <f t="shared" si="5"/>
        <v>-4.75</v>
      </c>
      <c r="K7">
        <f t="shared" si="6"/>
        <v>1.0416666666666667E-4</v>
      </c>
    </row>
    <row r="8" spans="1:11" x14ac:dyDescent="0.3">
      <c r="A8">
        <v>23530</v>
      </c>
      <c r="B8">
        <f t="shared" si="0"/>
        <v>26.041666666666668</v>
      </c>
      <c r="C8">
        <f t="shared" si="1"/>
        <v>80</v>
      </c>
      <c r="D8">
        <f t="shared" si="2"/>
        <v>21446.666666666668</v>
      </c>
      <c r="E8">
        <v>2273928</v>
      </c>
      <c r="F8">
        <f t="shared" si="3"/>
        <v>-54206</v>
      </c>
      <c r="G8">
        <f t="shared" si="4"/>
        <v>21452</v>
      </c>
      <c r="H8">
        <f t="shared" si="5"/>
        <v>-4.6666666666642413</v>
      </c>
      <c r="K8">
        <f t="shared" si="6"/>
        <v>1.0416666666666667E-4</v>
      </c>
    </row>
    <row r="9" spans="1:11" x14ac:dyDescent="0.3">
      <c r="A9">
        <v>23421</v>
      </c>
      <c r="B9">
        <f t="shared" si="0"/>
        <v>26.041666666666668</v>
      </c>
      <c r="C9">
        <f t="shared" si="1"/>
        <v>76</v>
      </c>
      <c r="D9">
        <f t="shared" si="2"/>
        <v>21441.833333333332</v>
      </c>
      <c r="E9">
        <v>2299376</v>
      </c>
      <c r="F9">
        <f t="shared" si="3"/>
        <v>25448</v>
      </c>
      <c r="G9">
        <f t="shared" si="4"/>
        <v>21452</v>
      </c>
      <c r="H9">
        <f t="shared" si="5"/>
        <v>-4.8333333333357587</v>
      </c>
      <c r="K9">
        <f t="shared" si="6"/>
        <v>1.0416666666666667E-4</v>
      </c>
    </row>
    <row r="10" spans="1:11" x14ac:dyDescent="0.3">
      <c r="A10">
        <v>23208</v>
      </c>
      <c r="B10">
        <f t="shared" si="0"/>
        <v>26.041666666666668</v>
      </c>
      <c r="C10">
        <f t="shared" si="1"/>
        <v>67</v>
      </c>
      <c r="D10">
        <f t="shared" si="2"/>
        <v>21463.208333333332</v>
      </c>
      <c r="E10">
        <v>2324488</v>
      </c>
      <c r="F10">
        <f t="shared" si="3"/>
        <v>25112</v>
      </c>
      <c r="G10">
        <f t="shared" si="4"/>
        <v>21452</v>
      </c>
      <c r="H10">
        <f t="shared" si="5"/>
        <v>21.375</v>
      </c>
      <c r="K10">
        <f t="shared" si="6"/>
        <v>1.0416666666666667E-4</v>
      </c>
    </row>
    <row r="11" spans="1:11" x14ac:dyDescent="0.3">
      <c r="A11">
        <v>23151</v>
      </c>
      <c r="B11">
        <f t="shared" si="0"/>
        <v>26.041666666666668</v>
      </c>
      <c r="C11">
        <f t="shared" si="1"/>
        <v>65</v>
      </c>
      <c r="D11">
        <f t="shared" si="2"/>
        <v>21458.291666666668</v>
      </c>
      <c r="E11">
        <v>2349936</v>
      </c>
      <c r="F11">
        <f t="shared" si="3"/>
        <v>25448</v>
      </c>
      <c r="G11">
        <f t="shared" si="4"/>
        <v>21452</v>
      </c>
      <c r="H11">
        <f t="shared" si="5"/>
        <v>-4.9166666666642413</v>
      </c>
      <c r="K11">
        <f t="shared" si="6"/>
        <v>1.0416666666666667E-4</v>
      </c>
    </row>
    <row r="12" spans="1:11" x14ac:dyDescent="0.3">
      <c r="A12">
        <v>23095</v>
      </c>
      <c r="B12">
        <f t="shared" si="0"/>
        <v>26.041666666666668</v>
      </c>
      <c r="C12">
        <f t="shared" si="1"/>
        <v>63</v>
      </c>
      <c r="D12">
        <f t="shared" si="2"/>
        <v>21454.375</v>
      </c>
      <c r="E12">
        <v>2255378</v>
      </c>
      <c r="F12">
        <f t="shared" si="3"/>
        <v>-94558</v>
      </c>
      <c r="G12">
        <f t="shared" si="4"/>
        <v>21452</v>
      </c>
      <c r="H12">
        <f t="shared" si="5"/>
        <v>-3.9166666666678793</v>
      </c>
      <c r="K12">
        <f t="shared" si="6"/>
        <v>1.0416666666666667E-4</v>
      </c>
    </row>
    <row r="13" spans="1:11" x14ac:dyDescent="0.3">
      <c r="A13">
        <v>23767</v>
      </c>
      <c r="B13">
        <f t="shared" si="0"/>
        <v>26.041666666666668</v>
      </c>
      <c r="C13">
        <f t="shared" si="1"/>
        <v>89</v>
      </c>
      <c r="D13">
        <f t="shared" si="2"/>
        <v>21449.291666666668</v>
      </c>
      <c r="E13">
        <v>2240832</v>
      </c>
      <c r="F13">
        <f t="shared" si="3"/>
        <v>-14546</v>
      </c>
      <c r="G13">
        <f t="shared" si="4"/>
        <v>21452</v>
      </c>
      <c r="H13">
        <f t="shared" si="5"/>
        <v>-5.0833333333321207</v>
      </c>
      <c r="K13">
        <f t="shared" si="6"/>
        <v>1.0416666666666667E-4</v>
      </c>
    </row>
    <row r="14" spans="1:11" x14ac:dyDescent="0.3">
      <c r="A14">
        <v>23293</v>
      </c>
      <c r="B14">
        <f t="shared" si="0"/>
        <v>26.041666666666668</v>
      </c>
      <c r="C14">
        <f t="shared" si="1"/>
        <v>71</v>
      </c>
      <c r="D14">
        <f t="shared" si="2"/>
        <v>21444.041666666668</v>
      </c>
      <c r="E14">
        <v>2266616</v>
      </c>
      <c r="F14">
        <f t="shared" si="3"/>
        <v>25784</v>
      </c>
      <c r="G14">
        <f t="shared" si="4"/>
        <v>21452</v>
      </c>
      <c r="H14">
        <f t="shared" si="5"/>
        <v>-5.25</v>
      </c>
      <c r="K14">
        <f t="shared" si="6"/>
        <v>1.0416666666666667E-4</v>
      </c>
    </row>
    <row r="15" spans="1:11" x14ac:dyDescent="0.3">
      <c r="A15">
        <v>23133</v>
      </c>
      <c r="B15">
        <f t="shared" si="0"/>
        <v>26.041666666666668</v>
      </c>
      <c r="C15">
        <f t="shared" si="1"/>
        <v>65</v>
      </c>
      <c r="D15">
        <f t="shared" si="2"/>
        <v>21440.291666666668</v>
      </c>
      <c r="E15">
        <v>2251732</v>
      </c>
      <c r="F15">
        <f t="shared" si="3"/>
        <v>-14884</v>
      </c>
      <c r="G15">
        <f t="shared" si="4"/>
        <v>21452</v>
      </c>
      <c r="H15">
        <f t="shared" si="5"/>
        <v>-3.75</v>
      </c>
      <c r="K15">
        <f t="shared" si="6"/>
        <v>1.0416666666666667E-4</v>
      </c>
    </row>
    <row r="16" spans="1:11" x14ac:dyDescent="0.3">
      <c r="A16">
        <v>23440</v>
      </c>
      <c r="B16">
        <f t="shared" si="0"/>
        <v>26.041666666666668</v>
      </c>
      <c r="C16">
        <f t="shared" si="1"/>
        <v>76</v>
      </c>
      <c r="D16">
        <f t="shared" si="2"/>
        <v>21460.833333333332</v>
      </c>
      <c r="E16">
        <v>2277180</v>
      </c>
      <c r="F16">
        <f t="shared" si="3"/>
        <v>25448</v>
      </c>
      <c r="G16">
        <f t="shared" si="4"/>
        <v>21452</v>
      </c>
      <c r="H16">
        <f t="shared" si="5"/>
        <v>20.541666666664241</v>
      </c>
      <c r="K16">
        <f t="shared" si="6"/>
        <v>1.0416666666666667E-4</v>
      </c>
    </row>
    <row r="17" spans="1:11" x14ac:dyDescent="0.3">
      <c r="A17">
        <v>23279</v>
      </c>
      <c r="B17">
        <f t="shared" si="0"/>
        <v>26.041666666666668</v>
      </c>
      <c r="C17">
        <f t="shared" si="1"/>
        <v>70</v>
      </c>
      <c r="D17">
        <f t="shared" si="2"/>
        <v>21456.083333333332</v>
      </c>
      <c r="E17">
        <v>2302628</v>
      </c>
      <c r="F17">
        <f t="shared" si="3"/>
        <v>25448</v>
      </c>
      <c r="G17">
        <f t="shared" si="4"/>
        <v>21452</v>
      </c>
      <c r="H17">
        <f t="shared" si="5"/>
        <v>-4.75</v>
      </c>
      <c r="K17">
        <f t="shared" si="6"/>
        <v>1.0416666666666667E-4</v>
      </c>
    </row>
    <row r="18" spans="1:11" x14ac:dyDescent="0.3">
      <c r="A18">
        <v>23118</v>
      </c>
      <c r="B18">
        <f t="shared" si="0"/>
        <v>26.041666666666668</v>
      </c>
      <c r="C18">
        <f t="shared" si="1"/>
        <v>64</v>
      </c>
      <c r="D18">
        <f t="shared" si="2"/>
        <v>21451.333333333332</v>
      </c>
      <c r="E18">
        <v>2328076</v>
      </c>
      <c r="F18">
        <f t="shared" si="3"/>
        <v>25448</v>
      </c>
      <c r="G18">
        <f t="shared" si="4"/>
        <v>21452</v>
      </c>
      <c r="H18">
        <f t="shared" si="5"/>
        <v>-4.75</v>
      </c>
      <c r="K18">
        <f t="shared" si="6"/>
        <v>1.0416666666666667E-4</v>
      </c>
    </row>
    <row r="19" spans="1:11" x14ac:dyDescent="0.3">
      <c r="A19">
        <v>23166</v>
      </c>
      <c r="B19">
        <f t="shared" si="0"/>
        <v>26.041666666666668</v>
      </c>
      <c r="C19">
        <f t="shared" si="1"/>
        <v>66</v>
      </c>
      <c r="D19">
        <f t="shared" si="2"/>
        <v>21447.25</v>
      </c>
      <c r="E19">
        <v>2353524</v>
      </c>
      <c r="F19">
        <f t="shared" si="3"/>
        <v>25448</v>
      </c>
      <c r="G19">
        <f t="shared" si="4"/>
        <v>21452</v>
      </c>
      <c r="H19">
        <f t="shared" si="5"/>
        <v>-4.0833333333321207</v>
      </c>
      <c r="K19">
        <f t="shared" si="6"/>
        <v>1.0416666666666667E-4</v>
      </c>
    </row>
    <row r="20" spans="1:11" x14ac:dyDescent="0.3">
      <c r="A20">
        <v>23567</v>
      </c>
      <c r="B20">
        <f t="shared" si="0"/>
        <v>26.041666666666668</v>
      </c>
      <c r="C20">
        <f t="shared" si="1"/>
        <v>81</v>
      </c>
      <c r="D20">
        <f t="shared" si="2"/>
        <v>21457.625</v>
      </c>
      <c r="E20">
        <v>2257858</v>
      </c>
      <c r="F20">
        <f t="shared" si="3"/>
        <v>-95666</v>
      </c>
      <c r="G20">
        <f t="shared" si="4"/>
        <v>21452</v>
      </c>
      <c r="H20">
        <f t="shared" si="5"/>
        <v>10.375</v>
      </c>
      <c r="K20">
        <f t="shared" si="6"/>
        <v>1.0416666666666667E-4</v>
      </c>
    </row>
    <row r="21" spans="1:11" x14ac:dyDescent="0.3">
      <c r="B21">
        <f t="shared" si="0"/>
        <v>26.041666666666668</v>
      </c>
      <c r="G21">
        <f t="shared" si="4"/>
        <v>21452</v>
      </c>
      <c r="K21">
        <f t="shared" si="6"/>
        <v>1.0416666666666667E-4</v>
      </c>
    </row>
    <row r="22" spans="1:11" x14ac:dyDescent="0.3">
      <c r="B22">
        <f t="shared" si="0"/>
        <v>26.041666666666668</v>
      </c>
      <c r="G22">
        <f t="shared" si="4"/>
        <v>21452</v>
      </c>
      <c r="K22">
        <f t="shared" si="6"/>
        <v>1.0416666666666667E-4</v>
      </c>
    </row>
    <row r="23" spans="1:11" x14ac:dyDescent="0.3">
      <c r="B23">
        <f t="shared" si="0"/>
        <v>26.041666666666668</v>
      </c>
      <c r="G23">
        <f t="shared" si="4"/>
        <v>21452</v>
      </c>
      <c r="K23">
        <f t="shared" si="6"/>
        <v>1.0416666666666667E-4</v>
      </c>
    </row>
    <row r="24" spans="1:11" x14ac:dyDescent="0.3">
      <c r="B24">
        <f t="shared" si="0"/>
        <v>26.041666666666668</v>
      </c>
      <c r="E24">
        <f>_xlfn.STDEV.S(D1:D20)</f>
        <v>7.1450673468025876</v>
      </c>
      <c r="G24">
        <f t="shared" si="4"/>
        <v>21452</v>
      </c>
      <c r="K24">
        <f t="shared" si="6"/>
        <v>1.0416666666666667E-4</v>
      </c>
    </row>
    <row r="25" spans="1:11" x14ac:dyDescent="0.3">
      <c r="B25">
        <f t="shared" si="0"/>
        <v>26.041666666666668</v>
      </c>
      <c r="G25">
        <f t="shared" si="4"/>
        <v>21452</v>
      </c>
      <c r="K25">
        <f t="shared" si="6"/>
        <v>1.0416666666666667E-4</v>
      </c>
    </row>
    <row r="26" spans="1:11" x14ac:dyDescent="0.3">
      <c r="B26">
        <f t="shared" si="0"/>
        <v>26.041666666666668</v>
      </c>
      <c r="G26">
        <f t="shared" si="4"/>
        <v>21452</v>
      </c>
      <c r="K26">
        <f t="shared" si="6"/>
        <v>1.0416666666666667E-4</v>
      </c>
    </row>
    <row r="27" spans="1:11" x14ac:dyDescent="0.3">
      <c r="B27">
        <f t="shared" si="0"/>
        <v>26.041666666666668</v>
      </c>
      <c r="G27">
        <f t="shared" si="4"/>
        <v>21452</v>
      </c>
      <c r="K27">
        <f t="shared" si="6"/>
        <v>1.0416666666666667E-4</v>
      </c>
    </row>
    <row r="28" spans="1:11" x14ac:dyDescent="0.3">
      <c r="B28">
        <f t="shared" si="0"/>
        <v>26.041666666666668</v>
      </c>
      <c r="G28">
        <f t="shared" si="4"/>
        <v>21452</v>
      </c>
      <c r="K28">
        <f t="shared" si="6"/>
        <v>1.0416666666666667E-4</v>
      </c>
    </row>
    <row r="29" spans="1:11" x14ac:dyDescent="0.3">
      <c r="B29">
        <f t="shared" si="0"/>
        <v>26.041666666666668</v>
      </c>
      <c r="G29">
        <f t="shared" si="4"/>
        <v>21452</v>
      </c>
      <c r="K29">
        <f t="shared" si="6"/>
        <v>1.0416666666666667E-4</v>
      </c>
    </row>
    <row r="30" spans="1:11" x14ac:dyDescent="0.3">
      <c r="B30">
        <f t="shared" si="0"/>
        <v>26.041666666666668</v>
      </c>
      <c r="G30">
        <f t="shared" si="4"/>
        <v>21452</v>
      </c>
      <c r="K30">
        <f t="shared" si="6"/>
        <v>1.0416666666666667E-4</v>
      </c>
    </row>
    <row r="31" spans="1:11" x14ac:dyDescent="0.3">
      <c r="G31">
        <f t="shared" si="4"/>
        <v>21452</v>
      </c>
      <c r="K31">
        <f t="shared" si="6"/>
        <v>1.0416666666666667E-4</v>
      </c>
    </row>
    <row r="32" spans="1:11" x14ac:dyDescent="0.3">
      <c r="G32">
        <f t="shared" si="4"/>
        <v>21452</v>
      </c>
      <c r="K32">
        <f t="shared" si="6"/>
        <v>1.0416666666666667E-4</v>
      </c>
    </row>
    <row r="33" spans="7:11" x14ac:dyDescent="0.3">
      <c r="G33">
        <f t="shared" si="4"/>
        <v>21452</v>
      </c>
      <c r="K33">
        <f t="shared" si="6"/>
        <v>1.0416666666666667E-4</v>
      </c>
    </row>
    <row r="34" spans="7:11" x14ac:dyDescent="0.3">
      <c r="G34">
        <f t="shared" si="4"/>
        <v>21452</v>
      </c>
      <c r="K34">
        <f t="shared" si="6"/>
        <v>1.0416666666666667E-4</v>
      </c>
    </row>
    <row r="35" spans="7:11" x14ac:dyDescent="0.3">
      <c r="G35">
        <f t="shared" si="4"/>
        <v>21452</v>
      </c>
      <c r="K35">
        <f t="shared" si="6"/>
        <v>1.0416666666666667E-4</v>
      </c>
    </row>
    <row r="36" spans="7:11" x14ac:dyDescent="0.3">
      <c r="G36">
        <f t="shared" si="4"/>
        <v>21452</v>
      </c>
      <c r="K36">
        <f t="shared" si="6"/>
        <v>1.0416666666666667E-4</v>
      </c>
    </row>
    <row r="37" spans="7:11" x14ac:dyDescent="0.3">
      <c r="G37">
        <f t="shared" si="4"/>
        <v>21452</v>
      </c>
      <c r="K37">
        <f t="shared" si="6"/>
        <v>1.0416666666666667E-4</v>
      </c>
    </row>
    <row r="38" spans="7:11" x14ac:dyDescent="0.3">
      <c r="G38">
        <f t="shared" si="4"/>
        <v>21452</v>
      </c>
    </row>
    <row r="39" spans="7:11" x14ac:dyDescent="0.3">
      <c r="G39">
        <f t="shared" si="4"/>
        <v>21452</v>
      </c>
    </row>
    <row r="40" spans="7:11" x14ac:dyDescent="0.3">
      <c r="G40">
        <f t="shared" si="4"/>
        <v>21452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5BEC-D711-42F9-B0EF-C812D8F1B31D}">
  <dimension ref="A1:Q11"/>
  <sheetViews>
    <sheetView workbookViewId="0">
      <selection activeCell="I4" sqref="I4"/>
    </sheetView>
  </sheetViews>
  <sheetFormatPr defaultRowHeight="14.4" x14ac:dyDescent="0.3"/>
  <sheetData>
    <row r="1" spans="1:17" ht="15" thickBot="1" x14ac:dyDescent="0.35">
      <c r="A1" t="s">
        <v>30</v>
      </c>
      <c r="B1" t="s">
        <v>32</v>
      </c>
      <c r="D1" t="s">
        <v>21</v>
      </c>
    </row>
    <row r="2" spans="1:17" ht="15.6" thickTop="1" thickBot="1" x14ac:dyDescent="0.35">
      <c r="A2" t="s">
        <v>1</v>
      </c>
      <c r="B2" t="s">
        <v>0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I2" s="1" cm="1">
        <f t="array" ref="I2">MAX(ABS(H3:H8-AVERAGE(H3:H8)))</f>
        <v>181.18625000000065</v>
      </c>
    </row>
    <row r="3" spans="1:17" ht="15" thickTop="1" x14ac:dyDescent="0.3">
      <c r="A3">
        <v>16302962</v>
      </c>
      <c r="B3">
        <f t="shared" ref="B3:B11" si="0">A3/48000000</f>
        <v>0.33964504166666665</v>
      </c>
      <c r="C3">
        <v>181146</v>
      </c>
      <c r="D3">
        <f t="shared" ref="D3:D11" si="1">C3/500000</f>
        <v>0.362292</v>
      </c>
      <c r="E3">
        <f t="shared" ref="E3:E11" si="2">D3-B3</f>
        <v>2.2646958333333356E-2</v>
      </c>
      <c r="F3">
        <f t="shared" ref="F3:F11" si="3">E3*500000</f>
        <v>11323.479166666677</v>
      </c>
      <c r="G3">
        <f>ROUND((F3 - L3) / 416.67, 0)</f>
        <v>0</v>
      </c>
      <c r="H3">
        <f>F3-G3*416.67</f>
        <v>11323.479166666677</v>
      </c>
      <c r="I3">
        <f>_xlfn.STDEV.S(H3:H8)</f>
        <v>114.98770466488145</v>
      </c>
      <c r="L3">
        <v>11323</v>
      </c>
      <c r="N3">
        <f>AVERAGE(H3:H14)</f>
        <v>11338.598703703712</v>
      </c>
      <c r="O3">
        <f>H3-N3</f>
        <v>-15.119537037035116</v>
      </c>
      <c r="Q3" cm="1">
        <f t="array" ref="Q3">SQRT(SUM(POWER(O3:O11,2)))</f>
        <v>280.51481213890526</v>
      </c>
    </row>
    <row r="4" spans="1:17" x14ac:dyDescent="0.3">
      <c r="A4">
        <v>16148686</v>
      </c>
      <c r="B4">
        <f t="shared" si="0"/>
        <v>0.33643095833333331</v>
      </c>
      <c r="C4">
        <v>179629</v>
      </c>
      <c r="D4">
        <f t="shared" si="1"/>
        <v>0.35925800000000002</v>
      </c>
      <c r="E4">
        <f t="shared" si="2"/>
        <v>2.2827041666666714E-2</v>
      </c>
      <c r="F4">
        <f t="shared" si="3"/>
        <v>11413.520833333358</v>
      </c>
      <c r="G4">
        <f t="shared" ref="G4:G8" si="4">ROUND((F4 - L4) / 416.67, 0)</f>
        <v>0</v>
      </c>
      <c r="H4">
        <f t="shared" ref="H4:H8" si="5">F4-G4*416.67</f>
        <v>11413.520833333358</v>
      </c>
      <c r="L4">
        <f>L3</f>
        <v>11323</v>
      </c>
      <c r="N4">
        <v>11338.598703703712</v>
      </c>
      <c r="O4">
        <f t="shared" ref="O4:O11" si="6">H4-N4</f>
        <v>74.922129629645497</v>
      </c>
    </row>
    <row r="5" spans="1:17" x14ac:dyDescent="0.3">
      <c r="A5">
        <v>16316876</v>
      </c>
      <c r="B5">
        <f t="shared" si="0"/>
        <v>0.33993491666666664</v>
      </c>
      <c r="C5">
        <v>181444</v>
      </c>
      <c r="D5">
        <f t="shared" si="1"/>
        <v>0.36288799999999999</v>
      </c>
      <c r="E5">
        <f t="shared" si="2"/>
        <v>2.2953083333333346E-2</v>
      </c>
      <c r="F5">
        <f t="shared" si="3"/>
        <v>11476.541666666673</v>
      </c>
      <c r="G5">
        <f t="shared" si="4"/>
        <v>0</v>
      </c>
      <c r="H5">
        <f t="shared" si="5"/>
        <v>11476.541666666673</v>
      </c>
      <c r="L5">
        <f t="shared" ref="L5:L11" si="7">L4</f>
        <v>11323</v>
      </c>
      <c r="N5">
        <v>11338.598703703712</v>
      </c>
      <c r="O5">
        <f t="shared" si="6"/>
        <v>137.94296296296125</v>
      </c>
    </row>
    <row r="6" spans="1:17" x14ac:dyDescent="0.3">
      <c r="A6">
        <v>16482574</v>
      </c>
      <c r="B6">
        <f t="shared" si="0"/>
        <v>0.34338695833333333</v>
      </c>
      <c r="C6">
        <v>179509</v>
      </c>
      <c r="D6">
        <f t="shared" si="1"/>
        <v>0.359018</v>
      </c>
      <c r="E6">
        <f t="shared" si="2"/>
        <v>1.5631041666666678E-2</v>
      </c>
      <c r="F6">
        <f t="shared" si="3"/>
        <v>7815.5208333333394</v>
      </c>
      <c r="G6">
        <f t="shared" si="4"/>
        <v>-8</v>
      </c>
      <c r="H6">
        <f t="shared" si="5"/>
        <v>11148.88083333334</v>
      </c>
      <c r="L6">
        <f t="shared" si="7"/>
        <v>11323</v>
      </c>
      <c r="N6">
        <v>11338.598703703712</v>
      </c>
      <c r="O6">
        <f t="shared" si="6"/>
        <v>-189.71787037037211</v>
      </c>
    </row>
    <row r="7" spans="1:17" x14ac:dyDescent="0.3">
      <c r="A7">
        <v>16325796</v>
      </c>
      <c r="B7">
        <f t="shared" si="0"/>
        <v>0.34012075000000003</v>
      </c>
      <c r="C7">
        <v>177575</v>
      </c>
      <c r="D7">
        <f t="shared" si="1"/>
        <v>0.35515000000000002</v>
      </c>
      <c r="E7">
        <f t="shared" si="2"/>
        <v>1.5029249999999994E-2</v>
      </c>
      <c r="F7">
        <f t="shared" si="3"/>
        <v>7514.6249999999973</v>
      </c>
      <c r="G7">
        <f t="shared" si="4"/>
        <v>-9</v>
      </c>
      <c r="H7">
        <f t="shared" si="5"/>
        <v>11264.654999999997</v>
      </c>
      <c r="L7">
        <f t="shared" si="7"/>
        <v>11323</v>
      </c>
      <c r="N7">
        <v>11338.598703703712</v>
      </c>
      <c r="O7">
        <f t="shared" si="6"/>
        <v>-73.943703703715073</v>
      </c>
    </row>
    <row r="8" spans="1:17" x14ac:dyDescent="0.3">
      <c r="A8">
        <v>16491492</v>
      </c>
      <c r="B8">
        <f t="shared" si="0"/>
        <v>0.34357274999999998</v>
      </c>
      <c r="C8">
        <v>178973</v>
      </c>
      <c r="D8">
        <f t="shared" si="1"/>
        <v>0.35794599999999999</v>
      </c>
      <c r="E8">
        <f t="shared" si="2"/>
        <v>1.4373250000000004E-2</v>
      </c>
      <c r="F8">
        <f t="shared" si="3"/>
        <v>7186.6250000000018</v>
      </c>
      <c r="G8">
        <f t="shared" si="4"/>
        <v>-10</v>
      </c>
      <c r="H8">
        <f t="shared" si="5"/>
        <v>11353.325000000001</v>
      </c>
      <c r="L8">
        <f t="shared" si="7"/>
        <v>11323</v>
      </c>
      <c r="N8">
        <v>11338.598703703712</v>
      </c>
      <c r="O8">
        <f t="shared" si="6"/>
        <v>14.726296296288638</v>
      </c>
    </row>
    <row r="9" spans="1:17" x14ac:dyDescent="0.3">
      <c r="A9">
        <v>16337212</v>
      </c>
      <c r="B9">
        <f t="shared" si="0"/>
        <v>0.34035858333333335</v>
      </c>
      <c r="D9">
        <f t="shared" si="1"/>
        <v>0</v>
      </c>
      <c r="E9">
        <f t="shared" si="2"/>
        <v>-0.34035858333333335</v>
      </c>
      <c r="F9">
        <f t="shared" si="3"/>
        <v>-170179.29166666669</v>
      </c>
      <c r="G9">
        <f>ROUND((F9 - L9) / 208.33, 0)</f>
        <v>-871</v>
      </c>
      <c r="H9">
        <f>F9-G9*208.33</f>
        <v>11276.138333333336</v>
      </c>
      <c r="L9">
        <f t="shared" si="7"/>
        <v>11323</v>
      </c>
      <c r="N9">
        <v>11338.598703703712</v>
      </c>
      <c r="O9">
        <f t="shared" si="6"/>
        <v>-62.46037037037604</v>
      </c>
    </row>
    <row r="10" spans="1:17" x14ac:dyDescent="0.3">
      <c r="A10">
        <v>16662890</v>
      </c>
      <c r="B10">
        <f t="shared" si="0"/>
        <v>0.34714354166666667</v>
      </c>
      <c r="D10">
        <f t="shared" si="1"/>
        <v>0</v>
      </c>
      <c r="E10">
        <f t="shared" si="2"/>
        <v>-0.34714354166666667</v>
      </c>
      <c r="F10">
        <f t="shared" si="3"/>
        <v>-173571.77083333334</v>
      </c>
      <c r="G10">
        <f>ROUND((F10 - L10) / 208.33, 0)</f>
        <v>-888</v>
      </c>
      <c r="H10">
        <f>F10-G10*208.33</f>
        <v>11425.269166666665</v>
      </c>
      <c r="L10">
        <f t="shared" si="7"/>
        <v>11323</v>
      </c>
      <c r="N10">
        <v>11338.598703703712</v>
      </c>
      <c r="O10">
        <f t="shared" si="6"/>
        <v>86.670462962953025</v>
      </c>
    </row>
    <row r="11" spans="1:17" x14ac:dyDescent="0.3">
      <c r="A11">
        <v>16188628</v>
      </c>
      <c r="B11">
        <f t="shared" si="0"/>
        <v>0.33726308333333332</v>
      </c>
      <c r="D11">
        <f t="shared" si="1"/>
        <v>0</v>
      </c>
      <c r="E11">
        <f t="shared" si="2"/>
        <v>-0.33726308333333332</v>
      </c>
      <c r="F11">
        <f t="shared" si="3"/>
        <v>-168631.54166666666</v>
      </c>
      <c r="G11">
        <f>ROUND((F11 - L11) / 208.33, 0)</f>
        <v>-864</v>
      </c>
      <c r="H11">
        <f>F11-G11*208.33</f>
        <v>11365.578333333367</v>
      </c>
      <c r="L11">
        <f t="shared" si="7"/>
        <v>11323</v>
      </c>
      <c r="N11">
        <v>11338.598703703712</v>
      </c>
      <c r="O11">
        <f t="shared" si="6"/>
        <v>26.979629629655392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3D3-0FB9-4ED8-9878-78B172A733AD}">
  <dimension ref="A1:T69"/>
  <sheetViews>
    <sheetView topLeftCell="A36" zoomScaleNormal="100" workbookViewId="0">
      <selection activeCell="J69" sqref="J69"/>
    </sheetView>
  </sheetViews>
  <sheetFormatPr defaultRowHeight="14.4" x14ac:dyDescent="0.3"/>
  <sheetData>
    <row r="1" spans="1:20" ht="15.6" thickTop="1" thickBot="1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I1" s="1" cm="1">
        <f t="array" ref="I1">MAX(ABS(H2:H21-AVERAGE(H2:H21)))</f>
        <v>45.110491666667031</v>
      </c>
      <c r="O1" t="s">
        <v>23</v>
      </c>
    </row>
    <row r="2" spans="1:20" ht="15" thickTop="1" x14ac:dyDescent="0.3">
      <c r="A2">
        <v>4242288</v>
      </c>
      <c r="B2">
        <f>A2/48000000</f>
        <v>8.8381000000000001E-2</v>
      </c>
      <c r="C2">
        <v>45768</v>
      </c>
      <c r="D2">
        <f>C2/500000</f>
        <v>9.1536000000000006E-2</v>
      </c>
      <c r="E2">
        <f>D2-B2</f>
        <v>3.155000000000005E-3</v>
      </c>
      <c r="F2">
        <f>E2*500000</f>
        <v>1577.5000000000025</v>
      </c>
      <c r="G2">
        <f t="shared" ref="G2:G21" si="0">ROUND((F2 - L2) / (52.083*2), 0)</f>
        <v>4</v>
      </c>
      <c r="H2">
        <f t="shared" ref="H2:H21" si="1">F2-G2*52.083*2</f>
        <v>1160.8360000000025</v>
      </c>
      <c r="I2">
        <f>1*_xlfn.STDEV.S(H2:H21)</f>
        <v>29.095721294958462</v>
      </c>
      <c r="J2">
        <f>I2*0.3*2</f>
        <v>17.457432776975075</v>
      </c>
      <c r="L2">
        <v>1123.46099974749</v>
      </c>
      <c r="O2" cm="1">
        <f t="array" ref="O2:O21">H2:H21-AVERAGE(H2:H21)</f>
        <v>35.039341666669998</v>
      </c>
    </row>
    <row r="3" spans="1:20" x14ac:dyDescent="0.3">
      <c r="A3">
        <v>4293754</v>
      </c>
      <c r="B3">
        <f t="shared" ref="B3:B63" si="2">A3/48000000</f>
        <v>8.9453208333333339E-2</v>
      </c>
      <c r="C3">
        <v>46071</v>
      </c>
      <c r="D3">
        <f t="shared" ref="D3:D63" si="3">C3/500000</f>
        <v>9.2142000000000002E-2</v>
      </c>
      <c r="E3">
        <f t="shared" ref="E3:E21" si="4">D3-B3</f>
        <v>2.6887916666666623E-3</v>
      </c>
      <c r="F3">
        <f t="shared" ref="F3:F63" si="5">E3*500000</f>
        <v>1344.3958333333312</v>
      </c>
      <c r="G3">
        <f t="shared" si="0"/>
        <v>2</v>
      </c>
      <c r="H3">
        <f t="shared" si="1"/>
        <v>1136.0638333333313</v>
      </c>
      <c r="L3">
        <f>L2</f>
        <v>1123.46099974749</v>
      </c>
      <c r="O3">
        <v>10.267174999998815</v>
      </c>
    </row>
    <row r="4" spans="1:20" x14ac:dyDescent="0.3">
      <c r="A4">
        <v>4343866</v>
      </c>
      <c r="B4">
        <f t="shared" si="2"/>
        <v>9.0497208333333329E-2</v>
      </c>
      <c r="C4">
        <v>45437</v>
      </c>
      <c r="D4">
        <f t="shared" si="3"/>
        <v>9.0873999999999996E-2</v>
      </c>
      <c r="E4">
        <f t="shared" si="4"/>
        <v>3.7679166666666764E-4</v>
      </c>
      <c r="F4">
        <f t="shared" si="5"/>
        <v>188.39583333333383</v>
      </c>
      <c r="G4">
        <f t="shared" si="0"/>
        <v>-9</v>
      </c>
      <c r="H4">
        <f t="shared" si="1"/>
        <v>1125.8898333333336</v>
      </c>
      <c r="L4">
        <f t="shared" ref="L4:L63" si="6">L3</f>
        <v>1123.46099974749</v>
      </c>
      <c r="O4">
        <v>9.3175000001110675E-2</v>
      </c>
      <c r="R4">
        <f>AVERAGE(H2:H21)</f>
        <v>1125.7966583333325</v>
      </c>
    </row>
    <row r="5" spans="1:20" x14ac:dyDescent="0.3">
      <c r="A5">
        <v>4235136</v>
      </c>
      <c r="B5">
        <f t="shared" si="2"/>
        <v>8.8232000000000005E-2</v>
      </c>
      <c r="C5">
        <v>45323</v>
      </c>
      <c r="D5">
        <f t="shared" si="3"/>
        <v>9.0646000000000004E-2</v>
      </c>
      <c r="E5">
        <f t="shared" si="4"/>
        <v>2.4139999999999995E-3</v>
      </c>
      <c r="F5">
        <f t="shared" si="5"/>
        <v>1206.9999999999998</v>
      </c>
      <c r="G5">
        <f t="shared" si="0"/>
        <v>1</v>
      </c>
      <c r="H5">
        <f t="shared" si="1"/>
        <v>1102.8339999999998</v>
      </c>
      <c r="L5">
        <f t="shared" si="6"/>
        <v>1123.46099974749</v>
      </c>
      <c r="O5">
        <v>-22.962658333332683</v>
      </c>
      <c r="R5">
        <f>R4*2*0.3</f>
        <v>675.47799499999951</v>
      </c>
    </row>
    <row r="6" spans="1:20" x14ac:dyDescent="0.3">
      <c r="A6">
        <v>4205844</v>
      </c>
      <c r="B6">
        <f t="shared" si="2"/>
        <v>8.7621749999999998E-2</v>
      </c>
      <c r="C6">
        <v>45730</v>
      </c>
      <c r="D6">
        <f t="shared" si="3"/>
        <v>9.146E-2</v>
      </c>
      <c r="E6">
        <f t="shared" si="4"/>
        <v>3.8382500000000014E-3</v>
      </c>
      <c r="F6">
        <f t="shared" si="5"/>
        <v>1919.1250000000007</v>
      </c>
      <c r="G6">
        <f t="shared" si="0"/>
        <v>8</v>
      </c>
      <c r="H6">
        <f t="shared" si="1"/>
        <v>1085.7970000000007</v>
      </c>
      <c r="L6">
        <f t="shared" si="6"/>
        <v>1123.46099974749</v>
      </c>
      <c r="O6">
        <v>-39.999658333331809</v>
      </c>
      <c r="T6">
        <f>R8-R5</f>
        <v>8.6908900000003086</v>
      </c>
    </row>
    <row r="7" spans="1:20" x14ac:dyDescent="0.3">
      <c r="A7">
        <v>4177314</v>
      </c>
      <c r="B7">
        <f t="shared" si="2"/>
        <v>8.7027375000000004E-2</v>
      </c>
      <c r="C7">
        <v>45096</v>
      </c>
      <c r="D7">
        <f t="shared" si="3"/>
        <v>9.0191999999999994E-2</v>
      </c>
      <c r="E7">
        <f t="shared" si="4"/>
        <v>3.1646249999999904E-3</v>
      </c>
      <c r="F7">
        <f t="shared" si="5"/>
        <v>1582.3124999999952</v>
      </c>
      <c r="G7">
        <f t="shared" si="0"/>
        <v>4</v>
      </c>
      <c r="H7">
        <f t="shared" si="1"/>
        <v>1165.6484999999952</v>
      </c>
      <c r="J7" t="s">
        <v>11</v>
      </c>
      <c r="K7" t="s">
        <v>12</v>
      </c>
      <c r="L7">
        <f t="shared" si="6"/>
        <v>1123.46099974749</v>
      </c>
      <c r="O7">
        <v>39.851841666662722</v>
      </c>
      <c r="R7">
        <f>AVERAGE(H24:H63)</f>
        <v>1140.2814749999998</v>
      </c>
    </row>
    <row r="8" spans="1:20" x14ac:dyDescent="0.3">
      <c r="A8">
        <v>4228016</v>
      </c>
      <c r="B8">
        <f t="shared" si="2"/>
        <v>8.8083666666666671E-2</v>
      </c>
      <c r="C8">
        <v>45608</v>
      </c>
      <c r="D8">
        <f t="shared" si="3"/>
        <v>9.1216000000000005E-2</v>
      </c>
      <c r="E8">
        <f t="shared" si="4"/>
        <v>3.1323333333333342E-3</v>
      </c>
      <c r="F8">
        <f t="shared" si="5"/>
        <v>1566.1666666666672</v>
      </c>
      <c r="G8">
        <f t="shared" si="0"/>
        <v>4</v>
      </c>
      <c r="H8">
        <f t="shared" si="1"/>
        <v>1149.5026666666672</v>
      </c>
      <c r="I8" t="s">
        <v>14</v>
      </c>
      <c r="J8" cm="1">
        <f t="array" ref="J8">SQRT(AVERAGE(POWER(H2:H21,2)))</f>
        <v>1126.1537856182383</v>
      </c>
      <c r="K8">
        <f>I1/SQRT(20)</f>
        <v>10.087012586510525</v>
      </c>
      <c r="L8">
        <f t="shared" si="6"/>
        <v>1123.46099974749</v>
      </c>
      <c r="O8">
        <v>23.706008333334694</v>
      </c>
      <c r="R8">
        <f>R7*2*0.3</f>
        <v>684.16888499999982</v>
      </c>
      <c r="T8">
        <f>AVERAGE(I24,I2)</f>
        <v>29.998726718049696</v>
      </c>
    </row>
    <row r="9" spans="1:20" x14ac:dyDescent="0.3">
      <c r="A9">
        <v>4278708</v>
      </c>
      <c r="B9">
        <f t="shared" si="2"/>
        <v>8.9139750000000004E-2</v>
      </c>
      <c r="C9">
        <v>46119</v>
      </c>
      <c r="D9">
        <f t="shared" si="3"/>
        <v>9.2238000000000001E-2</v>
      </c>
      <c r="E9">
        <f t="shared" si="4"/>
        <v>3.0982499999999968E-3</v>
      </c>
      <c r="F9">
        <f t="shared" si="5"/>
        <v>1549.1249999999984</v>
      </c>
      <c r="G9">
        <f t="shared" si="0"/>
        <v>4</v>
      </c>
      <c r="H9">
        <f t="shared" si="1"/>
        <v>1132.4609999999984</v>
      </c>
      <c r="I9" t="s">
        <v>13</v>
      </c>
      <c r="J9">
        <f>J8*2*0.3</f>
        <v>675.69227137094299</v>
      </c>
      <c r="K9">
        <f>K8*2*0.3</f>
        <v>6.0522075519063145</v>
      </c>
      <c r="L9">
        <f t="shared" si="6"/>
        <v>1123.46099974749</v>
      </c>
      <c r="O9">
        <v>6.664341666665905</v>
      </c>
    </row>
    <row r="10" spans="1:20" x14ac:dyDescent="0.3">
      <c r="A10">
        <v>4249984</v>
      </c>
      <c r="B10">
        <f t="shared" si="2"/>
        <v>8.8541333333333333E-2</v>
      </c>
      <c r="C10">
        <v>45381</v>
      </c>
      <c r="D10">
        <f t="shared" si="3"/>
        <v>9.0761999999999995E-2</v>
      </c>
      <c r="E10">
        <f t="shared" si="4"/>
        <v>2.2206666666666625E-3</v>
      </c>
      <c r="F10">
        <f t="shared" si="5"/>
        <v>1110.3333333333312</v>
      </c>
      <c r="G10">
        <f t="shared" si="0"/>
        <v>0</v>
      </c>
      <c r="H10">
        <f t="shared" si="1"/>
        <v>1110.3333333333312</v>
      </c>
      <c r="L10">
        <f t="shared" si="6"/>
        <v>1123.46099974749</v>
      </c>
      <c r="O10">
        <v>-15.463325000001305</v>
      </c>
    </row>
    <row r="11" spans="1:20" x14ac:dyDescent="0.3">
      <c r="A11">
        <v>4300876</v>
      </c>
      <c r="B11">
        <f t="shared" si="2"/>
        <v>8.9601583333333332E-2</v>
      </c>
      <c r="C11">
        <v>45996</v>
      </c>
      <c r="D11">
        <f t="shared" si="3"/>
        <v>9.1992000000000004E-2</v>
      </c>
      <c r="E11">
        <f t="shared" si="4"/>
        <v>2.3904166666666726E-3</v>
      </c>
      <c r="F11">
        <f t="shared" si="5"/>
        <v>1195.2083333333362</v>
      </c>
      <c r="G11">
        <f t="shared" si="0"/>
        <v>1</v>
      </c>
      <c r="H11">
        <f t="shared" si="1"/>
        <v>1091.0423333333363</v>
      </c>
      <c r="L11">
        <f t="shared" si="6"/>
        <v>1123.46099974749</v>
      </c>
      <c r="O11">
        <v>-34.754324999996243</v>
      </c>
    </row>
    <row r="12" spans="1:20" x14ac:dyDescent="0.3">
      <c r="A12">
        <v>4271006</v>
      </c>
      <c r="B12">
        <f t="shared" si="2"/>
        <v>8.8979291666666668E-2</v>
      </c>
      <c r="C12">
        <v>45362</v>
      </c>
      <c r="D12">
        <f t="shared" si="3"/>
        <v>9.0723999999999999E-2</v>
      </c>
      <c r="E12">
        <f t="shared" si="4"/>
        <v>1.7447083333333308E-3</v>
      </c>
      <c r="F12">
        <f t="shared" si="5"/>
        <v>872.35416666666538</v>
      </c>
      <c r="G12">
        <f t="shared" si="0"/>
        <v>-2</v>
      </c>
      <c r="H12">
        <f t="shared" si="1"/>
        <v>1080.6861666666655</v>
      </c>
      <c r="L12">
        <f t="shared" si="6"/>
        <v>1123.46099974749</v>
      </c>
      <c r="O12">
        <v>-45.110491666667031</v>
      </c>
      <c r="Q12">
        <f>COUNT(H24:H63)</f>
        <v>40</v>
      </c>
    </row>
    <row r="13" spans="1:20" x14ac:dyDescent="0.3">
      <c r="A13">
        <v>4242264</v>
      </c>
      <c r="B13">
        <f t="shared" si="2"/>
        <v>8.8380500000000001E-2</v>
      </c>
      <c r="C13">
        <v>46082</v>
      </c>
      <c r="D13">
        <f t="shared" si="3"/>
        <v>9.2163999999999996E-2</v>
      </c>
      <c r="E13">
        <f t="shared" si="4"/>
        <v>3.7834999999999952E-3</v>
      </c>
      <c r="F13">
        <f t="shared" si="5"/>
        <v>1891.7499999999975</v>
      </c>
      <c r="G13">
        <f t="shared" si="0"/>
        <v>7</v>
      </c>
      <c r="H13">
        <f t="shared" si="1"/>
        <v>1162.5879999999975</v>
      </c>
      <c r="L13">
        <f t="shared" si="6"/>
        <v>1123.46099974749</v>
      </c>
      <c r="O13">
        <v>36.791341666664948</v>
      </c>
    </row>
    <row r="14" spans="1:20" x14ac:dyDescent="0.3">
      <c r="A14">
        <v>4213546</v>
      </c>
      <c r="B14">
        <f t="shared" si="2"/>
        <v>8.7782208333333334E-2</v>
      </c>
      <c r="C14">
        <v>45656</v>
      </c>
      <c r="D14">
        <f t="shared" si="3"/>
        <v>9.1312000000000004E-2</v>
      </c>
      <c r="E14">
        <f t="shared" si="4"/>
        <v>3.5297916666666707E-3</v>
      </c>
      <c r="F14">
        <f t="shared" si="5"/>
        <v>1764.8958333333353</v>
      </c>
      <c r="G14">
        <f t="shared" si="0"/>
        <v>6</v>
      </c>
      <c r="H14">
        <f t="shared" si="1"/>
        <v>1139.8998333333352</v>
      </c>
      <c r="L14">
        <f t="shared" si="6"/>
        <v>1123.46099974749</v>
      </c>
      <c r="O14">
        <v>14.103175000002693</v>
      </c>
    </row>
    <row r="15" spans="1:20" x14ac:dyDescent="0.3">
      <c r="A15">
        <v>4183676</v>
      </c>
      <c r="B15">
        <f t="shared" si="2"/>
        <v>8.715991666666667E-2</v>
      </c>
      <c r="C15">
        <v>44918</v>
      </c>
      <c r="D15">
        <f t="shared" si="3"/>
        <v>8.9835999999999999E-2</v>
      </c>
      <c r="E15">
        <f t="shared" si="4"/>
        <v>2.6760833333333289E-3</v>
      </c>
      <c r="F15">
        <f t="shared" si="5"/>
        <v>1338.0416666666645</v>
      </c>
      <c r="G15">
        <f t="shared" si="0"/>
        <v>2</v>
      </c>
      <c r="H15">
        <f t="shared" si="1"/>
        <v>1129.7096666666644</v>
      </c>
      <c r="L15">
        <f t="shared" si="6"/>
        <v>1123.46099974749</v>
      </c>
      <c r="O15">
        <v>3.9130083333318453</v>
      </c>
    </row>
    <row r="16" spans="1:20" x14ac:dyDescent="0.3">
      <c r="A16">
        <v>4235140</v>
      </c>
      <c r="B16">
        <f t="shared" si="2"/>
        <v>8.8232083333333336E-2</v>
      </c>
      <c r="C16">
        <v>45429</v>
      </c>
      <c r="D16">
        <f t="shared" si="3"/>
        <v>9.0857999999999994E-2</v>
      </c>
      <c r="E16">
        <f t="shared" si="4"/>
        <v>2.6259166666666584E-3</v>
      </c>
      <c r="F16">
        <f t="shared" si="5"/>
        <v>1312.9583333333292</v>
      </c>
      <c r="G16">
        <f t="shared" si="0"/>
        <v>2</v>
      </c>
      <c r="H16">
        <f t="shared" si="1"/>
        <v>1104.6263333333291</v>
      </c>
      <c r="L16">
        <f t="shared" si="6"/>
        <v>1123.46099974749</v>
      </c>
      <c r="O16">
        <v>-21.170325000003459</v>
      </c>
    </row>
    <row r="17" spans="1:17" x14ac:dyDescent="0.3">
      <c r="A17">
        <v>4205846</v>
      </c>
      <c r="B17">
        <f t="shared" si="2"/>
        <v>8.7621791666666671E-2</v>
      </c>
      <c r="C17">
        <v>45940</v>
      </c>
      <c r="D17">
        <f t="shared" si="3"/>
        <v>9.1880000000000003E-2</v>
      </c>
      <c r="E17">
        <f>D17-B17</f>
        <v>4.2582083333333326E-3</v>
      </c>
      <c r="F17">
        <f t="shared" si="5"/>
        <v>2129.1041666666665</v>
      </c>
      <c r="G17">
        <f t="shared" si="0"/>
        <v>10</v>
      </c>
      <c r="H17">
        <f t="shared" si="1"/>
        <v>1087.4441666666667</v>
      </c>
      <c r="L17">
        <f t="shared" si="6"/>
        <v>1123.46099974749</v>
      </c>
      <c r="O17">
        <v>-38.352491666665856</v>
      </c>
      <c r="Q17" t="s">
        <v>22</v>
      </c>
    </row>
    <row r="18" spans="1:17" x14ac:dyDescent="0.3">
      <c r="A18">
        <v>4257118</v>
      </c>
      <c r="B18">
        <f t="shared" si="2"/>
        <v>8.8689958333333332E-2</v>
      </c>
      <c r="C18">
        <v>46139</v>
      </c>
      <c r="D18">
        <f t="shared" si="3"/>
        <v>9.2277999999999999E-2</v>
      </c>
      <c r="E18">
        <f t="shared" si="4"/>
        <v>3.5880416666666665E-3</v>
      </c>
      <c r="F18">
        <f t="shared" si="5"/>
        <v>1794.0208333333333</v>
      </c>
      <c r="G18">
        <f t="shared" si="0"/>
        <v>6</v>
      </c>
      <c r="H18">
        <f t="shared" si="1"/>
        <v>1169.0248333333334</v>
      </c>
      <c r="L18">
        <f t="shared" si="6"/>
        <v>1123.46099974749</v>
      </c>
      <c r="O18">
        <v>43.228175000000874</v>
      </c>
      <c r="Q18" cm="1">
        <f t="array" ref="Q18">SQRT(SUM(POWER(O2:O21,2)))</f>
        <v>126.82530881414831</v>
      </c>
    </row>
    <row r="19" spans="1:17" x14ac:dyDescent="0.3">
      <c r="A19">
        <v>4308004</v>
      </c>
      <c r="B19">
        <f t="shared" si="2"/>
        <v>8.9750083333333328E-2</v>
      </c>
      <c r="C19">
        <v>45922</v>
      </c>
      <c r="D19">
        <f t="shared" si="3"/>
        <v>9.1843999999999995E-2</v>
      </c>
      <c r="E19">
        <f t="shared" si="4"/>
        <v>2.0939166666666675E-3</v>
      </c>
      <c r="F19">
        <f t="shared" si="5"/>
        <v>1046.9583333333337</v>
      </c>
      <c r="G19">
        <f t="shared" si="0"/>
        <v>-1</v>
      </c>
      <c r="H19">
        <f t="shared" si="1"/>
        <v>1151.1243333333337</v>
      </c>
      <c r="J19">
        <f>COUNT(H2:H21)</f>
        <v>20</v>
      </c>
      <c r="L19">
        <f t="shared" si="6"/>
        <v>1123.46099974749</v>
      </c>
      <c r="O19">
        <v>25.327675000001136</v>
      </c>
    </row>
    <row r="20" spans="1:17" x14ac:dyDescent="0.3">
      <c r="A20">
        <v>4278710</v>
      </c>
      <c r="B20">
        <f t="shared" si="2"/>
        <v>8.9139791666666662E-2</v>
      </c>
      <c r="C20">
        <v>45600</v>
      </c>
      <c r="D20">
        <f t="shared" si="3"/>
        <v>9.1200000000000003E-2</v>
      </c>
      <c r="E20">
        <f t="shared" si="4"/>
        <v>2.060208333333341E-3</v>
      </c>
      <c r="F20">
        <f t="shared" si="5"/>
        <v>1030.1041666666704</v>
      </c>
      <c r="G20">
        <f t="shared" si="0"/>
        <v>-1</v>
      </c>
      <c r="H20">
        <f t="shared" si="1"/>
        <v>1134.2701666666703</v>
      </c>
      <c r="L20">
        <f t="shared" si="6"/>
        <v>1123.46099974749</v>
      </c>
      <c r="O20">
        <v>8.4735083333378043</v>
      </c>
    </row>
    <row r="21" spans="1:17" x14ac:dyDescent="0.3">
      <c r="A21">
        <v>4249394</v>
      </c>
      <c r="B21">
        <f t="shared" si="2"/>
        <v>8.8529041666666669E-2</v>
      </c>
      <c r="C21">
        <v>46194</v>
      </c>
      <c r="D21">
        <f t="shared" si="3"/>
        <v>9.2387999999999998E-2</v>
      </c>
      <c r="E21">
        <f t="shared" si="4"/>
        <v>3.8589583333333288E-3</v>
      </c>
      <c r="F21">
        <f t="shared" si="5"/>
        <v>1929.4791666666645</v>
      </c>
      <c r="G21">
        <f t="shared" si="0"/>
        <v>8</v>
      </c>
      <c r="H21">
        <f t="shared" si="1"/>
        <v>1096.1511666666645</v>
      </c>
      <c r="L21">
        <f t="shared" si="6"/>
        <v>1123.46099974749</v>
      </c>
      <c r="O21">
        <v>-29.645491666668022</v>
      </c>
    </row>
    <row r="22" spans="1:17" ht="15" thickBot="1" x14ac:dyDescent="0.35">
      <c r="B22">
        <f t="shared" si="2"/>
        <v>0</v>
      </c>
      <c r="D22">
        <f t="shared" si="3"/>
        <v>0</v>
      </c>
      <c r="E22">
        <f t="shared" ref="E22:E43" si="7">D22-B22</f>
        <v>0</v>
      </c>
      <c r="F22">
        <f t="shared" si="5"/>
        <v>0</v>
      </c>
      <c r="G22">
        <f t="shared" ref="G22:G23" si="8">ROUND((F22 - L22) / (52.083*2), 0)</f>
        <v>-11</v>
      </c>
      <c r="H22">
        <f t="shared" ref="H22:H23" si="9">F22-G22*52.083*2</f>
        <v>1145.826</v>
      </c>
      <c r="L22">
        <f t="shared" si="6"/>
        <v>1123.46099974749</v>
      </c>
    </row>
    <row r="23" spans="1:17" ht="15.6" thickTop="1" thickBot="1" x14ac:dyDescent="0.35">
      <c r="A23" t="s">
        <v>20</v>
      </c>
      <c r="B23" t="e">
        <f t="shared" si="2"/>
        <v>#VALUE!</v>
      </c>
      <c r="D23">
        <f t="shared" si="3"/>
        <v>0</v>
      </c>
      <c r="E23" t="e">
        <f t="shared" si="7"/>
        <v>#VALUE!</v>
      </c>
      <c r="F23" t="e">
        <f t="shared" si="5"/>
        <v>#VALUE!</v>
      </c>
      <c r="G23" t="e">
        <f t="shared" si="8"/>
        <v>#VALUE!</v>
      </c>
      <c r="H23" t="e">
        <f t="shared" si="9"/>
        <v>#VALUE!</v>
      </c>
      <c r="I23" s="1" cm="1">
        <f t="array" ref="I23">MAX(ABS(H24:H63-AVERAGE(H24:H63)))</f>
        <v>50.28635833333783</v>
      </c>
      <c r="L23">
        <v>1141.3086237112566</v>
      </c>
      <c r="O23" t="s">
        <v>23</v>
      </c>
    </row>
    <row r="24" spans="1:17" ht="15" thickTop="1" x14ac:dyDescent="0.3">
      <c r="A24">
        <v>4167750</v>
      </c>
      <c r="B24">
        <f t="shared" si="2"/>
        <v>8.6828125000000006E-2</v>
      </c>
      <c r="C24">
        <v>45801</v>
      </c>
      <c r="D24">
        <f t="shared" si="3"/>
        <v>9.1602000000000003E-2</v>
      </c>
      <c r="E24">
        <f t="shared" si="7"/>
        <v>4.7738749999999969E-3</v>
      </c>
      <c r="F24">
        <f t="shared" si="5"/>
        <v>2386.9374999999986</v>
      </c>
      <c r="G24">
        <f t="shared" ref="G24:G63" si="10">ROUND((F24 - L24) / (52.083*2), 0)</f>
        <v>12</v>
      </c>
      <c r="H24">
        <f t="shared" ref="H24:H63" si="11">F24-G24*52.083*2</f>
        <v>1136.9454999999987</v>
      </c>
      <c r="I24">
        <f>1*_xlfn.STDEV.S(H24:H43)</f>
        <v>30.901732141140926</v>
      </c>
      <c r="J24">
        <v>18.54</v>
      </c>
      <c r="L24">
        <f t="shared" si="6"/>
        <v>1141.3086237112566</v>
      </c>
      <c r="O24" cm="1">
        <f t="array" ref="O24:O63">H24:H63-AVERAGE(H24:H63)</f>
        <v>-3.335975000001099</v>
      </c>
    </row>
    <row r="25" spans="1:17" x14ac:dyDescent="0.3">
      <c r="A25">
        <v>4219022</v>
      </c>
      <c r="B25">
        <f t="shared" si="2"/>
        <v>8.7896291666666668E-2</v>
      </c>
      <c r="C25">
        <v>46208</v>
      </c>
      <c r="D25">
        <f t="shared" si="3"/>
        <v>9.2415999999999998E-2</v>
      </c>
      <c r="E25">
        <f t="shared" si="7"/>
        <v>4.5197083333333304E-3</v>
      </c>
      <c r="F25">
        <f t="shared" si="5"/>
        <v>2259.8541666666652</v>
      </c>
      <c r="G25">
        <f t="shared" si="10"/>
        <v>11</v>
      </c>
      <c r="H25">
        <f t="shared" si="11"/>
        <v>1114.0281666666651</v>
      </c>
      <c r="L25">
        <f t="shared" si="6"/>
        <v>1141.3086237112566</v>
      </c>
      <c r="O25">
        <v>-26.253308333334644</v>
      </c>
    </row>
    <row r="26" spans="1:17" x14ac:dyDescent="0.3">
      <c r="A26">
        <v>4189922</v>
      </c>
      <c r="B26">
        <f t="shared" si="2"/>
        <v>8.7290041666666665E-2</v>
      </c>
      <c r="C26">
        <v>45678</v>
      </c>
      <c r="D26">
        <f t="shared" si="3"/>
        <v>9.1356000000000007E-2</v>
      </c>
      <c r="E26">
        <f t="shared" si="7"/>
        <v>4.0659583333333416E-3</v>
      </c>
      <c r="F26">
        <f t="shared" si="5"/>
        <v>2032.9791666666708</v>
      </c>
      <c r="G26">
        <f t="shared" si="10"/>
        <v>9</v>
      </c>
      <c r="H26">
        <f t="shared" si="11"/>
        <v>1095.4851666666709</v>
      </c>
      <c r="L26">
        <f t="shared" si="6"/>
        <v>1141.3086237112566</v>
      </c>
      <c r="O26">
        <v>-44.796308333328852</v>
      </c>
    </row>
    <row r="27" spans="1:17" x14ac:dyDescent="0.3">
      <c r="A27">
        <v>4239850</v>
      </c>
      <c r="B27">
        <f t="shared" si="2"/>
        <v>8.8330208333333327E-2</v>
      </c>
      <c r="C27">
        <v>46189</v>
      </c>
      <c r="D27">
        <f t="shared" si="3"/>
        <v>9.2378000000000002E-2</v>
      </c>
      <c r="E27">
        <f t="shared" si="7"/>
        <v>4.0477916666666752E-3</v>
      </c>
      <c r="F27">
        <f t="shared" si="5"/>
        <v>2023.8958333333376</v>
      </c>
      <c r="G27">
        <f t="shared" si="10"/>
        <v>8</v>
      </c>
      <c r="H27">
        <f t="shared" si="11"/>
        <v>1190.5678333333376</v>
      </c>
      <c r="L27">
        <f t="shared" si="6"/>
        <v>1141.3086237112566</v>
      </c>
      <c r="O27">
        <v>50.28635833333783</v>
      </c>
    </row>
    <row r="28" spans="1:17" x14ac:dyDescent="0.3">
      <c r="A28">
        <v>4291310</v>
      </c>
      <c r="B28">
        <f t="shared" si="2"/>
        <v>8.9402291666666661E-2</v>
      </c>
      <c r="C28">
        <v>46492</v>
      </c>
      <c r="D28">
        <f t="shared" si="3"/>
        <v>9.2983999999999997E-2</v>
      </c>
      <c r="E28">
        <f t="shared" si="7"/>
        <v>3.581708333333336E-3</v>
      </c>
      <c r="F28">
        <f t="shared" si="5"/>
        <v>1790.8541666666681</v>
      </c>
      <c r="G28">
        <f t="shared" si="10"/>
        <v>6</v>
      </c>
      <c r="H28">
        <f t="shared" si="11"/>
        <v>1165.8581666666682</v>
      </c>
      <c r="L28">
        <f t="shared" si="6"/>
        <v>1141.3086237112566</v>
      </c>
      <c r="O28">
        <v>25.576691666668466</v>
      </c>
    </row>
    <row r="29" spans="1:17" x14ac:dyDescent="0.3">
      <c r="A29">
        <v>4262014</v>
      </c>
      <c r="B29">
        <f t="shared" si="2"/>
        <v>8.8791958333333337E-2</v>
      </c>
      <c r="C29">
        <v>45962</v>
      </c>
      <c r="D29">
        <f t="shared" si="3"/>
        <v>9.1924000000000006E-2</v>
      </c>
      <c r="E29">
        <f t="shared" si="7"/>
        <v>3.1320416666666684E-3</v>
      </c>
      <c r="F29">
        <f t="shared" si="5"/>
        <v>1566.0208333333342</v>
      </c>
      <c r="G29">
        <f t="shared" si="10"/>
        <v>4</v>
      </c>
      <c r="H29">
        <f t="shared" si="11"/>
        <v>1149.3568333333342</v>
      </c>
      <c r="J29" t="s">
        <v>11</v>
      </c>
      <c r="K29" t="s">
        <v>12</v>
      </c>
      <c r="L29">
        <f t="shared" si="6"/>
        <v>1141.3086237112566</v>
      </c>
      <c r="O29">
        <v>9.0753583333344068</v>
      </c>
    </row>
    <row r="30" spans="1:17" x14ac:dyDescent="0.3">
      <c r="A30">
        <v>4312710</v>
      </c>
      <c r="B30">
        <f t="shared" si="2"/>
        <v>8.9848125000000001E-2</v>
      </c>
      <c r="C30">
        <v>46578</v>
      </c>
      <c r="D30">
        <f t="shared" si="3"/>
        <v>9.3156000000000003E-2</v>
      </c>
      <c r="E30">
        <f t="shared" si="7"/>
        <v>3.3078750000000018E-3</v>
      </c>
      <c r="F30">
        <f t="shared" si="5"/>
        <v>1653.9375000000009</v>
      </c>
      <c r="G30">
        <f t="shared" si="10"/>
        <v>5</v>
      </c>
      <c r="H30">
        <f t="shared" si="11"/>
        <v>1133.107500000001</v>
      </c>
      <c r="I30" t="s">
        <v>14</v>
      </c>
      <c r="J30" cm="1">
        <f t="array" ref="J30">SQRT(AVERAGE(POWER(H24:H43,2)))</f>
        <v>1142.4808537915974</v>
      </c>
      <c r="K30">
        <f>I23/SQRT(40)</f>
        <v>7.9509713784368117</v>
      </c>
      <c r="L30">
        <f t="shared" si="6"/>
        <v>1141.3086237112566</v>
      </c>
      <c r="O30">
        <v>-7.1739749999987907</v>
      </c>
    </row>
    <row r="31" spans="1:17" x14ac:dyDescent="0.3">
      <c r="A31">
        <v>4283400</v>
      </c>
      <c r="B31">
        <f t="shared" si="2"/>
        <v>8.9237499999999997E-2</v>
      </c>
      <c r="C31">
        <v>45840</v>
      </c>
      <c r="D31">
        <f t="shared" si="3"/>
        <v>9.1679999999999998E-2</v>
      </c>
      <c r="E31">
        <f t="shared" si="7"/>
        <v>2.4425000000000002E-3</v>
      </c>
      <c r="F31">
        <f t="shared" si="5"/>
        <v>1221.25</v>
      </c>
      <c r="G31">
        <f t="shared" si="10"/>
        <v>1</v>
      </c>
      <c r="H31">
        <f t="shared" si="11"/>
        <v>1117.0840000000001</v>
      </c>
      <c r="I31" t="s">
        <v>13</v>
      </c>
      <c r="J31">
        <f>J30*2*0.3</f>
        <v>685.48851227495845</v>
      </c>
      <c r="K31">
        <f>K30*2*0.3</f>
        <v>4.7705828270620865</v>
      </c>
      <c r="L31">
        <f t="shared" si="6"/>
        <v>1141.3086237112566</v>
      </c>
      <c r="O31">
        <v>-23.197474999999713</v>
      </c>
    </row>
    <row r="32" spans="1:17" x14ac:dyDescent="0.3">
      <c r="A32">
        <v>4174874</v>
      </c>
      <c r="B32">
        <f t="shared" si="2"/>
        <v>8.6976541666666671E-2</v>
      </c>
      <c r="C32">
        <v>45726</v>
      </c>
      <c r="D32">
        <f t="shared" si="3"/>
        <v>9.1452000000000006E-2</v>
      </c>
      <c r="E32">
        <f t="shared" si="7"/>
        <v>4.4754583333333348E-3</v>
      </c>
      <c r="F32">
        <f t="shared" si="5"/>
        <v>2237.7291666666674</v>
      </c>
      <c r="G32">
        <f t="shared" si="10"/>
        <v>11</v>
      </c>
      <c r="H32">
        <f t="shared" si="11"/>
        <v>1091.9031666666674</v>
      </c>
      <c r="L32">
        <f t="shared" si="6"/>
        <v>1141.3086237112566</v>
      </c>
      <c r="O32">
        <v>-48.37830833333237</v>
      </c>
    </row>
    <row r="33" spans="1:17" x14ac:dyDescent="0.3">
      <c r="A33">
        <v>4225572</v>
      </c>
      <c r="B33">
        <f t="shared" si="2"/>
        <v>8.8032750000000007E-2</v>
      </c>
      <c r="C33">
        <v>46133</v>
      </c>
      <c r="D33">
        <f t="shared" si="3"/>
        <v>9.2266000000000001E-2</v>
      </c>
      <c r="E33">
        <f t="shared" si="7"/>
        <v>4.233249999999994E-3</v>
      </c>
      <c r="F33">
        <f t="shared" si="5"/>
        <v>2116.6249999999968</v>
      </c>
      <c r="G33">
        <f t="shared" si="10"/>
        <v>9</v>
      </c>
      <c r="H33">
        <f t="shared" si="11"/>
        <v>1179.1309999999969</v>
      </c>
      <c r="L33">
        <f t="shared" si="6"/>
        <v>1141.3086237112566</v>
      </c>
      <c r="O33">
        <v>38.849524999997129</v>
      </c>
    </row>
    <row r="34" spans="1:17" x14ac:dyDescent="0.3">
      <c r="A34">
        <v>4196280</v>
      </c>
      <c r="B34">
        <f t="shared" si="2"/>
        <v>8.74225E-2</v>
      </c>
      <c r="C34">
        <v>45395</v>
      </c>
      <c r="D34">
        <f t="shared" si="3"/>
        <v>9.0789999999999996E-2</v>
      </c>
      <c r="E34">
        <f t="shared" si="7"/>
        <v>3.3674999999999955E-3</v>
      </c>
      <c r="F34">
        <f t="shared" si="5"/>
        <v>1683.7499999999977</v>
      </c>
      <c r="G34">
        <f t="shared" si="10"/>
        <v>5</v>
      </c>
      <c r="H34">
        <f t="shared" si="11"/>
        <v>1162.9199999999978</v>
      </c>
      <c r="L34">
        <f t="shared" si="6"/>
        <v>1141.3086237112566</v>
      </c>
      <c r="O34">
        <v>22.638524999998026</v>
      </c>
    </row>
    <row r="35" spans="1:17" x14ac:dyDescent="0.3">
      <c r="A35">
        <v>4246974</v>
      </c>
      <c r="B35">
        <f t="shared" si="2"/>
        <v>8.8478625000000005E-2</v>
      </c>
      <c r="C35">
        <v>46948</v>
      </c>
      <c r="D35">
        <f t="shared" si="3"/>
        <v>9.3895999999999993E-2</v>
      </c>
      <c r="E35">
        <f t="shared" si="7"/>
        <v>5.4173749999999882E-3</v>
      </c>
      <c r="F35">
        <f t="shared" si="5"/>
        <v>2708.6874999999941</v>
      </c>
      <c r="G35">
        <f t="shared" si="10"/>
        <v>15</v>
      </c>
      <c r="H35">
        <f t="shared" si="11"/>
        <v>1146.1974999999941</v>
      </c>
      <c r="J35" t="s">
        <v>17</v>
      </c>
      <c r="K35" t="s">
        <v>18</v>
      </c>
      <c r="L35">
        <f t="shared" si="6"/>
        <v>1141.3086237112566</v>
      </c>
      <c r="O35">
        <v>5.9160249999943062</v>
      </c>
    </row>
    <row r="36" spans="1:17" x14ac:dyDescent="0.3">
      <c r="A36">
        <v>4298438</v>
      </c>
      <c r="B36">
        <f t="shared" si="2"/>
        <v>8.9550791666666671E-2</v>
      </c>
      <c r="C36">
        <v>46314</v>
      </c>
      <c r="D36">
        <f t="shared" si="3"/>
        <v>9.2628000000000002E-2</v>
      </c>
      <c r="E36">
        <f t="shared" si="7"/>
        <v>3.0772083333333311E-3</v>
      </c>
      <c r="F36">
        <f t="shared" si="5"/>
        <v>1538.6041666666656</v>
      </c>
      <c r="G36">
        <f t="shared" si="10"/>
        <v>4</v>
      </c>
      <c r="H36">
        <f t="shared" si="11"/>
        <v>1121.9401666666656</v>
      </c>
      <c r="I36" t="s">
        <v>19</v>
      </c>
      <c r="J36">
        <f>J9-J31</f>
        <v>-9.7962409040154625</v>
      </c>
      <c r="K36">
        <f>SQRT(POWER(K31,2)+POWER(K9,2))</f>
        <v>7.7063400366978039</v>
      </c>
      <c r="L36">
        <f t="shared" si="6"/>
        <v>1141.3086237112566</v>
      </c>
      <c r="O36">
        <v>-18.341308333334155</v>
      </c>
    </row>
    <row r="37" spans="1:17" x14ac:dyDescent="0.3">
      <c r="A37">
        <v>4269144</v>
      </c>
      <c r="B37">
        <f t="shared" si="2"/>
        <v>8.8940500000000006E-2</v>
      </c>
      <c r="C37">
        <v>45784</v>
      </c>
      <c r="D37">
        <f t="shared" si="3"/>
        <v>9.1567999999999997E-2</v>
      </c>
      <c r="E37">
        <f t="shared" si="7"/>
        <v>2.627499999999991E-3</v>
      </c>
      <c r="F37">
        <f t="shared" si="5"/>
        <v>1313.7499999999955</v>
      </c>
      <c r="G37">
        <f t="shared" si="10"/>
        <v>2</v>
      </c>
      <c r="H37">
        <f t="shared" si="11"/>
        <v>1105.4179999999956</v>
      </c>
      <c r="L37">
        <f t="shared" si="6"/>
        <v>1141.3086237112566</v>
      </c>
      <c r="O37">
        <v>-34.8634750000042</v>
      </c>
    </row>
    <row r="38" spans="1:17" x14ac:dyDescent="0.3">
      <c r="A38">
        <v>4320606</v>
      </c>
      <c r="B38">
        <f t="shared" si="2"/>
        <v>9.0012624999999999E-2</v>
      </c>
      <c r="C38">
        <v>46087</v>
      </c>
      <c r="D38">
        <f t="shared" si="3"/>
        <v>9.2174000000000006E-2</v>
      </c>
      <c r="E38">
        <f t="shared" si="7"/>
        <v>2.161375000000007E-3</v>
      </c>
      <c r="F38">
        <f t="shared" si="5"/>
        <v>1080.6875000000034</v>
      </c>
      <c r="G38">
        <f t="shared" si="10"/>
        <v>-1</v>
      </c>
      <c r="H38">
        <f t="shared" si="11"/>
        <v>1184.8535000000034</v>
      </c>
      <c r="L38">
        <f t="shared" si="6"/>
        <v>1141.3086237112566</v>
      </c>
      <c r="O38">
        <v>44.572025000003578</v>
      </c>
    </row>
    <row r="39" spans="1:17" x14ac:dyDescent="0.3">
      <c r="A39">
        <v>4211300</v>
      </c>
      <c r="B39">
        <f t="shared" si="2"/>
        <v>8.7735416666666663E-2</v>
      </c>
      <c r="C39">
        <v>45973</v>
      </c>
      <c r="D39">
        <f t="shared" si="3"/>
        <v>9.1946E-2</v>
      </c>
      <c r="E39">
        <f t="shared" si="7"/>
        <v>4.210583333333337E-3</v>
      </c>
      <c r="F39">
        <f t="shared" si="5"/>
        <v>2105.2916666666683</v>
      </c>
      <c r="G39">
        <f t="shared" si="10"/>
        <v>9</v>
      </c>
      <c r="H39">
        <f t="shared" si="11"/>
        <v>1167.7976666666684</v>
      </c>
      <c r="L39">
        <f t="shared" si="6"/>
        <v>1141.3086237112566</v>
      </c>
      <c r="O39">
        <v>27.516191666668647</v>
      </c>
      <c r="Q39" t="s">
        <v>22</v>
      </c>
    </row>
    <row r="40" spans="1:17" x14ac:dyDescent="0.3">
      <c r="A40">
        <v>4182004</v>
      </c>
      <c r="B40">
        <f t="shared" si="2"/>
        <v>8.7125083333333339E-2</v>
      </c>
      <c r="C40">
        <v>45547</v>
      </c>
      <c r="D40">
        <f t="shared" si="3"/>
        <v>9.1093999999999994E-2</v>
      </c>
      <c r="E40">
        <f t="shared" si="7"/>
        <v>3.9689166666666553E-3</v>
      </c>
      <c r="F40">
        <f t="shared" si="5"/>
        <v>1984.4583333333276</v>
      </c>
      <c r="G40">
        <f t="shared" si="10"/>
        <v>8</v>
      </c>
      <c r="H40">
        <f t="shared" si="11"/>
        <v>1151.1303333333276</v>
      </c>
      <c r="L40">
        <f t="shared" si="6"/>
        <v>1141.3086237112566</v>
      </c>
      <c r="O40">
        <v>10.848858333327826</v>
      </c>
      <c r="Q40" cm="1">
        <f t="array" ref="Q40">SQRT(SUM(POWER(O24:O63,2)))</f>
        <v>184.86784024248098</v>
      </c>
    </row>
    <row r="41" spans="1:17" x14ac:dyDescent="0.3">
      <c r="A41">
        <v>4232702</v>
      </c>
      <c r="B41">
        <f t="shared" si="2"/>
        <v>8.8181291666666661E-2</v>
      </c>
      <c r="C41">
        <v>46059</v>
      </c>
      <c r="D41">
        <f t="shared" si="3"/>
        <v>9.2118000000000005E-2</v>
      </c>
      <c r="E41">
        <f t="shared" si="7"/>
        <v>3.9367083333333441E-3</v>
      </c>
      <c r="F41">
        <f t="shared" si="5"/>
        <v>1968.354166666672</v>
      </c>
      <c r="G41">
        <f t="shared" si="10"/>
        <v>8</v>
      </c>
      <c r="H41">
        <f t="shared" si="11"/>
        <v>1135.026166666672</v>
      </c>
      <c r="L41">
        <f t="shared" si="6"/>
        <v>1141.3086237112566</v>
      </c>
      <c r="O41">
        <v>-5.2553083333277755</v>
      </c>
    </row>
    <row r="42" spans="1:17" x14ac:dyDescent="0.3">
      <c r="A42">
        <v>4204176</v>
      </c>
      <c r="B42">
        <f t="shared" si="2"/>
        <v>8.7586999999999998E-2</v>
      </c>
      <c r="C42">
        <v>45528</v>
      </c>
      <c r="D42">
        <f t="shared" si="3"/>
        <v>9.1055999999999998E-2</v>
      </c>
      <c r="E42">
        <f t="shared" si="7"/>
        <v>3.4689999999999999E-3</v>
      </c>
      <c r="F42">
        <f t="shared" si="5"/>
        <v>1734.5</v>
      </c>
      <c r="G42">
        <f t="shared" si="10"/>
        <v>6</v>
      </c>
      <c r="H42">
        <f t="shared" si="11"/>
        <v>1109.5039999999999</v>
      </c>
      <c r="L42">
        <f t="shared" si="6"/>
        <v>1141.3086237112566</v>
      </c>
      <c r="O42">
        <v>-30.777474999999868</v>
      </c>
    </row>
    <row r="43" spans="1:17" x14ac:dyDescent="0.3">
      <c r="A43">
        <v>4254104</v>
      </c>
      <c r="B43">
        <f t="shared" si="2"/>
        <v>8.8627166666666674E-2</v>
      </c>
      <c r="C43">
        <v>46122</v>
      </c>
      <c r="D43">
        <f t="shared" si="3"/>
        <v>9.2244000000000007E-2</v>
      </c>
      <c r="E43">
        <f t="shared" si="7"/>
        <v>3.616833333333333E-3</v>
      </c>
      <c r="F43">
        <f t="shared" si="5"/>
        <v>1808.4166666666665</v>
      </c>
      <c r="G43">
        <f t="shared" si="10"/>
        <v>6</v>
      </c>
      <c r="H43">
        <f t="shared" si="11"/>
        <v>1183.4206666666664</v>
      </c>
      <c r="L43">
        <f t="shared" si="6"/>
        <v>1141.3086237112566</v>
      </c>
      <c r="O43">
        <v>43.139191666666648</v>
      </c>
    </row>
    <row r="44" spans="1:17" x14ac:dyDescent="0.3">
      <c r="A44">
        <v>4319976</v>
      </c>
      <c r="B44">
        <f t="shared" si="2"/>
        <v>8.9999499999999996E-2</v>
      </c>
      <c r="C44">
        <v>46027</v>
      </c>
      <c r="D44">
        <f t="shared" si="3"/>
        <v>9.2053999999999997E-2</v>
      </c>
      <c r="E44">
        <f t="shared" ref="E44:E63" si="12">D44-B44</f>
        <v>2.0545000000000008E-3</v>
      </c>
      <c r="F44">
        <f t="shared" si="5"/>
        <v>1027.2500000000005</v>
      </c>
      <c r="G44">
        <f t="shared" si="10"/>
        <v>-1</v>
      </c>
      <c r="H44">
        <f t="shared" si="11"/>
        <v>1131.4160000000004</v>
      </c>
      <c r="L44">
        <f t="shared" si="6"/>
        <v>1141.3086237112566</v>
      </c>
      <c r="O44">
        <v>-8.8654749999993783</v>
      </c>
    </row>
    <row r="45" spans="1:17" x14ac:dyDescent="0.3">
      <c r="A45">
        <v>4290874</v>
      </c>
      <c r="B45">
        <f t="shared" si="2"/>
        <v>8.9393208333333335E-2</v>
      </c>
      <c r="C45">
        <v>46434</v>
      </c>
      <c r="D45">
        <f t="shared" si="3"/>
        <v>9.2868000000000006E-2</v>
      </c>
      <c r="E45">
        <f t="shared" si="12"/>
        <v>3.4747916666666712E-3</v>
      </c>
      <c r="F45">
        <f t="shared" si="5"/>
        <v>1737.3958333333355</v>
      </c>
      <c r="G45">
        <f t="shared" si="10"/>
        <v>6</v>
      </c>
      <c r="H45">
        <f t="shared" si="11"/>
        <v>1112.3998333333357</v>
      </c>
      <c r="L45">
        <f t="shared" si="6"/>
        <v>1141.3086237112566</v>
      </c>
      <c r="O45">
        <v>-27.881641666664109</v>
      </c>
    </row>
    <row r="46" spans="1:17" x14ac:dyDescent="0.3">
      <c r="A46">
        <v>4340800</v>
      </c>
      <c r="B46">
        <f t="shared" si="2"/>
        <v>9.0433333333333338E-2</v>
      </c>
      <c r="C46">
        <v>45904</v>
      </c>
      <c r="D46">
        <f t="shared" si="3"/>
        <v>9.1808000000000001E-2</v>
      </c>
      <c r="E46">
        <f t="shared" si="12"/>
        <v>1.3746666666666629E-3</v>
      </c>
      <c r="F46">
        <f t="shared" si="5"/>
        <v>687.33333333333144</v>
      </c>
      <c r="G46">
        <f t="shared" si="10"/>
        <v>-4</v>
      </c>
      <c r="H46">
        <f t="shared" si="11"/>
        <v>1103.9973333333314</v>
      </c>
      <c r="L46">
        <f t="shared" si="6"/>
        <v>1141.3086237112566</v>
      </c>
      <c r="O46">
        <v>-36.284141666668347</v>
      </c>
    </row>
    <row r="47" spans="1:17" x14ac:dyDescent="0.3">
      <c r="A47">
        <v>4232262</v>
      </c>
      <c r="B47">
        <f t="shared" si="2"/>
        <v>8.8172125000000004E-2</v>
      </c>
      <c r="C47">
        <v>44853</v>
      </c>
      <c r="D47">
        <f t="shared" si="3"/>
        <v>8.9705999999999994E-2</v>
      </c>
      <c r="E47">
        <f t="shared" si="12"/>
        <v>1.5338749999999901E-3</v>
      </c>
      <c r="F47">
        <f t="shared" si="5"/>
        <v>766.937499999995</v>
      </c>
      <c r="G47">
        <f t="shared" si="10"/>
        <v>-4</v>
      </c>
      <c r="H47">
        <f t="shared" si="11"/>
        <v>1183.601499999995</v>
      </c>
      <c r="L47">
        <f t="shared" si="6"/>
        <v>1141.3086237112566</v>
      </c>
      <c r="O47">
        <v>43.320024999995212</v>
      </c>
    </row>
    <row r="48" spans="1:17" x14ac:dyDescent="0.3">
      <c r="A48">
        <v>4203546</v>
      </c>
      <c r="B48">
        <f t="shared" si="2"/>
        <v>8.7573874999999995E-2</v>
      </c>
      <c r="C48">
        <v>45886</v>
      </c>
      <c r="D48">
        <f t="shared" si="3"/>
        <v>9.1772000000000006E-2</v>
      </c>
      <c r="E48">
        <f t="shared" si="12"/>
        <v>4.1981250000000109E-3</v>
      </c>
      <c r="F48">
        <f t="shared" si="5"/>
        <v>2099.0625000000055</v>
      </c>
      <c r="G48">
        <f t="shared" si="10"/>
        <v>9</v>
      </c>
      <c r="H48">
        <f t="shared" si="11"/>
        <v>1161.5685000000055</v>
      </c>
      <c r="L48">
        <f t="shared" si="6"/>
        <v>1141.3086237112566</v>
      </c>
      <c r="O48">
        <v>21.287025000005769</v>
      </c>
    </row>
    <row r="49" spans="1:15" x14ac:dyDescent="0.3">
      <c r="A49">
        <v>4253664</v>
      </c>
      <c r="B49">
        <f t="shared" si="2"/>
        <v>8.8618000000000002E-2</v>
      </c>
      <c r="C49">
        <v>45564</v>
      </c>
      <c r="D49">
        <f t="shared" si="3"/>
        <v>9.1128000000000001E-2</v>
      </c>
      <c r="E49">
        <f t="shared" si="12"/>
        <v>2.5099999999999983E-3</v>
      </c>
      <c r="F49">
        <f t="shared" si="5"/>
        <v>1254.9999999999991</v>
      </c>
      <c r="G49">
        <f t="shared" si="10"/>
        <v>1</v>
      </c>
      <c r="H49">
        <f t="shared" si="11"/>
        <v>1150.8339999999992</v>
      </c>
      <c r="L49">
        <f t="shared" si="6"/>
        <v>1141.3086237112566</v>
      </c>
      <c r="O49">
        <v>10.552524999999378</v>
      </c>
    </row>
    <row r="50" spans="1:15" x14ac:dyDescent="0.3">
      <c r="A50">
        <v>4225140</v>
      </c>
      <c r="B50">
        <f t="shared" si="2"/>
        <v>8.8023749999999998E-2</v>
      </c>
      <c r="C50">
        <v>45971</v>
      </c>
      <c r="D50">
        <f t="shared" si="3"/>
        <v>9.1941999999999996E-2</v>
      </c>
      <c r="E50">
        <f t="shared" si="12"/>
        <v>3.9182499999999981E-3</v>
      </c>
      <c r="F50">
        <f t="shared" si="5"/>
        <v>1959.1249999999991</v>
      </c>
      <c r="G50">
        <f t="shared" si="10"/>
        <v>8</v>
      </c>
      <c r="H50">
        <f t="shared" si="11"/>
        <v>1125.7969999999991</v>
      </c>
      <c r="L50">
        <f t="shared" si="6"/>
        <v>1141.3086237112566</v>
      </c>
      <c r="O50">
        <v>-14.484475000000657</v>
      </c>
    </row>
    <row r="51" spans="1:15" x14ac:dyDescent="0.3">
      <c r="A51">
        <v>4275834</v>
      </c>
      <c r="B51">
        <f t="shared" si="2"/>
        <v>8.9079875000000003E-2</v>
      </c>
      <c r="C51">
        <v>46379</v>
      </c>
      <c r="D51">
        <f t="shared" si="3"/>
        <v>9.2757999999999993E-2</v>
      </c>
      <c r="E51">
        <f t="shared" si="12"/>
        <v>3.6781249999999904E-3</v>
      </c>
      <c r="F51">
        <f t="shared" si="5"/>
        <v>1839.0624999999952</v>
      </c>
      <c r="G51">
        <f t="shared" si="10"/>
        <v>7</v>
      </c>
      <c r="H51">
        <f t="shared" si="11"/>
        <v>1109.9004999999952</v>
      </c>
      <c r="L51">
        <f t="shared" si="6"/>
        <v>1141.3086237112566</v>
      </c>
      <c r="O51">
        <v>-30.380975000004582</v>
      </c>
    </row>
    <row r="52" spans="1:15" x14ac:dyDescent="0.3">
      <c r="A52">
        <v>4246538</v>
      </c>
      <c r="B52">
        <f t="shared" si="2"/>
        <v>8.8469541666666665E-2</v>
      </c>
      <c r="C52">
        <v>45953</v>
      </c>
      <c r="D52">
        <f t="shared" si="3"/>
        <v>9.1906000000000002E-2</v>
      </c>
      <c r="E52">
        <f t="shared" si="12"/>
        <v>3.4364583333333365E-3</v>
      </c>
      <c r="F52">
        <f t="shared" si="5"/>
        <v>1718.2291666666683</v>
      </c>
      <c r="G52">
        <f t="shared" si="10"/>
        <v>6</v>
      </c>
      <c r="H52">
        <f t="shared" si="11"/>
        <v>1093.2331666666682</v>
      </c>
      <c r="L52">
        <f t="shared" si="6"/>
        <v>1141.3086237112566</v>
      </c>
      <c r="O52">
        <v>-47.048308333331534</v>
      </c>
    </row>
    <row r="53" spans="1:15" x14ac:dyDescent="0.3">
      <c r="A53">
        <v>4347882</v>
      </c>
      <c r="B53">
        <f t="shared" si="2"/>
        <v>9.0580875000000005E-2</v>
      </c>
      <c r="C53">
        <v>46360</v>
      </c>
      <c r="D53">
        <f t="shared" si="3"/>
        <v>9.2719999999999997E-2</v>
      </c>
      <c r="E53">
        <f t="shared" si="12"/>
        <v>2.1391249999999917E-3</v>
      </c>
      <c r="F53">
        <f t="shared" si="5"/>
        <v>1069.5624999999959</v>
      </c>
      <c r="G53">
        <f t="shared" si="10"/>
        <v>-1</v>
      </c>
      <c r="H53">
        <f t="shared" si="11"/>
        <v>1173.7284999999958</v>
      </c>
      <c r="L53">
        <f t="shared" si="6"/>
        <v>1141.3086237112566</v>
      </c>
      <c r="O53">
        <v>33.447024999996074</v>
      </c>
    </row>
    <row r="54" spans="1:15" x14ac:dyDescent="0.3">
      <c r="A54">
        <v>4318780</v>
      </c>
      <c r="B54">
        <f t="shared" si="2"/>
        <v>8.997458333333333E-2</v>
      </c>
      <c r="C54">
        <v>45830</v>
      </c>
      <c r="D54">
        <f t="shared" si="3"/>
        <v>9.1660000000000005E-2</v>
      </c>
      <c r="E54">
        <f t="shared" si="12"/>
        <v>1.6854166666666753E-3</v>
      </c>
      <c r="F54">
        <f t="shared" si="5"/>
        <v>842.70833333333769</v>
      </c>
      <c r="G54">
        <f t="shared" si="10"/>
        <v>-3</v>
      </c>
      <c r="H54">
        <f t="shared" si="11"/>
        <v>1155.2063333333376</v>
      </c>
      <c r="L54">
        <f t="shared" si="6"/>
        <v>1141.3086237112566</v>
      </c>
      <c r="O54">
        <v>14.924858333337852</v>
      </c>
    </row>
    <row r="55" spans="1:15" x14ac:dyDescent="0.3">
      <c r="A55">
        <v>4290042</v>
      </c>
      <c r="B55">
        <f t="shared" si="2"/>
        <v>8.9375874999999994E-2</v>
      </c>
      <c r="C55">
        <v>46341</v>
      </c>
      <c r="D55">
        <f t="shared" si="3"/>
        <v>9.2682E-2</v>
      </c>
      <c r="E55">
        <f t="shared" si="12"/>
        <v>3.306125000000007E-3</v>
      </c>
      <c r="F55">
        <f t="shared" si="5"/>
        <v>1653.0625000000034</v>
      </c>
      <c r="G55">
        <f t="shared" si="10"/>
        <v>5</v>
      </c>
      <c r="H55">
        <f t="shared" si="11"/>
        <v>1132.2325000000035</v>
      </c>
      <c r="L55">
        <f t="shared" si="6"/>
        <v>1141.3086237112566</v>
      </c>
      <c r="O55">
        <v>-8.0489749999962896</v>
      </c>
    </row>
    <row r="56" spans="1:15" x14ac:dyDescent="0.3">
      <c r="A56">
        <v>4260170</v>
      </c>
      <c r="B56">
        <f t="shared" si="2"/>
        <v>8.8753541666666672E-2</v>
      </c>
      <c r="C56">
        <v>45811</v>
      </c>
      <c r="D56">
        <f t="shared" si="3"/>
        <v>9.1621999999999995E-2</v>
      </c>
      <c r="E56">
        <f t="shared" si="12"/>
        <v>2.8684583333333236E-3</v>
      </c>
      <c r="F56">
        <f t="shared" si="5"/>
        <v>1434.2291666666617</v>
      </c>
      <c r="G56">
        <f t="shared" si="10"/>
        <v>3</v>
      </c>
      <c r="H56">
        <f t="shared" si="11"/>
        <v>1121.7311666666617</v>
      </c>
      <c r="L56">
        <f t="shared" si="6"/>
        <v>1141.3086237112566</v>
      </c>
      <c r="O56">
        <v>-18.55030833333808</v>
      </c>
    </row>
    <row r="57" spans="1:15" x14ac:dyDescent="0.3">
      <c r="A57">
        <v>4231452</v>
      </c>
      <c r="B57">
        <f t="shared" si="2"/>
        <v>8.8155250000000004E-2</v>
      </c>
      <c r="C57">
        <v>46219</v>
      </c>
      <c r="D57">
        <f t="shared" si="3"/>
        <v>9.2438000000000006E-2</v>
      </c>
      <c r="E57">
        <f t="shared" si="12"/>
        <v>4.2827500000000018E-3</v>
      </c>
      <c r="F57">
        <f t="shared" si="5"/>
        <v>2141.3750000000009</v>
      </c>
      <c r="G57">
        <f t="shared" si="10"/>
        <v>10</v>
      </c>
      <c r="H57">
        <f t="shared" si="11"/>
        <v>1099.7150000000011</v>
      </c>
      <c r="L57">
        <f t="shared" si="6"/>
        <v>1141.3086237112566</v>
      </c>
      <c r="O57">
        <v>-40.566474999998718</v>
      </c>
    </row>
    <row r="58" spans="1:15" x14ac:dyDescent="0.3">
      <c r="A58">
        <v>4282340</v>
      </c>
      <c r="B58">
        <f t="shared" si="2"/>
        <v>8.9215416666666672E-2</v>
      </c>
      <c r="C58">
        <v>45897</v>
      </c>
      <c r="D58">
        <f t="shared" si="3"/>
        <v>9.1794000000000001E-2</v>
      </c>
      <c r="E58">
        <f t="shared" si="12"/>
        <v>2.5785833333333286E-3</v>
      </c>
      <c r="F58">
        <f t="shared" si="5"/>
        <v>1289.2916666666642</v>
      </c>
      <c r="G58">
        <f t="shared" si="10"/>
        <v>1</v>
      </c>
      <c r="H58">
        <f t="shared" si="11"/>
        <v>1185.1256666666643</v>
      </c>
      <c r="L58">
        <f t="shared" si="6"/>
        <v>1141.3086237112566</v>
      </c>
      <c r="O58">
        <v>44.844191666664528</v>
      </c>
    </row>
    <row r="59" spans="1:15" x14ac:dyDescent="0.3">
      <c r="A59">
        <v>4253044</v>
      </c>
      <c r="B59">
        <f t="shared" si="2"/>
        <v>8.8605083333333334E-2</v>
      </c>
      <c r="C59">
        <v>46304</v>
      </c>
      <c r="D59">
        <f t="shared" si="3"/>
        <v>9.2607999999999996E-2</v>
      </c>
      <c r="E59">
        <f t="shared" si="12"/>
        <v>4.0029166666666616E-3</v>
      </c>
      <c r="F59">
        <f t="shared" si="5"/>
        <v>2001.4583333333308</v>
      </c>
      <c r="G59">
        <f t="shared" si="10"/>
        <v>8</v>
      </c>
      <c r="H59">
        <f t="shared" si="11"/>
        <v>1168.1303333333308</v>
      </c>
      <c r="L59">
        <f t="shared" si="6"/>
        <v>1141.3086237112566</v>
      </c>
      <c r="O59">
        <v>27.848858333331009</v>
      </c>
    </row>
    <row r="60" spans="1:15" x14ac:dyDescent="0.3">
      <c r="A60">
        <v>4304316</v>
      </c>
      <c r="B60">
        <f t="shared" si="2"/>
        <v>8.9673249999999996E-2</v>
      </c>
      <c r="C60">
        <v>46399</v>
      </c>
      <c r="D60">
        <f t="shared" si="3"/>
        <v>9.2798000000000005E-2</v>
      </c>
      <c r="E60">
        <f t="shared" si="12"/>
        <v>3.1247500000000095E-3</v>
      </c>
      <c r="F60">
        <f t="shared" si="5"/>
        <v>1562.3750000000048</v>
      </c>
      <c r="G60">
        <f t="shared" si="10"/>
        <v>4</v>
      </c>
      <c r="H60">
        <f t="shared" si="11"/>
        <v>1145.7110000000048</v>
      </c>
      <c r="L60">
        <f t="shared" si="6"/>
        <v>1141.3086237112566</v>
      </c>
      <c r="O60">
        <v>5.4295250000050146</v>
      </c>
    </row>
    <row r="61" spans="1:15" x14ac:dyDescent="0.3">
      <c r="A61">
        <v>4354434</v>
      </c>
      <c r="B61">
        <f t="shared" si="2"/>
        <v>9.0717375000000003E-2</v>
      </c>
      <c r="C61">
        <v>46285</v>
      </c>
      <c r="D61">
        <f t="shared" si="3"/>
        <v>9.257E-2</v>
      </c>
      <c r="E61">
        <f t="shared" si="12"/>
        <v>1.8526249999999966E-3</v>
      </c>
      <c r="F61">
        <f t="shared" si="5"/>
        <v>926.31249999999829</v>
      </c>
      <c r="G61">
        <f t="shared" si="10"/>
        <v>-2</v>
      </c>
      <c r="H61">
        <f t="shared" si="11"/>
        <v>1134.6444999999983</v>
      </c>
      <c r="L61">
        <f t="shared" si="6"/>
        <v>1141.3086237112566</v>
      </c>
      <c r="O61">
        <v>-5.6369750000014847</v>
      </c>
    </row>
    <row r="62" spans="1:15" x14ac:dyDescent="0.3">
      <c r="A62">
        <v>4325910</v>
      </c>
      <c r="B62">
        <f t="shared" si="2"/>
        <v>9.0123124999999998E-2</v>
      </c>
      <c r="C62">
        <v>46693</v>
      </c>
      <c r="D62">
        <f t="shared" si="3"/>
        <v>9.3385999999999997E-2</v>
      </c>
      <c r="E62">
        <f t="shared" si="12"/>
        <v>3.2628749999999984E-3</v>
      </c>
      <c r="F62">
        <f t="shared" si="5"/>
        <v>1631.4374999999993</v>
      </c>
      <c r="G62">
        <f t="shared" si="10"/>
        <v>5</v>
      </c>
      <c r="H62">
        <f t="shared" si="11"/>
        <v>1110.6074999999994</v>
      </c>
      <c r="L62">
        <f t="shared" si="6"/>
        <v>1141.3086237112566</v>
      </c>
      <c r="O62">
        <v>-29.673975000000382</v>
      </c>
    </row>
    <row r="63" spans="1:15" x14ac:dyDescent="0.3">
      <c r="A63">
        <v>4297168</v>
      </c>
      <c r="B63">
        <f t="shared" si="2"/>
        <v>8.9524333333333331E-2</v>
      </c>
      <c r="C63">
        <v>46453</v>
      </c>
      <c r="D63">
        <f t="shared" si="3"/>
        <v>9.2906000000000002E-2</v>
      </c>
      <c r="E63">
        <f t="shared" si="12"/>
        <v>3.3816666666666717E-3</v>
      </c>
      <c r="F63">
        <f t="shared" si="5"/>
        <v>1690.8333333333358</v>
      </c>
      <c r="G63">
        <f t="shared" si="10"/>
        <v>5</v>
      </c>
      <c r="H63">
        <f t="shared" si="11"/>
        <v>1170.0033333333358</v>
      </c>
      <c r="L63">
        <f t="shared" si="6"/>
        <v>1141.3086237112566</v>
      </c>
      <c r="O63">
        <v>29.721858333336058</v>
      </c>
    </row>
    <row r="69" spans="9:9" x14ac:dyDescent="0.3">
      <c r="I69">
        <f>COUNT(H24:H63)</f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159E-8885-489B-BC00-686BA6D2D450}">
  <dimension ref="A1:O19"/>
  <sheetViews>
    <sheetView tabSelected="1" topLeftCell="A33" workbookViewId="0">
      <selection activeCell="F17" sqref="F17"/>
    </sheetView>
  </sheetViews>
  <sheetFormatPr defaultRowHeight="14.4" x14ac:dyDescent="0.3"/>
  <cols>
    <col min="1" max="1" width="31" customWidth="1"/>
    <col min="2" max="2" width="12" bestFit="1" customWidth="1"/>
    <col min="10" max="10" width="32.5546875" customWidth="1"/>
    <col min="11" max="11" width="10" bestFit="1" customWidth="1"/>
    <col min="14" max="14" width="11" bestFit="1" customWidth="1"/>
  </cols>
  <sheetData>
    <row r="1" spans="1:15" ht="15" thickBot="1" x14ac:dyDescent="0.35">
      <c r="A1" t="s">
        <v>8</v>
      </c>
      <c r="B1">
        <v>1200</v>
      </c>
      <c r="C1">
        <v>2400</v>
      </c>
      <c r="D1">
        <v>4800</v>
      </c>
      <c r="E1">
        <v>9600</v>
      </c>
    </row>
    <row r="2" spans="1:15" ht="15.6" thickTop="1" thickBot="1" x14ac:dyDescent="0.35">
      <c r="A2" s="1" t="s">
        <v>37</v>
      </c>
    </row>
    <row r="3" spans="1:15" ht="15" thickTop="1" x14ac:dyDescent="0.3">
      <c r="A3" t="s">
        <v>36</v>
      </c>
      <c r="B3">
        <v>127.92746411080201</v>
      </c>
      <c r="C3">
        <v>62.613530697912978</v>
      </c>
      <c r="D3">
        <v>30.901732141140926</v>
      </c>
      <c r="E3">
        <v>14.877043536232366</v>
      </c>
    </row>
    <row r="4" spans="1:15" x14ac:dyDescent="0.3">
      <c r="A4" t="s">
        <v>34</v>
      </c>
      <c r="B4">
        <f>B3*2</f>
        <v>255.85492822160401</v>
      </c>
      <c r="C4">
        <f t="shared" ref="C4:E4" si="0">C3*2</f>
        <v>125.22706139582596</v>
      </c>
      <c r="D4">
        <f t="shared" si="0"/>
        <v>61.803464282281851</v>
      </c>
      <c r="E4">
        <f t="shared" si="0"/>
        <v>29.754087072464731</v>
      </c>
      <c r="J4" t="s">
        <v>8</v>
      </c>
      <c r="K4">
        <v>1200</v>
      </c>
      <c r="L4">
        <v>2400</v>
      </c>
      <c r="M4">
        <v>4800</v>
      </c>
      <c r="N4">
        <v>9600</v>
      </c>
      <c r="O4">
        <v>19200</v>
      </c>
    </row>
    <row r="5" spans="1:15" x14ac:dyDescent="0.3">
      <c r="A5" t="s">
        <v>35</v>
      </c>
      <c r="B5">
        <f>B4/1000000</f>
        <v>2.5585492822160404E-4</v>
      </c>
      <c r="C5">
        <f t="shared" ref="C5:E5" si="1">C4/1000000</f>
        <v>1.2522706139582595E-4</v>
      </c>
      <c r="D5">
        <f t="shared" si="1"/>
        <v>6.1803464282281855E-5</v>
      </c>
      <c r="E5">
        <f t="shared" si="1"/>
        <v>2.9754087072464731E-5</v>
      </c>
      <c r="J5" t="s">
        <v>33</v>
      </c>
      <c r="K5">
        <f>B6</f>
        <v>76.70337782296825</v>
      </c>
      <c r="L5">
        <f t="shared" ref="L5:N5" si="2">C6</f>
        <v>37.542128543971572</v>
      </c>
      <c r="M5">
        <f t="shared" si="2"/>
        <v>18.528212470100485</v>
      </c>
      <c r="N5">
        <f t="shared" si="2"/>
        <v>8.9200508990002252</v>
      </c>
      <c r="O5">
        <f>N5/2</f>
        <v>4.4600254495001126</v>
      </c>
    </row>
    <row r="6" spans="1:15" x14ac:dyDescent="0.3">
      <c r="A6" t="s">
        <v>19</v>
      </c>
      <c r="B6">
        <f>B5*B8/1000</f>
        <v>76.70337782296825</v>
      </c>
      <c r="C6">
        <f t="shared" ref="C6:E6" si="3">C5*C8/1000</f>
        <v>37.542128543971572</v>
      </c>
      <c r="D6">
        <f t="shared" si="3"/>
        <v>18.528212470100485</v>
      </c>
      <c r="E6">
        <f t="shared" si="3"/>
        <v>8.9200508990002252</v>
      </c>
      <c r="K6">
        <f t="shared" ref="K6:M6" si="4">K4*K5</f>
        <v>92044.0533875619</v>
      </c>
      <c r="L6">
        <f t="shared" si="4"/>
        <v>90101.108505531767</v>
      </c>
      <c r="M6">
        <f t="shared" si="4"/>
        <v>88935.419856482331</v>
      </c>
      <c r="N6">
        <f>N4*N5</f>
        <v>85632.488630402164</v>
      </c>
    </row>
    <row r="7" spans="1:15" x14ac:dyDescent="0.3">
      <c r="J7" t="s">
        <v>40</v>
      </c>
      <c r="K7">
        <f>COUNT('1200bps'!H3:H8)</f>
        <v>6</v>
      </c>
      <c r="L7">
        <v>10</v>
      </c>
      <c r="M7">
        <v>40</v>
      </c>
      <c r="N7">
        <v>20</v>
      </c>
    </row>
    <row r="8" spans="1:15" x14ac:dyDescent="0.3">
      <c r="B8">
        <v>299792458</v>
      </c>
      <c r="C8">
        <v>299792458</v>
      </c>
      <c r="D8">
        <v>299792458</v>
      </c>
      <c r="E8">
        <v>299792458</v>
      </c>
    </row>
    <row r="9" spans="1:15" x14ac:dyDescent="0.3">
      <c r="J9" t="s">
        <v>41</v>
      </c>
      <c r="K9">
        <f>299792.458/(3*K4)</f>
        <v>83.275682777777774</v>
      </c>
      <c r="L9">
        <f t="shared" ref="L9:N9" si="5">299792.458/(3*L4)</f>
        <v>41.637841388888887</v>
      </c>
      <c r="M9">
        <f t="shared" si="5"/>
        <v>20.818920694444444</v>
      </c>
      <c r="N9">
        <f t="shared" si="5"/>
        <v>10.409460347222222</v>
      </c>
    </row>
    <row r="12" spans="1:15" x14ac:dyDescent="0.3">
      <c r="K12">
        <f>2*K5/SQRT(K7)</f>
        <v>62.628045738061147</v>
      </c>
      <c r="L12">
        <f t="shared" ref="L12:N12" si="6">2*L5/SQRT(L7)</f>
        <v>23.743726881954188</v>
      </c>
      <c r="M12">
        <f t="shared" si="6"/>
        <v>5.8591352377051944</v>
      </c>
      <c r="N12">
        <f t="shared" si="6"/>
        <v>3.9891680345845226</v>
      </c>
    </row>
    <row r="15" spans="1:15" x14ac:dyDescent="0.3">
      <c r="K15">
        <f>RSQ(K9:N9,K5:N5)</f>
        <v>0.99995346765002469</v>
      </c>
    </row>
    <row r="17" spans="11:15" x14ac:dyDescent="0.3">
      <c r="K17">
        <f>ROUND(POWER(K5,2),0)</f>
        <v>5883</v>
      </c>
      <c r="L17">
        <f t="shared" ref="L17:O17" si="7">ROUND(POWER(L5,2),0)</f>
        <v>1409</v>
      </c>
      <c r="M17">
        <f t="shared" si="7"/>
        <v>343</v>
      </c>
      <c r="N17">
        <f t="shared" si="7"/>
        <v>80</v>
      </c>
      <c r="O17">
        <f t="shared" si="7"/>
        <v>20</v>
      </c>
    </row>
    <row r="19" spans="11:15" x14ac:dyDescent="0.3">
      <c r="K19">
        <f>64*8*K17/K4</f>
        <v>2510.08</v>
      </c>
      <c r="L19">
        <f t="shared" ref="L19:O19" si="8">64*8*L17/L4</f>
        <v>300.58666666666664</v>
      </c>
      <c r="M19">
        <f t="shared" si="8"/>
        <v>36.586666666666666</v>
      </c>
      <c r="N19">
        <f t="shared" si="8"/>
        <v>4.2666666666666666</v>
      </c>
      <c r="O19">
        <f t="shared" si="8"/>
        <v>0.53333333333333333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bde371-2a4c-4d57-9233-9ce0b39d4d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11" ma:contentTypeDescription="Een nieuw document maken." ma:contentTypeScope="" ma:versionID="5fb47083d024ca4c2a62a078d89e5e5f">
  <xsd:schema xmlns:xsd="http://www.w3.org/2001/XMLSchema" xmlns:xs="http://www.w3.org/2001/XMLSchema" xmlns:p="http://schemas.microsoft.com/office/2006/metadata/properties" xmlns:ns3="b0bde371-2a4c-4d57-9233-9ce0b39d4d93" xmlns:ns4="dd823be6-035a-40d2-86c5-15d0bc05d6f0" targetNamespace="http://schemas.microsoft.com/office/2006/metadata/properties" ma:root="true" ma:fieldsID="954a3d3739d4c5f5af4a5321d9c08d06" ns3:_="" ns4:_="">
    <xsd:import namespace="b0bde371-2a4c-4d57-9233-9ce0b39d4d93"/>
    <xsd:import namespace="dd823be6-035a-40d2-86c5-15d0bc05d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de371-2a4c-4d57-9233-9ce0b39d4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23be6-035a-40d2-86c5-15d0bc05d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DD2EEB-ED07-4478-9BF1-5A6B35263C9E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b0bde371-2a4c-4d57-9233-9ce0b39d4d93"/>
    <ds:schemaRef ds:uri="http://www.w3.org/XML/1998/namespace"/>
    <ds:schemaRef ds:uri="dd823be6-035a-40d2-86c5-15d0bc05d6f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316EA9-BDB4-40F9-A979-CF4BD86702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B6E60-CE1A-4993-9ABF-77F00ECC1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de371-2a4c-4d57-9233-9ce0b39d4d93"/>
    <ds:schemaRef ds:uri="dd823be6-035a-40d2-86c5-15d0bc05d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2400bps</vt:lpstr>
      <vt:lpstr>9600bps</vt:lpstr>
      <vt:lpstr>Test</vt:lpstr>
      <vt:lpstr>1200bps</vt:lpstr>
      <vt:lpstr>4800bps</vt:lpstr>
      <vt:lpstr>Graph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Srikanth</dc:creator>
  <cp:lastModifiedBy>Vikram Srikanth</cp:lastModifiedBy>
  <dcterms:created xsi:type="dcterms:W3CDTF">2023-10-23T14:27:54Z</dcterms:created>
  <dcterms:modified xsi:type="dcterms:W3CDTF">2024-01-11T11:15:09Z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