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College\Year 2\Team Project\Business Plan\"/>
    </mc:Choice>
  </mc:AlternateContent>
  <bookViews>
    <workbookView xWindow="0" yWindow="0" windowWidth="23040" windowHeight="10308" xr2:uid="{00000000-000D-0000-FFFF-FFFF00000000}"/>
  </bookViews>
  <sheets>
    <sheet name="P&amp;L Statement" sheetId="1" r:id="rId1"/>
    <sheet name="12_Month_CashFlow" sheetId="2" r:id="rId2"/>
  </sheets>
  <definedNames>
    <definedName name="_xlnm.Print_Titles" localSheetId="0">'P&amp;L Statement'!$9:$10</definedName>
  </definedNames>
  <calcPr calcId="171027"/>
</workbook>
</file>

<file path=xl/calcChain.xml><?xml version="1.0" encoding="utf-8"?>
<calcChain xmlns="http://schemas.openxmlformats.org/spreadsheetml/2006/main">
  <c r="F17" i="2" l="1"/>
  <c r="K17" i="2"/>
  <c r="I17" i="2"/>
  <c r="H17" i="2"/>
  <c r="G17" i="2"/>
  <c r="E17" i="2"/>
  <c r="P37" i="2"/>
  <c r="V17" i="2"/>
  <c r="V19" i="2"/>
  <c r="V20" i="2"/>
  <c r="L18" i="2" s="1"/>
  <c r="W24" i="2"/>
  <c r="U25" i="2"/>
  <c r="W25" i="2"/>
  <c r="W34" i="2"/>
  <c r="W38" i="2"/>
  <c r="W39" i="2"/>
  <c r="X43" i="2"/>
  <c r="R27" i="2" s="1"/>
  <c r="W46" i="2"/>
  <c r="W47" i="2"/>
  <c r="W50" i="2" s="1"/>
  <c r="W48" i="2"/>
  <c r="W49" i="2"/>
  <c r="X53" i="2"/>
  <c r="M26" i="2" s="1"/>
  <c r="D17" i="2"/>
  <c r="N17" i="2"/>
  <c r="O17" i="2"/>
  <c r="M17" i="2"/>
  <c r="L17" i="2"/>
  <c r="E33" i="2"/>
  <c r="F33" i="2"/>
  <c r="G33" i="2"/>
  <c r="H33" i="2"/>
  <c r="I33" i="2"/>
  <c r="J33" i="2"/>
  <c r="K33" i="2"/>
  <c r="L33" i="2"/>
  <c r="M33" i="2"/>
  <c r="N33" i="2"/>
  <c r="O33" i="2"/>
  <c r="D33" i="2"/>
  <c r="J17" i="2"/>
  <c r="D51" i="2"/>
  <c r="D42" i="1" s="1"/>
  <c r="D43" i="1"/>
  <c r="P35" i="2"/>
  <c r="D22" i="1" s="1"/>
  <c r="W41" i="2" l="1"/>
  <c r="R23" i="2" s="1"/>
  <c r="J18" i="2"/>
  <c r="K18" i="2"/>
  <c r="O18" i="2"/>
  <c r="P17" i="2"/>
  <c r="E16" i="2"/>
  <c r="F16" i="2"/>
  <c r="G16" i="2"/>
  <c r="H16" i="2"/>
  <c r="N16" i="2"/>
  <c r="D16" i="2"/>
  <c r="P24" i="2"/>
  <c r="D46" i="1" s="1"/>
  <c r="N26" i="2"/>
  <c r="P46" i="2"/>
  <c r="N46" i="2" s="1"/>
  <c r="O46" i="2"/>
  <c r="O16" i="2" s="1"/>
  <c r="L46" i="2"/>
  <c r="L8" i="2" s="1"/>
  <c r="L11" i="2" s="1"/>
  <c r="K46" i="2"/>
  <c r="K16" i="2" s="1"/>
  <c r="P38" i="2"/>
  <c r="C36" i="2"/>
  <c r="C42" i="2" s="1"/>
  <c r="P34" i="2"/>
  <c r="P33" i="2"/>
  <c r="P32" i="2"/>
  <c r="P28" i="2"/>
  <c r="D41" i="1" s="1"/>
  <c r="L27" i="2"/>
  <c r="E27" i="2"/>
  <c r="P22" i="2"/>
  <c r="D44" i="1" s="1"/>
  <c r="P21" i="2"/>
  <c r="D37" i="1" s="1"/>
  <c r="P20" i="2"/>
  <c r="D36" i="1" s="1"/>
  <c r="D11" i="2"/>
  <c r="C11" i="2"/>
  <c r="C12" i="2" s="1"/>
  <c r="H8" i="2"/>
  <c r="H11" i="2" s="1"/>
  <c r="G8" i="2"/>
  <c r="G11" i="2" s="1"/>
  <c r="F8" i="2"/>
  <c r="F11" i="2" s="1"/>
  <c r="E8" i="2"/>
  <c r="E11" i="2" s="1"/>
  <c r="D8" i="2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C43" i="2" l="1"/>
  <c r="D5" i="2" s="1"/>
  <c r="D12" i="2" s="1"/>
  <c r="L16" i="2"/>
  <c r="F23" i="2"/>
  <c r="D19" i="1"/>
  <c r="O26" i="2"/>
  <c r="P26" i="2"/>
  <c r="D39" i="1" s="1"/>
  <c r="D20" i="1"/>
  <c r="L19" i="2"/>
  <c r="L36" i="2" s="1"/>
  <c r="L42" i="2" s="1"/>
  <c r="H19" i="2"/>
  <c r="J19" i="2"/>
  <c r="M18" i="2"/>
  <c r="M19" i="2" s="1"/>
  <c r="O19" i="2"/>
  <c r="K19" i="2"/>
  <c r="G19" i="2"/>
  <c r="N18" i="2"/>
  <c r="N19" i="2" s="1"/>
  <c r="I19" i="2"/>
  <c r="N8" i="2"/>
  <c r="N11" i="2" s="1"/>
  <c r="F27" i="2"/>
  <c r="J27" i="2"/>
  <c r="N27" i="2"/>
  <c r="K8" i="2"/>
  <c r="K11" i="2" s="1"/>
  <c r="O8" i="2"/>
  <c r="O11" i="2" s="1"/>
  <c r="G27" i="2"/>
  <c r="K27" i="2"/>
  <c r="O27" i="2"/>
  <c r="I46" i="2"/>
  <c r="I16" i="2" s="1"/>
  <c r="M46" i="2"/>
  <c r="M16" i="2" s="1"/>
  <c r="I27" i="2"/>
  <c r="M27" i="2"/>
  <c r="D27" i="2"/>
  <c r="H27" i="2"/>
  <c r="J46" i="2"/>
  <c r="J16" i="2" s="1"/>
  <c r="K36" i="2" l="1"/>
  <c r="K42" i="2" s="1"/>
  <c r="P16" i="2"/>
  <c r="D21" i="1" s="1"/>
  <c r="N36" i="2"/>
  <c r="N42" i="2" s="1"/>
  <c r="J23" i="2"/>
  <c r="O23" i="2"/>
  <c r="D23" i="1"/>
  <c r="E19" i="2"/>
  <c r="E36" i="2" s="1"/>
  <c r="E42" i="2" s="1"/>
  <c r="G36" i="2"/>
  <c r="G42" i="2" s="1"/>
  <c r="M36" i="2"/>
  <c r="M42" i="2" s="1"/>
  <c r="M8" i="2"/>
  <c r="M11" i="2" s="1"/>
  <c r="P27" i="2"/>
  <c r="D40" i="1" s="1"/>
  <c r="I36" i="2"/>
  <c r="I42" i="2" s="1"/>
  <c r="I8" i="2"/>
  <c r="H36" i="2"/>
  <c r="H42" i="2" s="1"/>
  <c r="J8" i="2"/>
  <c r="J11" i="2" s="1"/>
  <c r="J36" i="2"/>
  <c r="J42" i="2" s="1"/>
  <c r="F19" i="2"/>
  <c r="F36" i="2" s="1"/>
  <c r="F42" i="2" s="1"/>
  <c r="P18" i="2"/>
  <c r="D19" i="2"/>
  <c r="D36" i="2" s="1"/>
  <c r="D42" i="2" s="1"/>
  <c r="D43" i="2" s="1"/>
  <c r="E5" i="2" s="1"/>
  <c r="E12" i="2" s="1"/>
  <c r="P23" i="2" l="1"/>
  <c r="D28" i="1" s="1"/>
  <c r="O36" i="2"/>
  <c r="O42" i="2" s="1"/>
  <c r="D35" i="1"/>
  <c r="I11" i="2"/>
  <c r="P8" i="2"/>
  <c r="E43" i="2"/>
  <c r="F5" i="2" s="1"/>
  <c r="F12" i="2" s="1"/>
  <c r="F43" i="2" s="1"/>
  <c r="G5" i="2" s="1"/>
  <c r="G12" i="2" s="1"/>
  <c r="G43" i="2" s="1"/>
  <c r="H5" i="2" s="1"/>
  <c r="H12" i="2" s="1"/>
  <c r="H43" i="2" s="1"/>
  <c r="I5" i="2" s="1"/>
  <c r="P19" i="2"/>
  <c r="D45" i="1" s="1"/>
  <c r="P11" i="2" l="1"/>
  <c r="D12" i="1"/>
  <c r="I12" i="2"/>
  <c r="I43" i="2" s="1"/>
  <c r="J5" i="2" s="1"/>
  <c r="J12" i="2" s="1"/>
  <c r="J43" i="2" s="1"/>
  <c r="K5" i="2" s="1"/>
  <c r="K12" i="2" s="1"/>
  <c r="K43" i="2" s="1"/>
  <c r="L5" i="2" s="1"/>
  <c r="L12" i="2" s="1"/>
  <c r="L43" i="2" s="1"/>
  <c r="M5" i="2" s="1"/>
  <c r="M12" i="2" s="1"/>
  <c r="M43" i="2" s="1"/>
  <c r="N5" i="2" s="1"/>
  <c r="N12" i="2" s="1"/>
  <c r="N43" i="2" s="1"/>
  <c r="O5" i="2" s="1"/>
  <c r="O12" i="2" s="1"/>
  <c r="O43" i="2" s="1"/>
  <c r="D47" i="1"/>
  <c r="P36" i="2"/>
  <c r="P42" i="2" s="1"/>
  <c r="P5" i="2" l="1"/>
  <c r="P12" i="2" s="1"/>
  <c r="P43" i="2" s="1"/>
  <c r="C16" i="1" l="1"/>
  <c r="C23" i="1"/>
  <c r="C47" i="1"/>
  <c r="G47" i="1" s="1"/>
  <c r="D16" i="1"/>
  <c r="G16" i="1" s="1"/>
  <c r="B16" i="1"/>
  <c r="B23" i="1"/>
  <c r="B47" i="1"/>
  <c r="F12" i="1"/>
  <c r="G12" i="1"/>
  <c r="C57" i="1"/>
  <c r="B57" i="1"/>
  <c r="G55" i="1"/>
  <c r="F55" i="1"/>
  <c r="G54" i="1"/>
  <c r="F54" i="1"/>
  <c r="G51" i="1"/>
  <c r="F51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2" i="1"/>
  <c r="F22" i="1"/>
  <c r="G21" i="1"/>
  <c r="F21" i="1"/>
  <c r="G20" i="1"/>
  <c r="F20" i="1"/>
  <c r="G19" i="1"/>
  <c r="F19" i="1"/>
  <c r="G15" i="1"/>
  <c r="F15" i="1"/>
  <c r="G14" i="1"/>
  <c r="F14" i="1"/>
  <c r="G13" i="1"/>
  <c r="F13" i="1"/>
  <c r="F16" i="1" l="1"/>
  <c r="E31" i="1"/>
  <c r="E46" i="1"/>
  <c r="E34" i="1"/>
  <c r="E16" i="1"/>
  <c r="E15" i="1"/>
  <c r="E38" i="1"/>
  <c r="E22" i="1"/>
  <c r="E42" i="1"/>
  <c r="E12" i="1"/>
  <c r="E19" i="1"/>
  <c r="E28" i="1"/>
  <c r="E35" i="1"/>
  <c r="E39" i="1"/>
  <c r="E43" i="1"/>
  <c r="E51" i="1"/>
  <c r="B25" i="1"/>
  <c r="E13" i="1"/>
  <c r="E20" i="1"/>
  <c r="E29" i="1"/>
  <c r="E32" i="1"/>
  <c r="E36" i="1"/>
  <c r="E40" i="1"/>
  <c r="E44" i="1"/>
  <c r="E54" i="1"/>
  <c r="E14" i="1"/>
  <c r="E21" i="1"/>
  <c r="E30" i="1"/>
  <c r="E33" i="1"/>
  <c r="E37" i="1"/>
  <c r="E41" i="1"/>
  <c r="E45" i="1"/>
  <c r="E55" i="1"/>
  <c r="C25" i="1"/>
  <c r="G25" i="1" s="1"/>
  <c r="B49" i="1"/>
  <c r="F49" i="1" s="1"/>
  <c r="D25" i="1"/>
  <c r="E25" i="1" s="1"/>
  <c r="F23" i="1"/>
  <c r="E47" i="1"/>
  <c r="E23" i="1"/>
  <c r="G23" i="1"/>
  <c r="F47" i="1"/>
  <c r="F25" i="1"/>
  <c r="B59" i="1" l="1"/>
  <c r="F59" i="1" s="1"/>
  <c r="D49" i="1"/>
  <c r="D56" i="1" s="1"/>
  <c r="G56" i="1" s="1"/>
  <c r="C49" i="1"/>
  <c r="G49" i="1" s="1"/>
  <c r="B6" i="1"/>
  <c r="C59" i="1" l="1"/>
  <c r="G59" i="1" s="1"/>
  <c r="D57" i="1"/>
  <c r="D59" i="1" s="1"/>
  <c r="E59" i="1" s="1"/>
  <c r="F56" i="1"/>
  <c r="E56" i="1"/>
  <c r="E49" i="1"/>
  <c r="B7" i="1" l="1"/>
  <c r="G57" i="1"/>
  <c r="F57" i="1"/>
  <c r="E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D18" authorId="0" shapeId="0" xr:uid="{B0BBF123-CF00-4863-8C67-57532ACFD085}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First 6 months no Director Salary</t>
        </r>
      </text>
    </comment>
    <comment ref="M21" authorId="0" shapeId="0" xr:uid="{C0096E52-7E5B-4EBE-8ABC-A3D693D8E241}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New Office equipment purchased in October</t>
        </r>
      </text>
    </comment>
    <comment ref="M26" authorId="0" shapeId="0" xr:uid="{4E7E854C-DBA0-4EC9-97AE-30E7AC008F7C}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Monthly rent plus one time deposit of €5000</t>
        </r>
      </text>
    </comment>
    <comment ref="M34" authorId="0" shapeId="0" xr:uid="{3945184D-D9E4-4C45-BCF6-EB41F67FD8AC}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Increase license requirements with new premises</t>
        </r>
      </text>
    </comment>
  </commentList>
</comments>
</file>

<file path=xl/sharedStrings.xml><?xml version="1.0" encoding="utf-8"?>
<sst xmlns="http://schemas.openxmlformats.org/spreadsheetml/2006/main" count="136" uniqueCount="117">
  <si>
    <t>Outside services</t>
  </si>
  <si>
    <t>Repairs and maintenance</t>
  </si>
  <si>
    <t>Advertising</t>
  </si>
  <si>
    <t>Rent</t>
  </si>
  <si>
    <t>Telephone</t>
  </si>
  <si>
    <t>Utilities</t>
  </si>
  <si>
    <t>Insurance</t>
  </si>
  <si>
    <t>Other expenses (specify)</t>
  </si>
  <si>
    <t>Cost of Sales</t>
  </si>
  <si>
    <t>Depreciation</t>
  </si>
  <si>
    <t>Profit and Loss Statement</t>
  </si>
  <si>
    <t>Direct marketing</t>
  </si>
  <si>
    <t>Meals and entertainment</t>
  </si>
  <si>
    <t>Wages and salaries</t>
  </si>
  <si>
    <t>Taxes</t>
  </si>
  <si>
    <t>Payroll taxes</t>
  </si>
  <si>
    <t>Prior Period</t>
  </si>
  <si>
    <t>Budget</t>
  </si>
  <si>
    <t>Current Period</t>
  </si>
  <si>
    <t xml:space="preserve">  % Change from Prior Period</t>
  </si>
  <si>
    <t>% Change from Budget</t>
  </si>
  <si>
    <t xml:space="preserve">Patents </t>
  </si>
  <si>
    <t>Technology licenses</t>
  </si>
  <si>
    <t>Income taxes</t>
  </si>
  <si>
    <t>Total Cost of Sales  [K]</t>
  </si>
  <si>
    <t>Gross Profit  [L=J-K]</t>
  </si>
  <si>
    <t>Other Income  [R]</t>
  </si>
  <si>
    <t>Total Taxes  [S]</t>
  </si>
  <si>
    <t>Gross margin  [L/J]</t>
  </si>
  <si>
    <t>Return on sales  [T/J]</t>
  </si>
  <si>
    <t>Current Period as % of Sales</t>
  </si>
  <si>
    <t>Product/Service 2</t>
  </si>
  <si>
    <t>Product/Service 3</t>
  </si>
  <si>
    <t>Product/Service 4</t>
  </si>
  <si>
    <t>Sales Revenue</t>
  </si>
  <si>
    <t>Total Sales Revenue  [J]</t>
  </si>
  <si>
    <t>Supplies</t>
  </si>
  <si>
    <t>Corporation taxes</t>
  </si>
  <si>
    <t>Expenses</t>
  </si>
  <si>
    <t>Total Expenses [M]</t>
  </si>
  <si>
    <t>Income from Operations  [N=L-M]</t>
  </si>
  <si>
    <t>Net Profit  [T=N+R-S]</t>
  </si>
  <si>
    <t>Kanvass Ltd</t>
  </si>
  <si>
    <t>Twelve-month cash flow</t>
  </si>
  <si>
    <t>Fiscal Year Begins:</t>
  </si>
  <si>
    <t>Pre-Startup EST</t>
  </si>
  <si>
    <t>Total Item EST</t>
  </si>
  <si>
    <r>
      <t>Cash &amp; Bank on Hand</t>
    </r>
    <r>
      <rPr>
        <sz val="8"/>
        <rFont val="Arial"/>
        <family val="2"/>
      </rPr>
      <t xml:space="preserve"> (beginning of month)</t>
    </r>
  </si>
  <si>
    <t>CASH RECEIPTS</t>
  </si>
  <si>
    <t>Cash Sales</t>
  </si>
  <si>
    <t>Collections fm CR accounts</t>
  </si>
  <si>
    <t>Loan/ other cash inj.</t>
  </si>
  <si>
    <t>TOTAL CASH RECEIPTS</t>
  </si>
  <si>
    <r>
      <t>Total Cash Available</t>
    </r>
    <r>
      <rPr>
        <sz val="8"/>
        <rFont val="Arial"/>
        <family val="2"/>
      </rPr>
      <t xml:space="preserve"> (before cash out)</t>
    </r>
  </si>
  <si>
    <t>CASH PAID OUT</t>
  </si>
  <si>
    <t>Purchases (merchandise)</t>
  </si>
  <si>
    <t>Purchases (Data Storage)</t>
  </si>
  <si>
    <t>Wages</t>
  </si>
  <si>
    <t>Sales target</t>
  </si>
  <si>
    <t>Commision rate</t>
  </si>
  <si>
    <t>Purchases (IBM)</t>
  </si>
  <si>
    <t>Directors</t>
  </si>
  <si>
    <t>Gross wages (exact withdrawal)</t>
  </si>
  <si>
    <t>QA</t>
  </si>
  <si>
    <t>Payroll expenses (taxes, etc.)</t>
  </si>
  <si>
    <t>Sales</t>
  </si>
  <si>
    <t>Total</t>
  </si>
  <si>
    <t>Supplies (office &amp; oper.)</t>
  </si>
  <si>
    <t>Repairs &amp; maintenance</t>
  </si>
  <si>
    <t>Data usage</t>
  </si>
  <si>
    <t>12,000 users 500 MB per user = 18T ($24.99 per T per year)</t>
  </si>
  <si>
    <t>Car, delivery &amp; travel</t>
  </si>
  <si>
    <t>Accounting &amp; legal</t>
  </si>
  <si>
    <t>IBM server</t>
  </si>
  <si>
    <t>Interest</t>
  </si>
  <si>
    <t>Development Software</t>
  </si>
  <si>
    <t>MS Office software</t>
  </si>
  <si>
    <t>Oracle database Licensing</t>
  </si>
  <si>
    <t>SUBTOTAL</t>
  </si>
  <si>
    <t>Advertisment campiagn</t>
  </si>
  <si>
    <t>Loan principal payment</t>
  </si>
  <si>
    <t>price per day</t>
  </si>
  <si>
    <t>days</t>
  </si>
  <si>
    <t>total</t>
  </si>
  <si>
    <t>Capital purchase (staff hardware/software)</t>
  </si>
  <si>
    <t>Linkedin</t>
  </si>
  <si>
    <t>Other startup costs</t>
  </si>
  <si>
    <t>Adwords Google</t>
  </si>
  <si>
    <t>Reserve and/or Escrow</t>
  </si>
  <si>
    <t>Owners' Withdrawal</t>
  </si>
  <si>
    <t>TOTAL CASH PAID OUT</t>
  </si>
  <si>
    <t>staff</t>
  </si>
  <si>
    <t>per month</t>
  </si>
  <si>
    <t>months</t>
  </si>
  <si>
    <r>
      <t xml:space="preserve">Cash &amp; Bank Position                 </t>
    </r>
    <r>
      <rPr>
        <sz val="8"/>
        <rFont val="Arial"/>
        <family val="2"/>
      </rPr>
      <t>(end of month)</t>
    </r>
  </si>
  <si>
    <t>Phone</t>
  </si>
  <si>
    <t>ESSENTIAL OPERATING DATA (non cash flow information)</t>
  </si>
  <si>
    <t>Capitial purchases</t>
  </si>
  <si>
    <t>item cost</t>
  </si>
  <si>
    <t>Sales Volume (euros)</t>
  </si>
  <si>
    <t>Laptops</t>
  </si>
  <si>
    <t>Accounts Receivable</t>
  </si>
  <si>
    <t>VPN</t>
  </si>
  <si>
    <t>Bad Debt (end of month)</t>
  </si>
  <si>
    <t>Screens</t>
  </si>
  <si>
    <t>Stock on hand (eom)</t>
  </si>
  <si>
    <t>mouse/keyboard</t>
  </si>
  <si>
    <t>Accounts Payable (eom)</t>
  </si>
  <si>
    <t>Unit Price</t>
  </si>
  <si>
    <t>Office Rent sq m per year</t>
  </si>
  <si>
    <t>sq metres needed</t>
  </si>
  <si>
    <t>For the Jan 2018 ending Dec 2018</t>
  </si>
  <si>
    <t>Enterprise Edition Sales</t>
  </si>
  <si>
    <t>IBM</t>
  </si>
  <si>
    <t>Data Storage</t>
  </si>
  <si>
    <t>Website Hosting</t>
  </si>
  <si>
    <t>Workings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</si>
</sst>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%"/>
    <numFmt numFmtId="166" formatCode="mmmm"/>
    <numFmt numFmtId="167" formatCode="0.0000%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8"/>
      <color indexed="56"/>
      <name val="Tahoma"/>
      <family val="2"/>
    </font>
    <font>
      <sz val="10"/>
      <name val="Arial"/>
    </font>
    <font>
      <sz val="1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theme="6"/>
      </left>
      <right style="thin">
        <color indexed="22"/>
      </right>
      <top style="thin">
        <color theme="6"/>
      </top>
      <bottom style="thin">
        <color theme="6"/>
      </bottom>
      <diagonal/>
    </border>
    <border>
      <left style="thin">
        <color indexed="22"/>
      </left>
      <right style="thin">
        <color indexed="22"/>
      </right>
      <top style="thin">
        <color theme="6"/>
      </top>
      <bottom style="thin">
        <color theme="6"/>
      </bottom>
      <diagonal/>
    </border>
    <border>
      <left style="thin">
        <color indexed="22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Border="1" applyAlignment="1">
      <alignment wrapText="1"/>
    </xf>
    <xf numFmtId="3" fontId="3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7" fontId="7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8" fillId="2" borderId="1" xfId="0" applyFont="1" applyFill="1" applyBorder="1"/>
    <xf numFmtId="165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8" fillId="2" borderId="4" xfId="0" applyNumberFormat="1" applyFont="1" applyFill="1" applyBorder="1" applyAlignment="1">
      <alignment horizontal="center"/>
    </xf>
    <xf numFmtId="17" fontId="11" fillId="0" borderId="5" xfId="0" applyNumberFormat="1" applyFont="1" applyBorder="1" applyAlignment="1" applyProtection="1">
      <alignment horizontal="center" wrapText="1"/>
    </xf>
    <xf numFmtId="164" fontId="11" fillId="0" borderId="5" xfId="0" applyNumberFormat="1" applyFont="1" applyBorder="1" applyAlignment="1" applyProtection="1">
      <alignment horizontal="center" wrapText="1"/>
    </xf>
    <xf numFmtId="165" fontId="11" fillId="0" borderId="5" xfId="0" applyNumberFormat="1" applyFont="1" applyBorder="1" applyAlignment="1" applyProtection="1">
      <alignment horizontal="center" wrapText="1"/>
    </xf>
    <xf numFmtId="0" fontId="11" fillId="0" borderId="5" xfId="0" applyFont="1" applyBorder="1" applyAlignment="1" applyProtection="1">
      <alignment horizontal="center" wrapText="1"/>
    </xf>
    <xf numFmtId="0" fontId="10" fillId="0" borderId="0" xfId="0" applyFont="1" applyBorder="1" applyAlignment="1">
      <alignment horizontal="center" vertical="center" textRotation="60" wrapText="1"/>
    </xf>
    <xf numFmtId="17" fontId="10" fillId="0" borderId="0" xfId="0" applyNumberFormat="1" applyFont="1" applyBorder="1" applyAlignment="1" applyProtection="1">
      <alignment horizontal="center" vertical="center" wrapText="1"/>
    </xf>
    <xf numFmtId="164" fontId="10" fillId="0" borderId="0" xfId="0" applyNumberFormat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3" fontId="11" fillId="0" borderId="5" xfId="0" applyNumberFormat="1" applyFont="1" applyFill="1" applyBorder="1" applyAlignment="1">
      <alignment vertical="center" wrapText="1"/>
    </xf>
    <xf numFmtId="165" fontId="11" fillId="2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vertical="center" wrapText="1"/>
    </xf>
    <xf numFmtId="165" fontId="11" fillId="2" borderId="6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3" fontId="11" fillId="2" borderId="5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3" fontId="10" fillId="2" borderId="5" xfId="0" applyNumberFormat="1" applyFont="1" applyFill="1" applyBorder="1" applyAlignment="1">
      <alignment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65" fontId="11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5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0" fontId="16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0" fontId="18" fillId="0" borderId="9" xfId="0" applyFont="1" applyBorder="1" applyAlignment="1">
      <alignment horizontal="center" vertical="center" wrapText="1"/>
    </xf>
    <xf numFmtId="17" fontId="18" fillId="0" borderId="9" xfId="0" applyNumberFormat="1" applyFont="1" applyBorder="1" applyAlignment="1">
      <alignment horizontal="center" vertical="center" wrapText="1"/>
    </xf>
    <xf numFmtId="166" fontId="18" fillId="0" borderId="9" xfId="0" applyNumberFormat="1" applyFont="1" applyBorder="1" applyAlignment="1">
      <alignment horizontal="center" vertical="center" wrapText="1"/>
    </xf>
    <xf numFmtId="0" fontId="18" fillId="3" borderId="9" xfId="0" applyFont="1" applyFill="1" applyBorder="1" applyAlignment="1">
      <alignment vertical="center" wrapText="1"/>
    </xf>
    <xf numFmtId="3" fontId="2" fillId="3" borderId="9" xfId="0" applyNumberFormat="1" applyFont="1" applyFill="1" applyBorder="1" applyAlignment="1">
      <alignment vertical="center"/>
    </xf>
    <xf numFmtId="0" fontId="18" fillId="0" borderId="10" xfId="0" applyFont="1" applyBorder="1" applyAlignment="1">
      <alignment vertical="center" wrapText="1"/>
    </xf>
    <xf numFmtId="3" fontId="2" fillId="0" borderId="10" xfId="0" applyNumberFormat="1" applyFont="1" applyBorder="1" applyAlignment="1">
      <alignment vertical="center"/>
    </xf>
    <xf numFmtId="0" fontId="4" fillId="4" borderId="11" xfId="0" applyFont="1" applyFill="1" applyBorder="1" applyAlignment="1">
      <alignment vertical="center" wrapText="1"/>
    </xf>
    <xf numFmtId="3" fontId="2" fillId="4" borderId="12" xfId="0" applyNumberFormat="1" applyFont="1" applyFill="1" applyBorder="1" applyAlignment="1">
      <alignment vertical="center"/>
    </xf>
    <xf numFmtId="3" fontId="2" fillId="4" borderId="13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3" fontId="2" fillId="0" borderId="0" xfId="0" applyNumberFormat="1" applyFont="1" applyAlignment="1">
      <alignment vertical="center"/>
    </xf>
    <xf numFmtId="0" fontId="2" fillId="5" borderId="9" xfId="0" applyFont="1" applyFill="1" applyBorder="1" applyAlignment="1">
      <alignment vertical="center" wrapText="1"/>
    </xf>
    <xf numFmtId="3" fontId="2" fillId="5" borderId="9" xfId="0" applyNumberFormat="1" applyFont="1" applyFill="1" applyBorder="1" applyAlignment="1">
      <alignment vertical="center"/>
    </xf>
    <xf numFmtId="0" fontId="18" fillId="0" borderId="9" xfId="0" applyFont="1" applyBorder="1" applyAlignment="1">
      <alignment vertical="center" wrapText="1"/>
    </xf>
    <xf numFmtId="3" fontId="2" fillId="6" borderId="9" xfId="0" applyNumberFormat="1" applyFont="1" applyFill="1" applyBorder="1" applyAlignment="1">
      <alignment vertical="center"/>
    </xf>
    <xf numFmtId="0" fontId="18" fillId="0" borderId="12" xfId="0" applyFont="1" applyBorder="1" applyAlignment="1">
      <alignment vertical="center" wrapText="1"/>
    </xf>
    <xf numFmtId="3" fontId="2" fillId="0" borderId="12" xfId="0" applyNumberFormat="1" applyFont="1" applyBorder="1" applyAlignment="1">
      <alignment vertical="center"/>
    </xf>
    <xf numFmtId="3" fontId="2" fillId="4" borderId="0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4" fontId="2" fillId="5" borderId="9" xfId="0" applyNumberFormat="1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4" fontId="2" fillId="3" borderId="9" xfId="0" applyNumberFormat="1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3" fontId="2" fillId="0" borderId="17" xfId="0" applyNumberFormat="1" applyFont="1" applyBorder="1" applyAlignment="1">
      <alignment vertical="center"/>
    </xf>
    <xf numFmtId="0" fontId="4" fillId="7" borderId="11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167" fontId="2" fillId="3" borderId="9" xfId="1" applyNumberFormat="1" applyFont="1" applyFill="1" applyBorder="1" applyAlignment="1">
      <alignment vertical="center"/>
    </xf>
    <xf numFmtId="3" fontId="2" fillId="3" borderId="22" xfId="0" applyNumberFormat="1" applyFont="1" applyFill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3" fontId="2" fillId="5" borderId="22" xfId="0" applyNumberFormat="1" applyFont="1" applyFill="1" applyBorder="1" applyAlignment="1">
      <alignment vertical="center"/>
    </xf>
    <xf numFmtId="3" fontId="2" fillId="5" borderId="23" xfId="0" applyNumberFormat="1" applyFont="1" applyFill="1" applyBorder="1" applyAlignment="1">
      <alignment vertical="center"/>
    </xf>
    <xf numFmtId="3" fontId="2" fillId="5" borderId="24" xfId="0" applyNumberFormat="1" applyFont="1" applyFill="1" applyBorder="1" applyAlignment="1">
      <alignment vertical="center"/>
    </xf>
    <xf numFmtId="3" fontId="2" fillId="5" borderId="25" xfId="0" applyNumberFormat="1" applyFont="1" applyFill="1" applyBorder="1" applyAlignment="1">
      <alignment vertical="center"/>
    </xf>
    <xf numFmtId="3" fontId="2" fillId="5" borderId="26" xfId="0" applyNumberFormat="1" applyFont="1" applyFill="1" applyBorder="1" applyAlignment="1">
      <alignment vertical="center"/>
    </xf>
    <xf numFmtId="0" fontId="2" fillId="0" borderId="27" xfId="0" applyFont="1" applyBorder="1" applyAlignment="1">
      <alignment vertical="center" wrapText="1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3" fontId="2" fillId="8" borderId="9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158931</xdr:colOff>
      <xdr:row>26</xdr:row>
      <xdr:rowOff>30480</xdr:rowOff>
    </xdr:from>
    <xdr:to>
      <xdr:col>23</xdr:col>
      <xdr:colOff>127635</xdr:colOff>
      <xdr:row>32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3DC43A-2203-4341-BEDC-22CCE4B3EA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760" t="39072" r="2446" b="32652"/>
        <a:stretch/>
      </xdr:blipFill>
      <xdr:spPr>
        <a:xfrm>
          <a:off x="11779431" y="5798820"/>
          <a:ext cx="1325064" cy="1417320"/>
        </a:xfrm>
        <a:prstGeom prst="rect">
          <a:avLst/>
        </a:prstGeom>
      </xdr:spPr>
    </xdr:pic>
    <xdr:clientData/>
  </xdr:twoCellAnchor>
  <xdr:twoCellAnchor editAs="oneCell">
    <xdr:from>
      <xdr:col>19</xdr:col>
      <xdr:colOff>872771</xdr:colOff>
      <xdr:row>7</xdr:row>
      <xdr:rowOff>162194</xdr:rowOff>
    </xdr:from>
    <xdr:to>
      <xdr:col>24</xdr:col>
      <xdr:colOff>441960</xdr:colOff>
      <xdr:row>14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AB47E8-70D3-44B4-81B0-FC57384138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209" t="60121" r="44352" b="23092"/>
        <a:stretch/>
      </xdr:blipFill>
      <xdr:spPr>
        <a:xfrm>
          <a:off x="10969271" y="1640474"/>
          <a:ext cx="2975329" cy="1453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0"/>
  <sheetViews>
    <sheetView showGridLines="0" tabSelected="1" zoomScaleNormal="100" workbookViewId="0">
      <pane ySplit="9" topLeftCell="A10" activePane="bottomLeft" state="frozen"/>
      <selection pane="bottomLeft" activeCell="A9" sqref="A9"/>
    </sheetView>
  </sheetViews>
  <sheetFormatPr defaultColWidth="9.109375" defaultRowHeight="13.2" x14ac:dyDescent="0.25"/>
  <cols>
    <col min="1" max="1" width="46.6640625" style="4" bestFit="1" customWidth="1"/>
    <col min="2" max="4" width="9.5546875" style="5" customWidth="1"/>
    <col min="5" max="7" width="9.5546875" style="10" customWidth="1"/>
    <col min="8" max="16384" width="9.109375" style="5"/>
  </cols>
  <sheetData>
    <row r="1" spans="1:7" s="1" customFormat="1" ht="17.399999999999999" x14ac:dyDescent="0.3">
      <c r="A1" s="11" t="s">
        <v>10</v>
      </c>
      <c r="B1" s="12"/>
      <c r="C1" s="12"/>
      <c r="D1" s="12"/>
      <c r="E1" s="13"/>
      <c r="F1" s="13"/>
      <c r="G1" s="13"/>
    </row>
    <row r="2" spans="1:7" s="1" customFormat="1" ht="17.399999999999999" x14ac:dyDescent="0.3">
      <c r="A2" s="11" t="s">
        <v>42</v>
      </c>
      <c r="B2" s="12"/>
      <c r="C2" s="12"/>
      <c r="D2" s="12"/>
      <c r="E2" s="13"/>
      <c r="F2" s="13"/>
      <c r="G2" s="13"/>
    </row>
    <row r="3" spans="1:7" s="1" customFormat="1" ht="7.95" customHeight="1" x14ac:dyDescent="0.25">
      <c r="A3" s="12"/>
      <c r="B3" s="12"/>
      <c r="C3" s="12"/>
      <c r="D3" s="12"/>
      <c r="E3" s="13"/>
      <c r="F3" s="13"/>
      <c r="G3" s="13"/>
    </row>
    <row r="4" spans="1:7" s="1" customFormat="1" x14ac:dyDescent="0.25">
      <c r="A4" s="14" t="s">
        <v>111</v>
      </c>
      <c r="B4" s="12"/>
      <c r="C4" s="15"/>
      <c r="D4" s="14"/>
      <c r="E4" s="13"/>
      <c r="F4" s="13"/>
      <c r="G4" s="13"/>
    </row>
    <row r="5" spans="1:7" s="1" customFormat="1" ht="7.95" customHeight="1" x14ac:dyDescent="0.25">
      <c r="A5" s="14"/>
      <c r="B5" s="12"/>
      <c r="C5" s="15"/>
      <c r="D5" s="12"/>
      <c r="E5" s="13"/>
      <c r="F5" s="13"/>
      <c r="G5" s="13"/>
    </row>
    <row r="6" spans="1:7" s="1" customFormat="1" x14ac:dyDescent="0.25">
      <c r="A6" s="17" t="s">
        <v>28</v>
      </c>
      <c r="B6" s="18">
        <f>IF(D16=0,"-",D25/D16)</f>
        <v>0.65247916666666672</v>
      </c>
      <c r="C6" s="15"/>
      <c r="D6" s="12"/>
      <c r="E6" s="13"/>
      <c r="F6" s="13"/>
      <c r="G6" s="13"/>
    </row>
    <row r="7" spans="1:7" s="1" customFormat="1" x14ac:dyDescent="0.25">
      <c r="A7" s="19" t="s">
        <v>29</v>
      </c>
      <c r="B7" s="20">
        <f>IF(D16=0,"-",D59/D16)</f>
        <v>5.3102754991319404E-2</v>
      </c>
      <c r="C7" s="15"/>
      <c r="D7" s="12"/>
      <c r="E7" s="13"/>
      <c r="F7" s="13"/>
      <c r="G7" s="13"/>
    </row>
    <row r="8" spans="1:7" s="1" customFormat="1" ht="7.95" customHeight="1" x14ac:dyDescent="0.25">
      <c r="A8" s="12"/>
      <c r="B8" s="12"/>
      <c r="C8" s="12"/>
      <c r="D8" s="12"/>
      <c r="E8" s="13"/>
      <c r="F8" s="13"/>
      <c r="G8" s="13"/>
    </row>
    <row r="9" spans="1:7" s="6" customFormat="1" ht="41.25" customHeight="1" x14ac:dyDescent="0.2">
      <c r="A9" s="16"/>
      <c r="B9" s="21" t="s">
        <v>16</v>
      </c>
      <c r="C9" s="22" t="s">
        <v>17</v>
      </c>
      <c r="D9" s="22" t="s">
        <v>18</v>
      </c>
      <c r="E9" s="23" t="s">
        <v>30</v>
      </c>
      <c r="F9" s="24" t="s">
        <v>19</v>
      </c>
      <c r="G9" s="22" t="s">
        <v>20</v>
      </c>
    </row>
    <row r="10" spans="1:7" s="6" customFormat="1" ht="7.95" customHeight="1" x14ac:dyDescent="0.25">
      <c r="A10" s="25"/>
      <c r="B10" s="26"/>
      <c r="C10" s="27"/>
      <c r="D10" s="27"/>
      <c r="E10" s="27"/>
      <c r="F10" s="28"/>
      <c r="G10" s="27"/>
    </row>
    <row r="11" spans="1:7" s="7" customFormat="1" ht="11.4" x14ac:dyDescent="0.2">
      <c r="A11" s="29" t="s">
        <v>34</v>
      </c>
      <c r="B11" s="30"/>
      <c r="C11" s="30"/>
      <c r="D11" s="30"/>
      <c r="E11" s="31"/>
      <c r="F11" s="31"/>
      <c r="G11" s="31"/>
    </row>
    <row r="12" spans="1:7" s="7" customFormat="1" ht="11.4" x14ac:dyDescent="0.2">
      <c r="A12" s="32" t="s">
        <v>112</v>
      </c>
      <c r="B12" s="33">
        <v>0</v>
      </c>
      <c r="C12" s="33">
        <v>0</v>
      </c>
      <c r="D12" s="33">
        <f>'12_Month_CashFlow'!P8</f>
        <v>576000</v>
      </c>
      <c r="E12" s="34">
        <f>IF($D$16=0,"-",D12/$D$16)</f>
        <v>1</v>
      </c>
      <c r="F12" s="34" t="e">
        <f>IF(D12=0,"-",D12/B12-1)</f>
        <v>#DIV/0!</v>
      </c>
      <c r="G12" s="34" t="e">
        <f>IF(D12=0,"-",D12/C12-1)</f>
        <v>#DIV/0!</v>
      </c>
    </row>
    <row r="13" spans="1:7" s="7" customFormat="1" ht="11.4" x14ac:dyDescent="0.2">
      <c r="A13" s="32" t="s">
        <v>31</v>
      </c>
      <c r="B13" s="33"/>
      <c r="C13" s="33"/>
      <c r="D13" s="33"/>
      <c r="E13" s="34">
        <f>IF($D$16=0,"-",D13/$D$16)</f>
        <v>0</v>
      </c>
      <c r="F13" s="34" t="str">
        <f>IF(D13=0,"-",D13/B13-1)</f>
        <v>-</v>
      </c>
      <c r="G13" s="34" t="str">
        <f>IF(D13=0,"-",D13/C13-1)</f>
        <v>-</v>
      </c>
    </row>
    <row r="14" spans="1:7" s="7" customFormat="1" ht="11.4" x14ac:dyDescent="0.2">
      <c r="A14" s="32" t="s">
        <v>32</v>
      </c>
      <c r="B14" s="33"/>
      <c r="C14" s="33"/>
      <c r="D14" s="33"/>
      <c r="E14" s="34">
        <f>IF($D$16=0,"-",D14/$D$16)</f>
        <v>0</v>
      </c>
      <c r="F14" s="34" t="str">
        <f>IF(D14=0,"-",D14/B14-1)</f>
        <v>-</v>
      </c>
      <c r="G14" s="34" t="str">
        <f>IF(D14=0,"-",D14/C14-1)</f>
        <v>-</v>
      </c>
    </row>
    <row r="15" spans="1:7" s="7" customFormat="1" ht="11.4" x14ac:dyDescent="0.2">
      <c r="A15" s="32" t="s">
        <v>33</v>
      </c>
      <c r="B15" s="33"/>
      <c r="C15" s="33"/>
      <c r="D15" s="33"/>
      <c r="E15" s="36">
        <f>IF($D$16=0,"-",D15/$D$16)</f>
        <v>0</v>
      </c>
      <c r="F15" s="36" t="str">
        <f>IF(D15=0,"-",D15/B15-1)</f>
        <v>-</v>
      </c>
      <c r="G15" s="36" t="str">
        <f>IF(D15=0,"-",D15/C15-1)</f>
        <v>-</v>
      </c>
    </row>
    <row r="16" spans="1:7" s="7" customFormat="1" ht="11.4" x14ac:dyDescent="0.2">
      <c r="A16" s="37" t="s">
        <v>35</v>
      </c>
      <c r="B16" s="38">
        <f>SUM(B12:B15)</f>
        <v>0</v>
      </c>
      <c r="C16" s="38">
        <f>SUM(C12:C15)</f>
        <v>0</v>
      </c>
      <c r="D16" s="38">
        <f>SUM(D12:D15)</f>
        <v>576000</v>
      </c>
      <c r="E16" s="34">
        <f>IF($D$16=0,"-",D16/$D$16)</f>
        <v>1</v>
      </c>
      <c r="F16" s="34" t="e">
        <f>IF(D16=0,"-",D16/B16-1)</f>
        <v>#DIV/0!</v>
      </c>
      <c r="G16" s="34" t="e">
        <f>IF(D16=0,"-",D16/C16-1)</f>
        <v>#DIV/0!</v>
      </c>
    </row>
    <row r="17" spans="1:7" s="7" customFormat="1" ht="8.25" customHeight="1" x14ac:dyDescent="0.2">
      <c r="A17" s="39"/>
      <c r="B17" s="40"/>
      <c r="C17" s="40"/>
      <c r="D17" s="40"/>
      <c r="E17" s="41"/>
      <c r="F17" s="41"/>
      <c r="G17" s="41"/>
    </row>
    <row r="18" spans="1:7" s="7" customFormat="1" ht="11.4" x14ac:dyDescent="0.2">
      <c r="A18" s="29" t="s">
        <v>8</v>
      </c>
      <c r="B18" s="40"/>
      <c r="C18" s="40"/>
      <c r="D18" s="40"/>
      <c r="E18" s="41"/>
      <c r="F18" s="41"/>
      <c r="G18" s="41"/>
    </row>
    <row r="19" spans="1:7" s="7" customFormat="1" ht="11.4" x14ac:dyDescent="0.2">
      <c r="A19" s="45" t="s">
        <v>22</v>
      </c>
      <c r="B19" s="33"/>
      <c r="C19" s="33"/>
      <c r="D19" s="33">
        <f>'12_Month_CashFlow'!P32+'12_Month_CashFlow'!P33+'12_Month_CashFlow'!P34</f>
        <v>135540</v>
      </c>
      <c r="E19" s="34">
        <f>IF($D$16=0,"-",D19/$D$16)</f>
        <v>0.23531250000000001</v>
      </c>
      <c r="F19" s="34" t="e">
        <f>IF(D19=0,"-",D19/B19-1)</f>
        <v>#DIV/0!</v>
      </c>
      <c r="G19" s="34" t="e">
        <f>IF(D19=0,"-",D19/C19-1)</f>
        <v>#DIV/0!</v>
      </c>
    </row>
    <row r="20" spans="1:7" s="7" customFormat="1" ht="11.4" x14ac:dyDescent="0.2">
      <c r="A20" s="32" t="s">
        <v>113</v>
      </c>
      <c r="B20" s="33"/>
      <c r="C20" s="33"/>
      <c r="D20" s="33">
        <f>'12_Month_CashFlow'!P17</f>
        <v>63732</v>
      </c>
      <c r="E20" s="34">
        <f>IF($D$16=0,"-",D20/$D$16)</f>
        <v>0.11064583333333333</v>
      </c>
      <c r="F20" s="34" t="e">
        <f>IF(D20=0,"-",D20/B20-1)</f>
        <v>#DIV/0!</v>
      </c>
      <c r="G20" s="34" t="e">
        <f>IF(D20=0,"-",D20/C20-1)</f>
        <v>#DIV/0!</v>
      </c>
    </row>
    <row r="21" spans="1:7" s="7" customFormat="1" ht="11.4" x14ac:dyDescent="0.2">
      <c r="A21" s="32" t="s">
        <v>114</v>
      </c>
      <c r="B21" s="33"/>
      <c r="C21" s="33"/>
      <c r="D21" s="33">
        <f>'12_Month_CashFlow'!P16</f>
        <v>720</v>
      </c>
      <c r="E21" s="34">
        <f>IF($D$16=0,"-",D21/$D$16)</f>
        <v>1.25E-3</v>
      </c>
      <c r="F21" s="34" t="e">
        <f>IF(D21=0,"-",D21/B21-1)</f>
        <v>#DIV/0!</v>
      </c>
      <c r="G21" s="34" t="e">
        <f>IF(D21=0,"-",D21/C21-1)</f>
        <v>#DIV/0!</v>
      </c>
    </row>
    <row r="22" spans="1:7" s="7" customFormat="1" ht="11.4" x14ac:dyDescent="0.2">
      <c r="A22" s="32" t="s">
        <v>115</v>
      </c>
      <c r="B22" s="35"/>
      <c r="C22" s="35"/>
      <c r="D22" s="35">
        <f>'12_Month_CashFlow'!P35</f>
        <v>180</v>
      </c>
      <c r="E22" s="34">
        <f>IF($D$16=0,"-",D22/$D$16)</f>
        <v>3.1250000000000001E-4</v>
      </c>
      <c r="F22" s="34" t="e">
        <f>IF(D22=0,"-",D22/B22-1)</f>
        <v>#DIV/0!</v>
      </c>
      <c r="G22" s="34" t="e">
        <f>IF(D22=0,"-",D22/C22-1)</f>
        <v>#DIV/0!</v>
      </c>
    </row>
    <row r="23" spans="1:7" s="7" customFormat="1" ht="11.4" x14ac:dyDescent="0.2">
      <c r="A23" s="37" t="s">
        <v>24</v>
      </c>
      <c r="B23" s="38">
        <f>SUM(B19:B22)</f>
        <v>0</v>
      </c>
      <c r="C23" s="38">
        <f>SUM(C19:C22)</f>
        <v>0</v>
      </c>
      <c r="D23" s="38">
        <f>SUM(D19:D22)</f>
        <v>200172</v>
      </c>
      <c r="E23" s="34">
        <f>IF($D$16=0,"-",D23/$D$16)</f>
        <v>0.34752083333333333</v>
      </c>
      <c r="F23" s="34" t="e">
        <f>IF(D23=0,"-",D23/B23-1)</f>
        <v>#DIV/0!</v>
      </c>
      <c r="G23" s="34" t="e">
        <f>IF(D23=0,"-",D23/C23-1)</f>
        <v>#DIV/0!</v>
      </c>
    </row>
    <row r="24" spans="1:7" s="7" customFormat="1" ht="8.25" customHeight="1" x14ac:dyDescent="0.2">
      <c r="A24" s="39"/>
      <c r="B24" s="40"/>
      <c r="C24" s="40"/>
      <c r="D24" s="40"/>
      <c r="E24" s="41"/>
      <c r="F24" s="41"/>
      <c r="G24" s="41"/>
    </row>
    <row r="25" spans="1:7" s="7" customFormat="1" ht="11.4" x14ac:dyDescent="0.2">
      <c r="A25" s="42" t="s">
        <v>25</v>
      </c>
      <c r="B25" s="43">
        <f>B16-B23</f>
        <v>0</v>
      </c>
      <c r="C25" s="43">
        <f>C16-C23</f>
        <v>0</v>
      </c>
      <c r="D25" s="43">
        <f>D16-D23</f>
        <v>375828</v>
      </c>
      <c r="E25" s="44">
        <f>IF($D$16=0,"-",D25/$D$16)</f>
        <v>0.65247916666666672</v>
      </c>
      <c r="F25" s="44" t="str">
        <f>IF(B25=0,"-",IF(B25=D25,"0.0%",IF(D25&gt;B25,ABS((D25/B25)-1),IF(AND(D25&lt;B25,B25&lt;0),-((D25/B25)-1),(D25/B25)-1))))</f>
        <v>-</v>
      </c>
      <c r="G25" s="44" t="str">
        <f>IF(C25=0,"-",IF(C25=D25,"0.0%",IF(D25&gt;C25,ABS((D25/C25)-1),IF(AND(D25&lt;C25,C25&lt;0),-((D25/C25)-1),(D25/C25)-1))))</f>
        <v>-</v>
      </c>
    </row>
    <row r="26" spans="1:7" s="7" customFormat="1" ht="8.25" customHeight="1" x14ac:dyDescent="0.2">
      <c r="A26" s="39"/>
      <c r="B26" s="40"/>
      <c r="C26" s="40"/>
      <c r="D26" s="40"/>
      <c r="E26" s="41"/>
      <c r="F26" s="41"/>
      <c r="G26" s="41"/>
    </row>
    <row r="27" spans="1:7" s="7" customFormat="1" ht="11.4" x14ac:dyDescent="0.2">
      <c r="A27" s="29" t="s">
        <v>38</v>
      </c>
      <c r="B27" s="40"/>
      <c r="C27" s="40"/>
      <c r="D27" s="40"/>
      <c r="E27" s="41"/>
      <c r="F27" s="41"/>
      <c r="G27" s="41"/>
    </row>
    <row r="28" spans="1:7" s="7" customFormat="1" ht="11.4" x14ac:dyDescent="0.2">
      <c r="A28" s="45" t="s">
        <v>2</v>
      </c>
      <c r="B28" s="33"/>
      <c r="C28" s="33"/>
      <c r="D28" s="33">
        <f>'12_Month_CashFlow'!P23</f>
        <v>27000</v>
      </c>
      <c r="E28" s="34">
        <f t="shared" ref="E28:E34" si="0">IF($D$16=0,"-",D28/$D$16)</f>
        <v>4.6875E-2</v>
      </c>
      <c r="F28" s="34" t="e">
        <f t="shared" ref="F28:F34" si="1">IF(D28=0,"-",D28/B28-1)</f>
        <v>#DIV/0!</v>
      </c>
      <c r="G28" s="34" t="e">
        <f t="shared" ref="G28:G34" si="2">IF(D28=0,"-",D28/C28-1)</f>
        <v>#DIV/0!</v>
      </c>
    </row>
    <row r="29" spans="1:7" s="7" customFormat="1" ht="11.4" x14ac:dyDescent="0.2">
      <c r="A29" s="45" t="s">
        <v>11</v>
      </c>
      <c r="B29" s="33"/>
      <c r="C29" s="33"/>
      <c r="D29" s="33"/>
      <c r="E29" s="34">
        <f t="shared" si="0"/>
        <v>0</v>
      </c>
      <c r="F29" s="34" t="str">
        <f t="shared" si="1"/>
        <v>-</v>
      </c>
      <c r="G29" s="34" t="str">
        <f t="shared" si="2"/>
        <v>-</v>
      </c>
    </row>
    <row r="30" spans="1:7" s="7" customFormat="1" ht="11.4" x14ac:dyDescent="0.2">
      <c r="A30" s="45" t="s">
        <v>7</v>
      </c>
      <c r="B30" s="33"/>
      <c r="C30" s="33"/>
      <c r="D30" s="33"/>
      <c r="E30" s="34">
        <f t="shared" si="0"/>
        <v>0</v>
      </c>
      <c r="F30" s="34" t="str">
        <f t="shared" si="1"/>
        <v>-</v>
      </c>
      <c r="G30" s="34" t="str">
        <f t="shared" si="2"/>
        <v>-</v>
      </c>
    </row>
    <row r="31" spans="1:7" s="7" customFormat="1" ht="11.4" x14ac:dyDescent="0.2">
      <c r="A31" s="45" t="s">
        <v>7</v>
      </c>
      <c r="B31" s="35"/>
      <c r="C31" s="35"/>
      <c r="D31" s="35"/>
      <c r="E31" s="34">
        <f t="shared" si="0"/>
        <v>0</v>
      </c>
      <c r="F31" s="34" t="str">
        <f t="shared" si="1"/>
        <v>-</v>
      </c>
      <c r="G31" s="34" t="str">
        <f t="shared" si="2"/>
        <v>-</v>
      </c>
    </row>
    <row r="32" spans="1:7" s="7" customFormat="1" ht="11.4" x14ac:dyDescent="0.2">
      <c r="A32" s="45" t="s">
        <v>21</v>
      </c>
      <c r="B32" s="33"/>
      <c r="C32" s="33"/>
      <c r="D32" s="33"/>
      <c r="E32" s="34">
        <f t="shared" si="0"/>
        <v>0</v>
      </c>
      <c r="F32" s="34" t="str">
        <f t="shared" si="1"/>
        <v>-</v>
      </c>
      <c r="G32" s="34" t="str">
        <f t="shared" si="2"/>
        <v>-</v>
      </c>
    </row>
    <row r="33" spans="1:7" s="7" customFormat="1" ht="11.4" x14ac:dyDescent="0.2">
      <c r="A33" s="45" t="s">
        <v>7</v>
      </c>
      <c r="B33" s="33"/>
      <c r="C33" s="33"/>
      <c r="D33" s="33"/>
      <c r="E33" s="34">
        <f t="shared" si="0"/>
        <v>0</v>
      </c>
      <c r="F33" s="34" t="str">
        <f t="shared" si="1"/>
        <v>-</v>
      </c>
      <c r="G33" s="34" t="str">
        <f t="shared" si="2"/>
        <v>-</v>
      </c>
    </row>
    <row r="34" spans="1:7" s="7" customFormat="1" ht="11.4" x14ac:dyDescent="0.2">
      <c r="A34" s="45" t="s">
        <v>7</v>
      </c>
      <c r="B34" s="35"/>
      <c r="C34" s="35"/>
      <c r="D34" s="35"/>
      <c r="E34" s="34">
        <f t="shared" si="0"/>
        <v>0</v>
      </c>
      <c r="F34" s="34" t="str">
        <f t="shared" si="1"/>
        <v>-</v>
      </c>
      <c r="G34" s="34" t="str">
        <f t="shared" si="2"/>
        <v>-</v>
      </c>
    </row>
    <row r="35" spans="1:7" s="7" customFormat="1" ht="11.4" x14ac:dyDescent="0.2">
      <c r="A35" s="45" t="s">
        <v>13</v>
      </c>
      <c r="B35" s="33"/>
      <c r="C35" s="33"/>
      <c r="D35" s="33">
        <f>'12_Month_CashFlow'!P18</f>
        <v>185202</v>
      </c>
      <c r="E35" s="34">
        <f t="shared" ref="E35:E47" si="3">IF($D$16=0,"-",D35/$D$16)</f>
        <v>0.32153124999999999</v>
      </c>
      <c r="F35" s="34" t="e">
        <f t="shared" ref="F35:F47" si="4">IF(D35=0,"-",D35/B35-1)</f>
        <v>#DIV/0!</v>
      </c>
      <c r="G35" s="34" t="e">
        <f t="shared" ref="G35:G47" si="5">IF(D35=0,"-",D35/C35-1)</f>
        <v>#DIV/0!</v>
      </c>
    </row>
    <row r="36" spans="1:7" s="7" customFormat="1" ht="11.4" x14ac:dyDescent="0.2">
      <c r="A36" s="45" t="s">
        <v>0</v>
      </c>
      <c r="B36" s="33"/>
      <c r="C36" s="33"/>
      <c r="D36" s="33">
        <f>'12_Month_CashFlow'!P20</f>
        <v>3000</v>
      </c>
      <c r="E36" s="34">
        <f t="shared" si="3"/>
        <v>5.208333333333333E-3</v>
      </c>
      <c r="F36" s="34" t="e">
        <f t="shared" si="4"/>
        <v>#DIV/0!</v>
      </c>
      <c r="G36" s="34" t="e">
        <f t="shared" si="5"/>
        <v>#DIV/0!</v>
      </c>
    </row>
    <row r="37" spans="1:7" s="7" customFormat="1" ht="11.4" x14ac:dyDescent="0.2">
      <c r="A37" s="45" t="s">
        <v>36</v>
      </c>
      <c r="B37" s="33"/>
      <c r="C37" s="33"/>
      <c r="D37" s="33">
        <f>'12_Month_CashFlow'!P21</f>
        <v>50000</v>
      </c>
      <c r="E37" s="34">
        <f t="shared" si="3"/>
        <v>8.6805555555555552E-2</v>
      </c>
      <c r="F37" s="34" t="e">
        <f t="shared" si="4"/>
        <v>#DIV/0!</v>
      </c>
      <c r="G37" s="34" t="e">
        <f t="shared" si="5"/>
        <v>#DIV/0!</v>
      </c>
    </row>
    <row r="38" spans="1:7" s="7" customFormat="1" ht="11.4" x14ac:dyDescent="0.2">
      <c r="A38" s="45" t="s">
        <v>12</v>
      </c>
      <c r="B38" s="33"/>
      <c r="C38" s="33"/>
      <c r="D38" s="33"/>
      <c r="E38" s="34">
        <f t="shared" si="3"/>
        <v>0</v>
      </c>
      <c r="F38" s="34" t="str">
        <f t="shared" si="4"/>
        <v>-</v>
      </c>
      <c r="G38" s="34" t="str">
        <f t="shared" si="5"/>
        <v>-</v>
      </c>
    </row>
    <row r="39" spans="1:7" s="7" customFormat="1" ht="11.4" x14ac:dyDescent="0.2">
      <c r="A39" s="45" t="s">
        <v>3</v>
      </c>
      <c r="B39" s="33"/>
      <c r="C39" s="33"/>
      <c r="D39" s="33">
        <f>'12_Month_CashFlow'!P26</f>
        <v>27000.000000000004</v>
      </c>
      <c r="E39" s="34">
        <f t="shared" si="3"/>
        <v>4.6875000000000007E-2</v>
      </c>
      <c r="F39" s="34" t="e">
        <f t="shared" si="4"/>
        <v>#DIV/0!</v>
      </c>
      <c r="G39" s="34" t="e">
        <f t="shared" si="5"/>
        <v>#DIV/0!</v>
      </c>
    </row>
    <row r="40" spans="1:7" s="7" customFormat="1" ht="11.4" x14ac:dyDescent="0.2">
      <c r="A40" s="45" t="s">
        <v>4</v>
      </c>
      <c r="B40" s="33"/>
      <c r="C40" s="33"/>
      <c r="D40" s="33">
        <f>'12_Month_CashFlow'!P27</f>
        <v>10800</v>
      </c>
      <c r="E40" s="34">
        <f t="shared" si="3"/>
        <v>1.8749999999999999E-2</v>
      </c>
      <c r="F40" s="34" t="e">
        <f t="shared" si="4"/>
        <v>#DIV/0!</v>
      </c>
      <c r="G40" s="34" t="e">
        <f t="shared" si="5"/>
        <v>#DIV/0!</v>
      </c>
    </row>
    <row r="41" spans="1:7" s="7" customFormat="1" ht="11.4" x14ac:dyDescent="0.2">
      <c r="A41" s="45" t="s">
        <v>5</v>
      </c>
      <c r="B41" s="33"/>
      <c r="C41" s="33"/>
      <c r="D41" s="33">
        <f>'12_Month_CashFlow'!P28</f>
        <v>1500</v>
      </c>
      <c r="E41" s="34">
        <f t="shared" si="3"/>
        <v>2.6041666666666665E-3</v>
      </c>
      <c r="F41" s="34" t="e">
        <f t="shared" si="4"/>
        <v>#DIV/0!</v>
      </c>
      <c r="G41" s="34" t="e">
        <f t="shared" si="5"/>
        <v>#DIV/0!</v>
      </c>
    </row>
    <row r="42" spans="1:7" s="7" customFormat="1" ht="11.4" x14ac:dyDescent="0.2">
      <c r="A42" s="45" t="s">
        <v>9</v>
      </c>
      <c r="B42" s="33"/>
      <c r="C42" s="33"/>
      <c r="D42" s="33">
        <f>'12_Month_CashFlow'!D51</f>
        <v>4960</v>
      </c>
      <c r="E42" s="34">
        <f t="shared" si="3"/>
        <v>8.611111111111111E-3</v>
      </c>
      <c r="F42" s="34" t="e">
        <f t="shared" si="4"/>
        <v>#DIV/0!</v>
      </c>
      <c r="G42" s="34" t="e">
        <f t="shared" si="5"/>
        <v>#DIV/0!</v>
      </c>
    </row>
    <row r="43" spans="1:7" s="7" customFormat="1" ht="11.4" x14ac:dyDescent="0.2">
      <c r="A43" s="45" t="s">
        <v>6</v>
      </c>
      <c r="B43" s="33"/>
      <c r="C43" s="33"/>
      <c r="D43" s="33">
        <f>'12_Month_CashFlow'!P29</f>
        <v>500</v>
      </c>
      <c r="E43" s="34">
        <f t="shared" si="3"/>
        <v>8.6805555555555551E-4</v>
      </c>
      <c r="F43" s="34" t="e">
        <f t="shared" si="4"/>
        <v>#DIV/0!</v>
      </c>
      <c r="G43" s="34" t="e">
        <f t="shared" si="5"/>
        <v>#DIV/0!</v>
      </c>
    </row>
    <row r="44" spans="1:7" s="7" customFormat="1" ht="11.4" x14ac:dyDescent="0.2">
      <c r="A44" s="45" t="s">
        <v>1</v>
      </c>
      <c r="B44" s="33"/>
      <c r="C44" s="33"/>
      <c r="D44" s="33">
        <f>'12_Month_CashFlow'!P22</f>
        <v>3000</v>
      </c>
      <c r="E44" s="34">
        <f t="shared" si="3"/>
        <v>5.208333333333333E-3</v>
      </c>
      <c r="F44" s="34" t="e">
        <f t="shared" si="4"/>
        <v>#DIV/0!</v>
      </c>
      <c r="G44" s="34" t="e">
        <f t="shared" si="5"/>
        <v>#DIV/0!</v>
      </c>
    </row>
    <row r="45" spans="1:7" s="7" customFormat="1" ht="11.4" x14ac:dyDescent="0.2">
      <c r="A45" s="45" t="s">
        <v>64</v>
      </c>
      <c r="B45" s="33"/>
      <c r="C45" s="33"/>
      <c r="D45" s="33">
        <f>'12_Month_CashFlow'!P19</f>
        <v>19909.215</v>
      </c>
      <c r="E45" s="34">
        <f t="shared" si="3"/>
        <v>3.4564609374999999E-2</v>
      </c>
      <c r="F45" s="34" t="e">
        <f t="shared" si="4"/>
        <v>#DIV/0!</v>
      </c>
      <c r="G45" s="34" t="e">
        <f t="shared" si="5"/>
        <v>#DIV/0!</v>
      </c>
    </row>
    <row r="46" spans="1:7" s="7" customFormat="1" ht="11.4" x14ac:dyDescent="0.2">
      <c r="A46" s="45" t="s">
        <v>7</v>
      </c>
      <c r="B46" s="35"/>
      <c r="C46" s="35"/>
      <c r="D46" s="35">
        <f>'12_Month_CashFlow'!P24+'12_Month_CashFlow'!P25</f>
        <v>8000</v>
      </c>
      <c r="E46" s="34">
        <f t="shared" si="3"/>
        <v>1.3888888888888888E-2</v>
      </c>
      <c r="F46" s="34" t="e">
        <f t="shared" si="4"/>
        <v>#DIV/0!</v>
      </c>
      <c r="G46" s="34" t="e">
        <f t="shared" si="5"/>
        <v>#DIV/0!</v>
      </c>
    </row>
    <row r="47" spans="1:7" s="7" customFormat="1" ht="11.4" x14ac:dyDescent="0.2">
      <c r="A47" s="46" t="s">
        <v>39</v>
      </c>
      <c r="B47" s="38">
        <f>SUM(B35:B46)</f>
        <v>0</v>
      </c>
      <c r="C47" s="38">
        <f>SUM(C35:C46)</f>
        <v>0</v>
      </c>
      <c r="D47" s="38">
        <f>SUM(D28:D46)</f>
        <v>340871.21500000003</v>
      </c>
      <c r="E47" s="34">
        <f t="shared" si="3"/>
        <v>0.59179030381944453</v>
      </c>
      <c r="F47" s="34" t="e">
        <f t="shared" si="4"/>
        <v>#DIV/0!</v>
      </c>
      <c r="G47" s="34" t="e">
        <f t="shared" si="5"/>
        <v>#DIV/0!</v>
      </c>
    </row>
    <row r="48" spans="1:7" s="7" customFormat="1" ht="7.95" customHeight="1" x14ac:dyDescent="0.2">
      <c r="A48" s="47"/>
      <c r="B48" s="40"/>
      <c r="C48" s="40"/>
      <c r="D48" s="40"/>
      <c r="E48" s="41"/>
      <c r="F48" s="41"/>
      <c r="G48" s="41"/>
    </row>
    <row r="49" spans="1:7" s="8" customFormat="1" ht="11.4" x14ac:dyDescent="0.2">
      <c r="A49" s="42" t="s">
        <v>40</v>
      </c>
      <c r="B49" s="43">
        <f>B25-B47</f>
        <v>0</v>
      </c>
      <c r="C49" s="43">
        <f>C25-C47</f>
        <v>0</v>
      </c>
      <c r="D49" s="43">
        <f>D25-D47</f>
        <v>34956.784999999974</v>
      </c>
      <c r="E49" s="44">
        <f>IF($D$16=0,"-",D49/$D$16)</f>
        <v>6.0688862847222177E-2</v>
      </c>
      <c r="F49" s="44" t="str">
        <f>IF(B49=0,"-",IF(B49=D49,"0.0%",IF(D49&gt;B49,ABS((D49/B49)-1),IF(AND(D49&lt;B49,B49&lt;0),-((D49/B49)-1),(D49/B49)-1))))</f>
        <v>-</v>
      </c>
      <c r="G49" s="44" t="str">
        <f>IF(C49=0,"-",IF(C49=D49,"0.0%",IF(D49&gt;C49,ABS((D49/C49)-1),IF(AND(D49&lt;C49,C49&lt;0),-((D49/C49)-1),(D49/C49)-1))))</f>
        <v>-</v>
      </c>
    </row>
    <row r="50" spans="1:7" s="8" customFormat="1" ht="7.95" customHeight="1" x14ac:dyDescent="0.2">
      <c r="A50" s="48"/>
      <c r="B50" s="49"/>
      <c r="C50" s="49"/>
      <c r="D50" s="49"/>
      <c r="E50" s="50"/>
      <c r="F50" s="50"/>
      <c r="G50" s="50"/>
    </row>
    <row r="51" spans="1:7" s="8" customFormat="1" ht="11.4" x14ac:dyDescent="0.2">
      <c r="A51" s="51" t="s">
        <v>26</v>
      </c>
      <c r="B51" s="33"/>
      <c r="C51" s="33"/>
      <c r="D51" s="33"/>
      <c r="E51" s="52">
        <f>IF($D$16=0,"-",D51/$D$16)</f>
        <v>0</v>
      </c>
      <c r="F51" s="34" t="str">
        <f>IF(D51=0,"-",D51/B51-1)</f>
        <v>-</v>
      </c>
      <c r="G51" s="34" t="str">
        <f>IF(D51=0,"-",D51/C51-1)</f>
        <v>-</v>
      </c>
    </row>
    <row r="52" spans="1:7" s="8" customFormat="1" ht="11.25" customHeight="1" x14ac:dyDescent="0.2">
      <c r="A52" s="48"/>
      <c r="B52" s="40"/>
      <c r="C52" s="40"/>
      <c r="D52" s="40"/>
      <c r="E52" s="41"/>
      <c r="F52" s="41"/>
      <c r="G52" s="41"/>
    </row>
    <row r="53" spans="1:7" s="8" customFormat="1" ht="11.25" customHeight="1" x14ac:dyDescent="0.2">
      <c r="A53" s="48" t="s">
        <v>14</v>
      </c>
      <c r="B53" s="40"/>
      <c r="C53" s="40"/>
      <c r="D53" s="40"/>
      <c r="E53" s="41"/>
      <c r="F53" s="41"/>
      <c r="G53" s="41"/>
    </row>
    <row r="54" spans="1:7" s="7" customFormat="1" ht="11.4" x14ac:dyDescent="0.2">
      <c r="A54" s="32" t="s">
        <v>23</v>
      </c>
      <c r="B54" s="33"/>
      <c r="C54" s="33"/>
      <c r="D54" s="33"/>
      <c r="E54" s="34">
        <f>IF($D$16=0,"-",D54/$D$16)</f>
        <v>0</v>
      </c>
      <c r="F54" s="34" t="str">
        <f>IF(D54=0,"-",D54/B54-1)</f>
        <v>-</v>
      </c>
      <c r="G54" s="34" t="str">
        <f>IF(D54=0,"-",D54/C54-1)</f>
        <v>-</v>
      </c>
    </row>
    <row r="55" spans="1:7" s="7" customFormat="1" ht="11.4" x14ac:dyDescent="0.2">
      <c r="A55" s="32" t="s">
        <v>15</v>
      </c>
      <c r="B55" s="33"/>
      <c r="C55" s="33"/>
      <c r="D55" s="33"/>
      <c r="E55" s="34">
        <f>IF($D$16=0,"-",D55/$D$16)</f>
        <v>0</v>
      </c>
      <c r="F55" s="34" t="str">
        <f>IF(D55=0,"-",D55/B55-1)</f>
        <v>-</v>
      </c>
      <c r="G55" s="34" t="str">
        <f>IF(D55=0,"-",D55/C55-1)</f>
        <v>-</v>
      </c>
    </row>
    <row r="56" spans="1:7" s="7" customFormat="1" ht="11.4" x14ac:dyDescent="0.2">
      <c r="A56" s="32" t="s">
        <v>37</v>
      </c>
      <c r="B56" s="33"/>
      <c r="C56" s="33"/>
      <c r="D56" s="33">
        <f>D49*12.5%</f>
        <v>4369.5981249999968</v>
      </c>
      <c r="E56" s="34">
        <f>IF($D$16=0,"-",D56/$D$16)</f>
        <v>7.5861078559027722E-3</v>
      </c>
      <c r="F56" s="34" t="e">
        <f>IF(D56=0,"-",D56/B56-1)</f>
        <v>#DIV/0!</v>
      </c>
      <c r="G56" s="34" t="e">
        <f>IF(D56=0,"-",D56/C56-1)</f>
        <v>#DIV/0!</v>
      </c>
    </row>
    <row r="57" spans="1:7" s="7" customFormat="1" ht="11.4" x14ac:dyDescent="0.2">
      <c r="A57" s="37" t="s">
        <v>27</v>
      </c>
      <c r="B57" s="38">
        <f>SUM(B54:B56)</f>
        <v>0</v>
      </c>
      <c r="C57" s="38">
        <f>SUM(C54:C56)</f>
        <v>0</v>
      </c>
      <c r="D57" s="38">
        <f>SUM(D54:D56)</f>
        <v>4369.5981249999968</v>
      </c>
      <c r="E57" s="34">
        <f>IF($D$16=0,"-",D57/$D$16)</f>
        <v>7.5861078559027722E-3</v>
      </c>
      <c r="F57" s="34" t="e">
        <f>IF(D57=0,"-",D57/B57-1)</f>
        <v>#DIV/0!</v>
      </c>
      <c r="G57" s="34" t="e">
        <f>IF(D57=0,"-",D57/C57-1)</f>
        <v>#DIV/0!</v>
      </c>
    </row>
    <row r="58" spans="1:7" s="7" customFormat="1" ht="8.25" customHeight="1" x14ac:dyDescent="0.2">
      <c r="A58" s="39"/>
      <c r="B58" s="40"/>
      <c r="C58" s="40"/>
      <c r="D58" s="40"/>
      <c r="E58" s="41"/>
      <c r="F58" s="41"/>
      <c r="G58" s="41"/>
    </row>
    <row r="59" spans="1:7" s="7" customFormat="1" ht="11.4" x14ac:dyDescent="0.2">
      <c r="A59" s="42" t="s">
        <v>41</v>
      </c>
      <c r="B59" s="43">
        <f>B49+B51-B57</f>
        <v>0</v>
      </c>
      <c r="C59" s="43">
        <f>C49+C51-C57</f>
        <v>0</v>
      </c>
      <c r="D59" s="43">
        <f>D49+D51-D57</f>
        <v>30587.186874999978</v>
      </c>
      <c r="E59" s="44">
        <f>IF($D$16=0,"-",D59/$D$16)</f>
        <v>5.3102754991319404E-2</v>
      </c>
      <c r="F59" s="44" t="str">
        <f>IF(B59=0,"-",IF(B59=D59,"0.0%",IF(D59&gt;B59,ABS((D59/B59)-1),IF(AND(D59&lt;B59,B59&lt;0),-((D59/B59)-1),(D59/B59)-1))))</f>
        <v>-</v>
      </c>
      <c r="G59" s="44" t="str">
        <f>IF(C59=0,"-",IF(C59=D59,"0.0%",IF(D59&gt;C59,ABS((D59/C59)-1),IF(AND(D59&lt;C59,C59&lt;0),-((D59/C59)-1),(D59/C59)-1))))</f>
        <v>-</v>
      </c>
    </row>
    <row r="60" spans="1:7" s="3" customFormat="1" ht="10.199999999999999" x14ac:dyDescent="0.2">
      <c r="A60" s="2"/>
      <c r="E60" s="9"/>
      <c r="F60" s="9"/>
      <c r="G60" s="9"/>
    </row>
  </sheetData>
  <phoneticPr fontId="0" type="noConversion"/>
  <printOptions horizontalCentered="1" verticalCentered="1"/>
  <pageMargins left="0.5" right="0.5" top="0.5" bottom="0.5" header="0" footer="0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BD3C-68EC-4559-91FB-83081108B237}">
  <dimension ref="B1:Y54"/>
  <sheetViews>
    <sheetView showGridLines="0" workbookViewId="0">
      <selection activeCell="AC51" sqref="AC51"/>
    </sheetView>
  </sheetViews>
  <sheetFormatPr defaultColWidth="7.21875" defaultRowHeight="10.199999999999999" x14ac:dyDescent="0.25"/>
  <cols>
    <col min="1" max="1" width="1.44140625" style="54" customWidth="1"/>
    <col min="2" max="2" width="21.88671875" style="53" customWidth="1"/>
    <col min="3" max="3" width="9.109375" style="54" customWidth="1"/>
    <col min="4" max="15" width="7.109375" style="54" customWidth="1"/>
    <col min="16" max="16" width="7.77734375" style="54" customWidth="1"/>
    <col min="17" max="19" width="7.21875" style="54"/>
    <col min="20" max="20" width="12.88671875" style="54" customWidth="1"/>
    <col min="21" max="21" width="9.33203125" style="54" customWidth="1"/>
    <col min="22" max="22" width="7.21875" style="54"/>
    <col min="23" max="23" width="12.5546875" style="54" customWidth="1"/>
    <col min="24" max="24" width="7.6640625" style="54" customWidth="1"/>
    <col min="25" max="16384" width="7.21875" style="54"/>
  </cols>
  <sheetData>
    <row r="1" spans="2:25" ht="11.25" customHeight="1" x14ac:dyDescent="0.25"/>
    <row r="2" spans="2:25" s="56" customFormat="1" ht="27.75" customHeight="1" x14ac:dyDescent="0.4">
      <c r="B2" s="55" t="s">
        <v>43</v>
      </c>
      <c r="H2" s="114" t="s">
        <v>42</v>
      </c>
      <c r="I2" s="57"/>
      <c r="J2" s="57"/>
      <c r="K2" s="58"/>
      <c r="L2" s="58"/>
      <c r="M2" s="58"/>
      <c r="N2" s="57"/>
      <c r="O2" s="59" t="s">
        <v>44</v>
      </c>
      <c r="P2" s="60">
        <v>43101</v>
      </c>
    </row>
    <row r="3" spans="2:25" ht="3.75" customHeight="1" x14ac:dyDescent="0.25">
      <c r="B3" s="61"/>
      <c r="H3" s="62"/>
      <c r="J3" s="63"/>
      <c r="K3" s="63"/>
      <c r="L3" s="63"/>
    </row>
    <row r="4" spans="2:25" s="63" customFormat="1" ht="24.75" customHeight="1" x14ac:dyDescent="0.25">
      <c r="B4" s="64"/>
      <c r="C4" s="65" t="s">
        <v>45</v>
      </c>
      <c r="D4" s="66">
        <f>P2</f>
        <v>43101</v>
      </c>
      <c r="E4" s="66">
        <f>DATE(YEAR(D4),MONTH(D4)+1,1)</f>
        <v>43132</v>
      </c>
      <c r="F4" s="66">
        <f t="shared" ref="F4:O4" si="0">DATE(YEAR(E4),MONTH(E4)+1,1)</f>
        <v>43160</v>
      </c>
      <c r="G4" s="66">
        <f t="shared" si="0"/>
        <v>43191</v>
      </c>
      <c r="H4" s="66">
        <f t="shared" si="0"/>
        <v>43221</v>
      </c>
      <c r="I4" s="66">
        <f t="shared" si="0"/>
        <v>43252</v>
      </c>
      <c r="J4" s="66">
        <f t="shared" si="0"/>
        <v>43282</v>
      </c>
      <c r="K4" s="66">
        <f t="shared" si="0"/>
        <v>43313</v>
      </c>
      <c r="L4" s="66">
        <f t="shared" si="0"/>
        <v>43344</v>
      </c>
      <c r="M4" s="66">
        <f t="shared" si="0"/>
        <v>43374</v>
      </c>
      <c r="N4" s="66">
        <f t="shared" si="0"/>
        <v>43405</v>
      </c>
      <c r="O4" s="66">
        <f t="shared" si="0"/>
        <v>43435</v>
      </c>
      <c r="P4" s="67" t="s">
        <v>46</v>
      </c>
    </row>
    <row r="5" spans="2:25" ht="24" customHeight="1" x14ac:dyDescent="0.25">
      <c r="B5" s="68" t="s">
        <v>47</v>
      </c>
      <c r="C5" s="69">
        <v>0</v>
      </c>
      <c r="D5" s="69">
        <f>C43</f>
        <v>138505</v>
      </c>
      <c r="E5" s="69">
        <f t="shared" ref="E5:N5" si="1">D43</f>
        <v>96157.152499999997</v>
      </c>
      <c r="F5" s="69">
        <f t="shared" si="1"/>
        <v>76189.304999999993</v>
      </c>
      <c r="G5" s="69">
        <f t="shared" si="1"/>
        <v>45893.70749999999</v>
      </c>
      <c r="H5" s="69">
        <f t="shared" si="1"/>
        <v>24598.10999999999</v>
      </c>
      <c r="I5" s="69">
        <f t="shared" si="1"/>
        <v>3302.5124999999898</v>
      </c>
      <c r="J5" s="69">
        <f t="shared" si="1"/>
        <v>10770.91499999999</v>
      </c>
      <c r="K5" s="69">
        <f t="shared" si="1"/>
        <v>15597.769999999997</v>
      </c>
      <c r="L5" s="69">
        <f t="shared" si="1"/>
        <v>26769.124999999993</v>
      </c>
      <c r="M5" s="69">
        <f t="shared" si="1"/>
        <v>37940.480000000003</v>
      </c>
      <c r="N5" s="69">
        <f t="shared" si="1"/>
        <v>1209.1683333333349</v>
      </c>
      <c r="O5" s="69">
        <f>N43</f>
        <v>43086.356666666674</v>
      </c>
      <c r="P5" s="69">
        <f>O5</f>
        <v>43086.356666666674</v>
      </c>
    </row>
    <row r="6" spans="2:25" ht="8.1" customHeight="1" x14ac:dyDescent="0.25"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63"/>
      <c r="U6" s="113"/>
    </row>
    <row r="7" spans="2:25" ht="18" customHeight="1" x14ac:dyDescent="0.25">
      <c r="B7" s="72" t="s">
        <v>48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4"/>
      <c r="U7" s="113" t="s">
        <v>116</v>
      </c>
    </row>
    <row r="8" spans="2:25" ht="18" customHeight="1" x14ac:dyDescent="0.25">
      <c r="B8" s="75" t="s">
        <v>49</v>
      </c>
      <c r="C8" s="69"/>
      <c r="D8" s="69">
        <f>D46*D52</f>
        <v>0</v>
      </c>
      <c r="E8" s="69">
        <f t="shared" ref="E8:O8" si="2">E46*E52</f>
        <v>0</v>
      </c>
      <c r="F8" s="69">
        <f t="shared" si="2"/>
        <v>0</v>
      </c>
      <c r="G8" s="69">
        <f t="shared" si="2"/>
        <v>0</v>
      </c>
      <c r="H8" s="69">
        <f t="shared" si="2"/>
        <v>0</v>
      </c>
      <c r="I8" s="69">
        <f t="shared" si="2"/>
        <v>28800</v>
      </c>
      <c r="J8" s="69">
        <f t="shared" si="2"/>
        <v>57600</v>
      </c>
      <c r="K8" s="69">
        <f t="shared" si="2"/>
        <v>57600</v>
      </c>
      <c r="L8" s="69">
        <f t="shared" si="2"/>
        <v>57600</v>
      </c>
      <c r="M8" s="69">
        <f t="shared" si="2"/>
        <v>86400</v>
      </c>
      <c r="N8" s="69">
        <f t="shared" si="2"/>
        <v>115200</v>
      </c>
      <c r="O8" s="69">
        <f t="shared" si="2"/>
        <v>172800</v>
      </c>
      <c r="P8" s="69">
        <f>SUM(D8:O8)</f>
        <v>576000</v>
      </c>
      <c r="R8" s="76"/>
    </row>
    <row r="9" spans="2:25" ht="18" customHeight="1" x14ac:dyDescent="0.25">
      <c r="B9" s="77" t="s">
        <v>50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2:25" ht="18" customHeight="1" x14ac:dyDescent="0.25">
      <c r="B10" s="75" t="s">
        <v>51</v>
      </c>
      <c r="C10" s="69">
        <v>138505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</row>
    <row r="11" spans="2:25" ht="18" customHeight="1" x14ac:dyDescent="0.25">
      <c r="B11" s="79" t="s">
        <v>52</v>
      </c>
      <c r="C11" s="80">
        <f>SUM(C8:C10)</f>
        <v>138505</v>
      </c>
      <c r="D11" s="80">
        <f t="shared" ref="D11:P11" si="3">SUM(D8:D10)</f>
        <v>0</v>
      </c>
      <c r="E11" s="80">
        <f t="shared" si="3"/>
        <v>0</v>
      </c>
      <c r="F11" s="80">
        <f t="shared" si="3"/>
        <v>0</v>
      </c>
      <c r="G11" s="80">
        <f t="shared" si="3"/>
        <v>0</v>
      </c>
      <c r="H11" s="80">
        <f t="shared" si="3"/>
        <v>0</v>
      </c>
      <c r="I11" s="80">
        <f t="shared" si="3"/>
        <v>28800</v>
      </c>
      <c r="J11" s="80">
        <f t="shared" si="3"/>
        <v>57600</v>
      </c>
      <c r="K11" s="80">
        <f t="shared" si="3"/>
        <v>57600</v>
      </c>
      <c r="L11" s="80">
        <f t="shared" si="3"/>
        <v>57600</v>
      </c>
      <c r="M11" s="80">
        <f t="shared" si="3"/>
        <v>86400</v>
      </c>
      <c r="N11" s="80">
        <f t="shared" si="3"/>
        <v>115200</v>
      </c>
      <c r="O11" s="80">
        <f t="shared" si="3"/>
        <v>172800</v>
      </c>
      <c r="P11" s="80">
        <f t="shared" si="3"/>
        <v>576000</v>
      </c>
    </row>
    <row r="12" spans="2:25" ht="24" customHeight="1" x14ac:dyDescent="0.25">
      <c r="B12" s="68" t="s">
        <v>53</v>
      </c>
      <c r="C12" s="80">
        <f>(C5+C11)</f>
        <v>138505</v>
      </c>
      <c r="D12" s="80">
        <f t="shared" ref="D12:P12" si="4">(D5+D11)</f>
        <v>138505</v>
      </c>
      <c r="E12" s="80">
        <f t="shared" si="4"/>
        <v>96157.152499999997</v>
      </c>
      <c r="F12" s="80">
        <f t="shared" si="4"/>
        <v>76189.304999999993</v>
      </c>
      <c r="G12" s="80">
        <f t="shared" si="4"/>
        <v>45893.70749999999</v>
      </c>
      <c r="H12" s="80">
        <f t="shared" si="4"/>
        <v>24598.10999999999</v>
      </c>
      <c r="I12" s="80">
        <f t="shared" si="4"/>
        <v>32102.51249999999</v>
      </c>
      <c r="J12" s="80">
        <f t="shared" si="4"/>
        <v>68370.914999999994</v>
      </c>
      <c r="K12" s="80">
        <f t="shared" si="4"/>
        <v>73197.76999999999</v>
      </c>
      <c r="L12" s="80">
        <f t="shared" si="4"/>
        <v>84369.125</v>
      </c>
      <c r="M12" s="80">
        <f t="shared" si="4"/>
        <v>124340.48000000001</v>
      </c>
      <c r="N12" s="80">
        <f t="shared" si="4"/>
        <v>116409.16833333333</v>
      </c>
      <c r="O12" s="80">
        <f t="shared" si="4"/>
        <v>215886.35666666669</v>
      </c>
      <c r="P12" s="80">
        <f t="shared" si="4"/>
        <v>619086.35666666669</v>
      </c>
    </row>
    <row r="13" spans="2:25" s="63" customFormat="1" ht="8.1" customHeight="1" x14ac:dyDescent="0.25">
      <c r="B13" s="81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25" ht="18" customHeight="1" x14ac:dyDescent="0.25">
      <c r="B14" s="72" t="s">
        <v>54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74"/>
      <c r="U14" s="113"/>
    </row>
    <row r="15" spans="2:25" ht="18" customHeight="1" thickBot="1" x14ac:dyDescent="0.3">
      <c r="B15" s="75" t="s">
        <v>55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2:25" ht="18" customHeight="1" x14ac:dyDescent="0.25">
      <c r="B16" s="84" t="s">
        <v>56</v>
      </c>
      <c r="C16" s="78"/>
      <c r="D16" s="85">
        <f>(D46*1000)/1000000*50</f>
        <v>0</v>
      </c>
      <c r="E16" s="85">
        <f t="shared" ref="E16:O16" si="5">(E46*1000)/1000000*50</f>
        <v>0</v>
      </c>
      <c r="F16" s="85">
        <f t="shared" si="5"/>
        <v>0</v>
      </c>
      <c r="G16" s="85">
        <f t="shared" si="5"/>
        <v>0</v>
      </c>
      <c r="H16" s="85">
        <f t="shared" si="5"/>
        <v>0</v>
      </c>
      <c r="I16" s="85">
        <f t="shared" si="5"/>
        <v>36</v>
      </c>
      <c r="J16" s="85">
        <f t="shared" si="5"/>
        <v>72</v>
      </c>
      <c r="K16" s="85">
        <f t="shared" si="5"/>
        <v>72</v>
      </c>
      <c r="L16" s="85">
        <f t="shared" si="5"/>
        <v>72</v>
      </c>
      <c r="M16" s="85">
        <f t="shared" si="5"/>
        <v>108</v>
      </c>
      <c r="N16" s="85">
        <f t="shared" si="5"/>
        <v>144</v>
      </c>
      <c r="O16" s="85">
        <f t="shared" si="5"/>
        <v>216</v>
      </c>
      <c r="P16" s="85">
        <f>SUM(D16:O16)</f>
        <v>720</v>
      </c>
      <c r="U16" s="86" t="s">
        <v>57</v>
      </c>
      <c r="V16" s="87"/>
      <c r="W16" s="87" t="s">
        <v>58</v>
      </c>
      <c r="X16" s="87" t="s">
        <v>59</v>
      </c>
      <c r="Y16" s="88"/>
    </row>
    <row r="17" spans="2:25" ht="18" customHeight="1" x14ac:dyDescent="0.25">
      <c r="B17" s="75" t="s">
        <v>60</v>
      </c>
      <c r="C17" s="69"/>
      <c r="D17" s="89">
        <f>1327.75*1</f>
        <v>1327.75</v>
      </c>
      <c r="E17" s="89">
        <f>1327.75*1</f>
        <v>1327.75</v>
      </c>
      <c r="F17" s="89">
        <f>1327.75*2</f>
        <v>2655.5</v>
      </c>
      <c r="G17" s="89">
        <f>1327.75*2</f>
        <v>2655.5</v>
      </c>
      <c r="H17" s="89">
        <f>1327.75*2</f>
        <v>2655.5</v>
      </c>
      <c r="I17" s="89">
        <f>1327.75*2</f>
        <v>2655.5</v>
      </c>
      <c r="J17" s="89">
        <f t="shared" ref="G17:J17" si="6">1327.75*4</f>
        <v>5311</v>
      </c>
      <c r="K17" s="89">
        <f>1327.75*6</f>
        <v>7966.5</v>
      </c>
      <c r="L17" s="89">
        <f>1327.75*6</f>
        <v>7966.5</v>
      </c>
      <c r="M17" s="89">
        <f t="shared" ref="M17" si="7">1327.75*6</f>
        <v>7966.5</v>
      </c>
      <c r="N17" s="89">
        <f>1327.75*8</f>
        <v>10622</v>
      </c>
      <c r="O17" s="89">
        <f>1327.75*8</f>
        <v>10622</v>
      </c>
      <c r="P17" s="89">
        <f>SUM(D17:O17)</f>
        <v>63732</v>
      </c>
      <c r="U17" s="90" t="s">
        <v>61</v>
      </c>
      <c r="V17" s="63">
        <f>4*50000</f>
        <v>200000</v>
      </c>
      <c r="W17" s="63"/>
      <c r="X17" s="63"/>
      <c r="Y17" s="91"/>
    </row>
    <row r="18" spans="2:25" ht="18" customHeight="1" x14ac:dyDescent="0.25">
      <c r="B18" s="84" t="s">
        <v>62</v>
      </c>
      <c r="C18" s="78"/>
      <c r="D18" s="78">
        <v>6517</v>
      </c>
      <c r="E18" s="78">
        <v>6517</v>
      </c>
      <c r="F18" s="78">
        <v>6517</v>
      </c>
      <c r="G18" s="78">
        <v>6517</v>
      </c>
      <c r="H18" s="78">
        <v>6517</v>
      </c>
      <c r="I18" s="78">
        <v>6517</v>
      </c>
      <c r="J18" s="78">
        <f>$V$20/12</f>
        <v>24350</v>
      </c>
      <c r="K18" s="78">
        <f>$V$20/12</f>
        <v>24350</v>
      </c>
      <c r="L18" s="78">
        <f>$V$20/12</f>
        <v>24350</v>
      </c>
      <c r="M18" s="78">
        <f>$V$20/12</f>
        <v>24350</v>
      </c>
      <c r="N18" s="78">
        <f>$V$20/12</f>
        <v>24350</v>
      </c>
      <c r="O18" s="78">
        <f>$V$20/12</f>
        <v>24350</v>
      </c>
      <c r="P18" s="78">
        <f>SUM(D18:O18)</f>
        <v>185202</v>
      </c>
      <c r="U18" s="90" t="s">
        <v>63</v>
      </c>
      <c r="V18" s="63">
        <v>45000</v>
      </c>
      <c r="W18" s="63"/>
      <c r="X18" s="63"/>
      <c r="Y18" s="91"/>
    </row>
    <row r="19" spans="2:25" ht="18" customHeight="1" x14ac:dyDescent="0.25">
      <c r="B19" s="75" t="s">
        <v>64</v>
      </c>
      <c r="C19" s="69"/>
      <c r="D19" s="69">
        <f>D18*10.75%</f>
        <v>700.57749999999999</v>
      </c>
      <c r="E19" s="69">
        <f t="shared" ref="E19:P19" si="8">E18*10.75%</f>
        <v>700.57749999999999</v>
      </c>
      <c r="F19" s="69">
        <f t="shared" si="8"/>
        <v>700.57749999999999</v>
      </c>
      <c r="G19" s="69">
        <f t="shared" si="8"/>
        <v>700.57749999999999</v>
      </c>
      <c r="H19" s="69">
        <f t="shared" si="8"/>
        <v>700.57749999999999</v>
      </c>
      <c r="I19" s="69">
        <f t="shared" si="8"/>
        <v>700.57749999999999</v>
      </c>
      <c r="J19" s="69">
        <f t="shared" si="8"/>
        <v>2617.625</v>
      </c>
      <c r="K19" s="69">
        <f t="shared" si="8"/>
        <v>2617.625</v>
      </c>
      <c r="L19" s="69">
        <f t="shared" si="8"/>
        <v>2617.625</v>
      </c>
      <c r="M19" s="69">
        <f t="shared" si="8"/>
        <v>2617.625</v>
      </c>
      <c r="N19" s="69">
        <f t="shared" si="8"/>
        <v>2617.625</v>
      </c>
      <c r="O19" s="69">
        <f t="shared" si="8"/>
        <v>2617.625</v>
      </c>
      <c r="P19" s="69">
        <f t="shared" si="8"/>
        <v>19909.215</v>
      </c>
      <c r="U19" s="90" t="s">
        <v>65</v>
      </c>
      <c r="V19" s="63">
        <f>1*40000+(W19*X19)</f>
        <v>47200</v>
      </c>
      <c r="W19" s="92">
        <v>14400</v>
      </c>
      <c r="X19" s="63">
        <v>0.5</v>
      </c>
      <c r="Y19" s="91"/>
    </row>
    <row r="20" spans="2:25" ht="18" customHeight="1" thickBot="1" x14ac:dyDescent="0.3">
      <c r="B20" s="84" t="s">
        <v>0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>
        <v>1000</v>
      </c>
      <c r="N20" s="78">
        <v>1000</v>
      </c>
      <c r="O20" s="78">
        <v>1000</v>
      </c>
      <c r="P20" s="78">
        <f>SUM(M20:O20)</f>
        <v>3000</v>
      </c>
      <c r="U20" s="93" t="s">
        <v>66</v>
      </c>
      <c r="V20" s="94">
        <f>SUM(V17:V19)</f>
        <v>292200</v>
      </c>
      <c r="W20" s="94"/>
      <c r="X20" s="94"/>
      <c r="Y20" s="95"/>
    </row>
    <row r="21" spans="2:25" ht="18" customHeight="1" thickBot="1" x14ac:dyDescent="0.3">
      <c r="B21" s="75" t="s">
        <v>67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>
        <v>45000</v>
      </c>
      <c r="N21" s="69">
        <v>2500</v>
      </c>
      <c r="O21" s="69">
        <v>2500</v>
      </c>
      <c r="P21" s="69">
        <f>SUM(M21:O21)</f>
        <v>50000</v>
      </c>
    </row>
    <row r="22" spans="2:25" ht="18" customHeight="1" x14ac:dyDescent="0.25">
      <c r="B22" s="84" t="s">
        <v>68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>
        <v>1000</v>
      </c>
      <c r="N22" s="78">
        <v>1000</v>
      </c>
      <c r="O22" s="78">
        <v>1000</v>
      </c>
      <c r="P22" s="78">
        <f>SUM(M22:O22)</f>
        <v>3000</v>
      </c>
      <c r="U22" s="86" t="s">
        <v>69</v>
      </c>
      <c r="V22" s="87"/>
      <c r="W22" s="87"/>
      <c r="X22" s="87"/>
      <c r="Y22" s="88"/>
    </row>
    <row r="23" spans="2:25" ht="18" customHeight="1" x14ac:dyDescent="0.25">
      <c r="B23" s="75" t="s">
        <v>2</v>
      </c>
      <c r="C23" s="69"/>
      <c r="D23" s="69"/>
      <c r="E23" s="69"/>
      <c r="F23" s="69">
        <f>R23/3</f>
        <v>9000</v>
      </c>
      <c r="G23" s="69"/>
      <c r="H23" s="69"/>
      <c r="I23" s="69"/>
      <c r="J23" s="69">
        <f>R23/3</f>
        <v>9000</v>
      </c>
      <c r="K23" s="69"/>
      <c r="L23" s="69"/>
      <c r="M23" s="69"/>
      <c r="N23" s="69"/>
      <c r="O23" s="69">
        <f>R23/3</f>
        <v>9000</v>
      </c>
      <c r="P23" s="69">
        <f>SUM(D23:O23)</f>
        <v>27000</v>
      </c>
      <c r="R23" s="54">
        <f>W41</f>
        <v>27000</v>
      </c>
      <c r="U23" s="90" t="s">
        <v>70</v>
      </c>
      <c r="V23" s="63"/>
      <c r="W23" s="63"/>
      <c r="X23" s="63"/>
      <c r="Y23" s="91"/>
    </row>
    <row r="24" spans="2:25" ht="18" customHeight="1" x14ac:dyDescent="0.25">
      <c r="B24" s="84" t="s">
        <v>71</v>
      </c>
      <c r="C24" s="78"/>
      <c r="D24" s="78">
        <v>250</v>
      </c>
      <c r="E24" s="78">
        <v>250</v>
      </c>
      <c r="F24" s="78">
        <v>250</v>
      </c>
      <c r="G24" s="78">
        <v>250</v>
      </c>
      <c r="H24" s="78">
        <v>250</v>
      </c>
      <c r="I24" s="78">
        <v>250</v>
      </c>
      <c r="J24" s="78">
        <v>250</v>
      </c>
      <c r="K24" s="78">
        <v>250</v>
      </c>
      <c r="L24" s="78">
        <v>250</v>
      </c>
      <c r="M24" s="78">
        <v>250</v>
      </c>
      <c r="N24" s="78">
        <v>250</v>
      </c>
      <c r="O24" s="78">
        <v>250</v>
      </c>
      <c r="P24" s="78">
        <f>SUM(D24:O24)</f>
        <v>3000</v>
      </c>
      <c r="U24" s="96">
        <v>48000</v>
      </c>
      <c r="V24" s="63">
        <v>500</v>
      </c>
      <c r="W24" s="63">
        <f>U24*V24</f>
        <v>24000000</v>
      </c>
      <c r="X24" s="63"/>
      <c r="Y24" s="91"/>
    </row>
    <row r="25" spans="2:25" ht="18" customHeight="1" thickBot="1" x14ac:dyDescent="0.3">
      <c r="B25" s="75" t="s">
        <v>72</v>
      </c>
      <c r="C25" s="69"/>
      <c r="D25" s="69">
        <v>5000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>
        <v>5000</v>
      </c>
      <c r="U25" s="93">
        <f>W24/1000000</f>
        <v>24</v>
      </c>
      <c r="V25" s="94">
        <v>50</v>
      </c>
      <c r="W25" s="94">
        <f>U25*V25</f>
        <v>1200</v>
      </c>
      <c r="X25" s="94"/>
      <c r="Y25" s="95"/>
    </row>
    <row r="26" spans="2:25" ht="18" customHeight="1" thickBot="1" x14ac:dyDescent="0.3">
      <c r="B26" s="84" t="s">
        <v>3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>
        <f>$X$53/12+10000</f>
        <v>15666.666666666668</v>
      </c>
      <c r="N26" s="78">
        <f>$X$53/12</f>
        <v>5666.666666666667</v>
      </c>
      <c r="O26" s="78">
        <f>$X$53/12</f>
        <v>5666.666666666667</v>
      </c>
      <c r="P26" s="78">
        <f>SUM(M26:O26)</f>
        <v>27000.000000000004</v>
      </c>
    </row>
    <row r="27" spans="2:25" ht="18" customHeight="1" x14ac:dyDescent="0.25">
      <c r="B27" s="75" t="s">
        <v>4</v>
      </c>
      <c r="C27" s="69"/>
      <c r="D27" s="69">
        <f>$R$27/12</f>
        <v>900</v>
      </c>
      <c r="E27" s="69">
        <f>$R$27/12</f>
        <v>900</v>
      </c>
      <c r="F27" s="69">
        <f>$R$27/12</f>
        <v>900</v>
      </c>
      <c r="G27" s="69">
        <f>$R$27/12</f>
        <v>900</v>
      </c>
      <c r="H27" s="69">
        <f>$R$27/12</f>
        <v>900</v>
      </c>
      <c r="I27" s="69">
        <f>$R$27/12</f>
        <v>900</v>
      </c>
      <c r="J27" s="69">
        <f>$R$27/12</f>
        <v>900</v>
      </c>
      <c r="K27" s="69">
        <f>$R$27/12</f>
        <v>900</v>
      </c>
      <c r="L27" s="69">
        <f>$R$27/12</f>
        <v>900</v>
      </c>
      <c r="M27" s="69">
        <f>$R$27/12</f>
        <v>900</v>
      </c>
      <c r="N27" s="69">
        <f>$R$27/12</f>
        <v>900</v>
      </c>
      <c r="O27" s="69">
        <f>$R$27/12</f>
        <v>900</v>
      </c>
      <c r="P27" s="69">
        <f>SUM(D27:O27)</f>
        <v>10800</v>
      </c>
      <c r="R27" s="54">
        <f>X43</f>
        <v>10800</v>
      </c>
      <c r="U27" s="86" t="s">
        <v>73</v>
      </c>
      <c r="V27" s="87"/>
      <c r="W27" s="87"/>
      <c r="X27" s="87"/>
      <c r="Y27" s="88"/>
    </row>
    <row r="28" spans="2:25" ht="18" customHeight="1" x14ac:dyDescent="0.25">
      <c r="B28" s="84" t="s">
        <v>5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>
        <v>500</v>
      </c>
      <c r="N28" s="78">
        <v>500</v>
      </c>
      <c r="O28" s="78">
        <v>500</v>
      </c>
      <c r="P28" s="78">
        <f>SUM(M28:O28)</f>
        <v>1500</v>
      </c>
      <c r="U28" s="90"/>
      <c r="V28" s="63"/>
      <c r="W28" s="63"/>
      <c r="X28" s="63"/>
      <c r="Y28" s="91"/>
    </row>
    <row r="29" spans="2:25" ht="18" customHeight="1" x14ac:dyDescent="0.25">
      <c r="B29" s="75" t="s">
        <v>6</v>
      </c>
      <c r="C29" s="69"/>
      <c r="D29" s="69">
        <v>2500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>
        <v>500</v>
      </c>
      <c r="U29" s="90"/>
      <c r="V29" s="63"/>
      <c r="W29" s="63"/>
      <c r="X29" s="63"/>
      <c r="Y29" s="91"/>
    </row>
    <row r="30" spans="2:25" ht="18" customHeight="1" x14ac:dyDescent="0.25">
      <c r="B30" s="84" t="s">
        <v>14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U30" s="90"/>
      <c r="V30" s="63"/>
      <c r="W30" s="63"/>
      <c r="X30" s="63"/>
      <c r="Y30" s="91"/>
    </row>
    <row r="31" spans="2:25" ht="18" customHeight="1" x14ac:dyDescent="0.25">
      <c r="B31" s="75" t="s">
        <v>74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U31" s="90"/>
      <c r="V31" s="63"/>
      <c r="W31" s="63"/>
      <c r="X31" s="63"/>
      <c r="Y31" s="91"/>
    </row>
    <row r="32" spans="2:25" ht="18" customHeight="1" x14ac:dyDescent="0.25">
      <c r="B32" s="84" t="s">
        <v>75</v>
      </c>
      <c r="C32" s="78"/>
      <c r="D32" s="78">
        <v>2000</v>
      </c>
      <c r="E32" s="78">
        <v>2000</v>
      </c>
      <c r="F32" s="78">
        <v>2000</v>
      </c>
      <c r="G32" s="78">
        <v>2000</v>
      </c>
      <c r="H32" s="78">
        <v>2000</v>
      </c>
      <c r="I32" s="78">
        <v>2000</v>
      </c>
      <c r="J32" s="78">
        <v>2000</v>
      </c>
      <c r="K32" s="78">
        <v>2000</v>
      </c>
      <c r="L32" s="78">
        <v>2000</v>
      </c>
      <c r="M32" s="78">
        <v>10000</v>
      </c>
      <c r="N32" s="78">
        <v>10000</v>
      </c>
      <c r="O32" s="78">
        <v>10000</v>
      </c>
      <c r="P32" s="78">
        <f>SUM(D32:O32)</f>
        <v>48000</v>
      </c>
      <c r="U32" s="90"/>
      <c r="V32" s="63"/>
      <c r="W32" s="63"/>
      <c r="X32" s="63"/>
      <c r="Y32" s="91"/>
    </row>
    <row r="33" spans="2:25" ht="18" customHeight="1" x14ac:dyDescent="0.25">
      <c r="B33" s="75" t="s">
        <v>76</v>
      </c>
      <c r="C33" s="69"/>
      <c r="D33" s="69">
        <f>70*6</f>
        <v>420</v>
      </c>
      <c r="E33" s="69">
        <f t="shared" ref="E33:O33" si="9">70*6</f>
        <v>420</v>
      </c>
      <c r="F33" s="69">
        <f t="shared" si="9"/>
        <v>420</v>
      </c>
      <c r="G33" s="69">
        <f t="shared" si="9"/>
        <v>420</v>
      </c>
      <c r="H33" s="69">
        <f t="shared" si="9"/>
        <v>420</v>
      </c>
      <c r="I33" s="69">
        <f t="shared" si="9"/>
        <v>420</v>
      </c>
      <c r="J33" s="69">
        <f t="shared" si="9"/>
        <v>420</v>
      </c>
      <c r="K33" s="69">
        <f t="shared" si="9"/>
        <v>420</v>
      </c>
      <c r="L33" s="69">
        <f t="shared" si="9"/>
        <v>420</v>
      </c>
      <c r="M33" s="69">
        <f t="shared" si="9"/>
        <v>420</v>
      </c>
      <c r="N33" s="69">
        <f t="shared" si="9"/>
        <v>420</v>
      </c>
      <c r="O33" s="69">
        <f t="shared" si="9"/>
        <v>420</v>
      </c>
      <c r="P33" s="69">
        <f>SUM(D33:O33)</f>
        <v>5040</v>
      </c>
      <c r="U33" s="90"/>
      <c r="V33" s="63"/>
      <c r="W33" s="63"/>
      <c r="X33" s="63"/>
      <c r="Y33" s="91"/>
    </row>
    <row r="34" spans="2:25" ht="18" customHeight="1" thickBot="1" x14ac:dyDescent="0.3">
      <c r="B34" s="84" t="s">
        <v>77</v>
      </c>
      <c r="C34" s="78"/>
      <c r="D34" s="78">
        <v>5500</v>
      </c>
      <c r="E34" s="78">
        <v>5500</v>
      </c>
      <c r="F34" s="78">
        <v>5500</v>
      </c>
      <c r="G34" s="78">
        <v>5500</v>
      </c>
      <c r="H34" s="78">
        <v>5500</v>
      </c>
      <c r="I34" s="78">
        <v>5500</v>
      </c>
      <c r="J34" s="78">
        <v>5500</v>
      </c>
      <c r="K34" s="78">
        <v>5500</v>
      </c>
      <c r="L34" s="78">
        <v>5500</v>
      </c>
      <c r="M34" s="78">
        <v>11000</v>
      </c>
      <c r="N34" s="78">
        <v>11000</v>
      </c>
      <c r="O34" s="78">
        <v>11000</v>
      </c>
      <c r="P34" s="78">
        <f>SUM(D34:O34)</f>
        <v>82500</v>
      </c>
      <c r="U34" s="93">
        <v>1327.75</v>
      </c>
      <c r="V34" s="94">
        <v>12</v>
      </c>
      <c r="W34" s="94">
        <f>U34*V34</f>
        <v>15933</v>
      </c>
      <c r="X34" s="94"/>
      <c r="Y34" s="95"/>
    </row>
    <row r="35" spans="2:25" ht="18" customHeight="1" thickBot="1" x14ac:dyDescent="0.3">
      <c r="B35" s="75" t="s">
        <v>115</v>
      </c>
      <c r="C35" s="69"/>
      <c r="D35" s="89">
        <v>15</v>
      </c>
      <c r="E35" s="89">
        <v>15</v>
      </c>
      <c r="F35" s="89">
        <v>15</v>
      </c>
      <c r="G35" s="89">
        <v>15</v>
      </c>
      <c r="H35" s="89">
        <v>15</v>
      </c>
      <c r="I35" s="89">
        <v>15</v>
      </c>
      <c r="J35" s="89">
        <v>15</v>
      </c>
      <c r="K35" s="89">
        <v>15</v>
      </c>
      <c r="L35" s="89">
        <v>15</v>
      </c>
      <c r="M35" s="89">
        <v>15</v>
      </c>
      <c r="N35" s="89">
        <v>15</v>
      </c>
      <c r="O35" s="89">
        <v>15</v>
      </c>
      <c r="P35" s="89">
        <f>SUM(D35:O35)</f>
        <v>180</v>
      </c>
    </row>
    <row r="36" spans="2:25" ht="18" customHeight="1" x14ac:dyDescent="0.25">
      <c r="B36" s="79" t="s">
        <v>78</v>
      </c>
      <c r="C36" s="80">
        <f>SUM(C15:C35)</f>
        <v>0</v>
      </c>
      <c r="D36" s="80">
        <f t="shared" ref="D36:O36" si="10">SUM(D15:D35)</f>
        <v>25130.327499999999</v>
      </c>
      <c r="E36" s="80">
        <f t="shared" si="10"/>
        <v>17630.327499999999</v>
      </c>
      <c r="F36" s="80">
        <f t="shared" si="10"/>
        <v>27958.077499999999</v>
      </c>
      <c r="G36" s="80">
        <f t="shared" si="10"/>
        <v>18958.077499999999</v>
      </c>
      <c r="H36" s="80">
        <f t="shared" si="10"/>
        <v>18958.077499999999</v>
      </c>
      <c r="I36" s="80">
        <f t="shared" si="10"/>
        <v>18994.077499999999</v>
      </c>
      <c r="J36" s="80">
        <f t="shared" si="10"/>
        <v>50435.625</v>
      </c>
      <c r="K36" s="80">
        <f t="shared" si="10"/>
        <v>44091.125</v>
      </c>
      <c r="L36" s="80">
        <f t="shared" si="10"/>
        <v>44091.125</v>
      </c>
      <c r="M36" s="80">
        <f t="shared" si="10"/>
        <v>120793.79166666667</v>
      </c>
      <c r="N36" s="80">
        <f t="shared" si="10"/>
        <v>70985.291666666657</v>
      </c>
      <c r="O36" s="80">
        <f t="shared" si="10"/>
        <v>80057.291666666657</v>
      </c>
      <c r="P36" s="80">
        <f>SUM(P15:P35)</f>
        <v>536083.21500000008</v>
      </c>
      <c r="T36" s="86"/>
      <c r="U36" s="87" t="s">
        <v>79</v>
      </c>
      <c r="V36" s="87"/>
      <c r="W36" s="87"/>
      <c r="X36" s="87"/>
      <c r="Y36" s="88"/>
    </row>
    <row r="37" spans="2:25" ht="18" customHeight="1" x14ac:dyDescent="0.25">
      <c r="B37" s="75" t="s">
        <v>80</v>
      </c>
      <c r="C37" s="69"/>
      <c r="D37" s="89">
        <v>2337.52</v>
      </c>
      <c r="E37" s="89">
        <v>2337.52</v>
      </c>
      <c r="F37" s="89">
        <v>2337.52</v>
      </c>
      <c r="G37" s="89">
        <v>2337.52</v>
      </c>
      <c r="H37" s="89">
        <v>2337.52</v>
      </c>
      <c r="I37" s="89">
        <v>2337.52</v>
      </c>
      <c r="J37" s="89">
        <v>2337.52</v>
      </c>
      <c r="K37" s="89">
        <v>2337.52</v>
      </c>
      <c r="L37" s="89">
        <v>2337.52</v>
      </c>
      <c r="M37" s="89">
        <v>2337.52</v>
      </c>
      <c r="N37" s="89">
        <v>2337.52</v>
      </c>
      <c r="O37" s="89">
        <v>2337.52</v>
      </c>
      <c r="P37" s="69">
        <f>SUM(D37:O37)</f>
        <v>28050.240000000002</v>
      </c>
      <c r="T37" s="90"/>
      <c r="U37" s="63" t="s">
        <v>81</v>
      </c>
      <c r="V37" s="63" t="s">
        <v>82</v>
      </c>
      <c r="W37" s="63" t="s">
        <v>83</v>
      </c>
      <c r="X37" s="63"/>
      <c r="Y37" s="91"/>
    </row>
    <row r="38" spans="2:25" ht="18" customHeight="1" x14ac:dyDescent="0.25">
      <c r="B38" s="84" t="s">
        <v>84</v>
      </c>
      <c r="C38" s="78"/>
      <c r="D38" s="78">
        <v>14880</v>
      </c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>
        <f>D38</f>
        <v>14880</v>
      </c>
      <c r="T38" s="90" t="s">
        <v>85</v>
      </c>
      <c r="U38" s="63">
        <v>50</v>
      </c>
      <c r="V38" s="63">
        <v>90</v>
      </c>
      <c r="W38" s="63">
        <f>U38*V38</f>
        <v>4500</v>
      </c>
      <c r="X38" s="63"/>
      <c r="Y38" s="91"/>
    </row>
    <row r="39" spans="2:25" ht="18" customHeight="1" x14ac:dyDescent="0.25">
      <c r="B39" s="75" t="s">
        <v>86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69">
        <v>0</v>
      </c>
      <c r="T39" s="90" t="s">
        <v>87</v>
      </c>
      <c r="U39" s="63">
        <v>250</v>
      </c>
      <c r="V39" s="63">
        <v>90</v>
      </c>
      <c r="W39" s="63">
        <f>U39*V39</f>
        <v>22500</v>
      </c>
      <c r="X39" s="63"/>
      <c r="Y39" s="91"/>
    </row>
    <row r="40" spans="2:25" ht="18" customHeight="1" x14ac:dyDescent="0.25">
      <c r="B40" s="84" t="s">
        <v>88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T40" s="90"/>
      <c r="U40" s="63"/>
      <c r="V40" s="63"/>
      <c r="W40" s="63"/>
      <c r="X40" s="63"/>
      <c r="Y40" s="91"/>
    </row>
    <row r="41" spans="2:25" ht="18" customHeight="1" thickBot="1" x14ac:dyDescent="0.3">
      <c r="B41" s="75" t="s">
        <v>89</v>
      </c>
      <c r="C41" s="69">
        <v>0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T41" s="93"/>
      <c r="U41" s="94"/>
      <c r="V41" s="94"/>
      <c r="W41" s="94">
        <f>SUM(W38:W40)</f>
        <v>27000</v>
      </c>
      <c r="X41" s="94"/>
      <c r="Y41" s="95"/>
    </row>
    <row r="42" spans="2:25" ht="18" customHeight="1" x14ac:dyDescent="0.25">
      <c r="B42" s="79" t="s">
        <v>90</v>
      </c>
      <c r="C42" s="112">
        <f>SUM(C36:C41)</f>
        <v>0</v>
      </c>
      <c r="D42" s="112">
        <f t="shared" ref="D42:P42" si="11">SUM(D36:D41)</f>
        <v>42347.847500000003</v>
      </c>
      <c r="E42" s="112">
        <f t="shared" si="11"/>
        <v>19967.8475</v>
      </c>
      <c r="F42" s="112">
        <f t="shared" si="11"/>
        <v>30295.5975</v>
      </c>
      <c r="G42" s="112">
        <f t="shared" si="11"/>
        <v>21295.5975</v>
      </c>
      <c r="H42" s="112">
        <f t="shared" si="11"/>
        <v>21295.5975</v>
      </c>
      <c r="I42" s="112">
        <f t="shared" si="11"/>
        <v>21331.5975</v>
      </c>
      <c r="J42" s="112">
        <f t="shared" si="11"/>
        <v>52773.144999999997</v>
      </c>
      <c r="K42" s="112">
        <f t="shared" si="11"/>
        <v>46428.644999999997</v>
      </c>
      <c r="L42" s="112">
        <f t="shared" si="11"/>
        <v>46428.644999999997</v>
      </c>
      <c r="M42" s="112">
        <f t="shared" si="11"/>
        <v>123131.31166666668</v>
      </c>
      <c r="N42" s="112">
        <f t="shared" si="11"/>
        <v>73322.811666666661</v>
      </c>
      <c r="O42" s="112">
        <f t="shared" si="11"/>
        <v>82394.811666666661</v>
      </c>
      <c r="P42" s="112">
        <f t="shared" si="11"/>
        <v>579013.45500000007</v>
      </c>
      <c r="T42" s="86"/>
      <c r="U42" s="87" t="s">
        <v>91</v>
      </c>
      <c r="V42" s="87" t="s">
        <v>92</v>
      </c>
      <c r="W42" s="87" t="s">
        <v>93</v>
      </c>
      <c r="X42" s="87"/>
      <c r="Y42" s="88"/>
    </row>
    <row r="43" spans="2:25" ht="22.5" customHeight="1" thickBot="1" x14ac:dyDescent="0.3">
      <c r="B43" s="68" t="s">
        <v>94</v>
      </c>
      <c r="C43" s="112">
        <f>(C12-C42)</f>
        <v>138505</v>
      </c>
      <c r="D43" s="112">
        <f t="shared" ref="D43:P43" si="12">(D12-D42)</f>
        <v>96157.152499999997</v>
      </c>
      <c r="E43" s="112">
        <f t="shared" si="12"/>
        <v>76189.304999999993</v>
      </c>
      <c r="F43" s="112">
        <f t="shared" si="12"/>
        <v>45893.70749999999</v>
      </c>
      <c r="G43" s="112">
        <f t="shared" si="12"/>
        <v>24598.10999999999</v>
      </c>
      <c r="H43" s="112">
        <f t="shared" si="12"/>
        <v>3302.5124999999898</v>
      </c>
      <c r="I43" s="112">
        <f t="shared" si="12"/>
        <v>10770.91499999999</v>
      </c>
      <c r="J43" s="112">
        <f t="shared" si="12"/>
        <v>15597.769999999997</v>
      </c>
      <c r="K43" s="112">
        <f t="shared" si="12"/>
        <v>26769.124999999993</v>
      </c>
      <c r="L43" s="112">
        <f t="shared" si="12"/>
        <v>37940.480000000003</v>
      </c>
      <c r="M43" s="112">
        <f t="shared" si="12"/>
        <v>1209.1683333333349</v>
      </c>
      <c r="N43" s="112">
        <f t="shared" si="12"/>
        <v>43086.356666666674</v>
      </c>
      <c r="O43" s="112">
        <f t="shared" si="12"/>
        <v>133491.54500000004</v>
      </c>
      <c r="P43" s="112">
        <f t="shared" si="12"/>
        <v>40072.901666666614</v>
      </c>
      <c r="T43" s="93" t="s">
        <v>95</v>
      </c>
      <c r="U43" s="94">
        <v>6</v>
      </c>
      <c r="V43" s="94">
        <v>150</v>
      </c>
      <c r="W43" s="94">
        <v>12</v>
      </c>
      <c r="X43" s="94">
        <f>U43*V43*W43</f>
        <v>10800</v>
      </c>
      <c r="Y43" s="95"/>
    </row>
    <row r="44" spans="2:25" ht="8.1" customHeight="1" thickBot="1" x14ac:dyDescent="0.3">
      <c r="B44" s="64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</row>
    <row r="45" spans="2:25" ht="18" customHeight="1" x14ac:dyDescent="0.25">
      <c r="B45" s="97" t="s">
        <v>96</v>
      </c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9"/>
      <c r="T45" s="86" t="s">
        <v>97</v>
      </c>
      <c r="U45" s="87" t="s">
        <v>91</v>
      </c>
      <c r="V45" s="87" t="s">
        <v>98</v>
      </c>
      <c r="W45" s="87" t="s">
        <v>83</v>
      </c>
      <c r="X45" s="87"/>
      <c r="Y45" s="88"/>
    </row>
    <row r="46" spans="2:25" ht="18" customHeight="1" x14ac:dyDescent="0.25">
      <c r="B46" s="75" t="s">
        <v>99</v>
      </c>
      <c r="C46" s="69"/>
      <c r="D46" s="100"/>
      <c r="E46" s="69"/>
      <c r="F46" s="69"/>
      <c r="G46" s="69"/>
      <c r="H46" s="69"/>
      <c r="I46" s="69">
        <f>$P$46*0.05</f>
        <v>720</v>
      </c>
      <c r="J46" s="69">
        <f>$P$46*0.1</f>
        <v>1440</v>
      </c>
      <c r="K46" s="69">
        <f t="shared" ref="K46:L46" si="13">$P$46*0.1</f>
        <v>1440</v>
      </c>
      <c r="L46" s="69">
        <f t="shared" si="13"/>
        <v>1440</v>
      </c>
      <c r="M46" s="69">
        <f>$P$46*0.15</f>
        <v>2160</v>
      </c>
      <c r="N46" s="69">
        <f>$P$46*0.2</f>
        <v>2880</v>
      </c>
      <c r="O46" s="69">
        <f>$P$46*0.3</f>
        <v>4320</v>
      </c>
      <c r="P46" s="69">
        <f>120000000*0.012%</f>
        <v>14400</v>
      </c>
      <c r="T46" s="90" t="s">
        <v>100</v>
      </c>
      <c r="U46" s="63">
        <v>6</v>
      </c>
      <c r="V46" s="63">
        <v>2000</v>
      </c>
      <c r="W46" s="63">
        <f>U46*V46</f>
        <v>12000</v>
      </c>
      <c r="X46" s="63"/>
      <c r="Y46" s="91"/>
    </row>
    <row r="47" spans="2:25" ht="18" customHeight="1" x14ac:dyDescent="0.25">
      <c r="B47" s="84" t="s">
        <v>101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T47" s="90" t="s">
        <v>102</v>
      </c>
      <c r="U47" s="63">
        <v>6</v>
      </c>
      <c r="V47" s="63">
        <v>100</v>
      </c>
      <c r="W47" s="63">
        <f>U47*V47</f>
        <v>600</v>
      </c>
      <c r="X47" s="63"/>
      <c r="Y47" s="91"/>
    </row>
    <row r="48" spans="2:25" ht="18" customHeight="1" x14ac:dyDescent="0.25">
      <c r="B48" s="75" t="s">
        <v>103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T48" s="90" t="s">
        <v>104</v>
      </c>
      <c r="U48" s="63">
        <v>6</v>
      </c>
      <c r="V48" s="63">
        <v>300</v>
      </c>
      <c r="W48" s="63">
        <f>U48*V48</f>
        <v>1800</v>
      </c>
      <c r="X48" s="63"/>
      <c r="Y48" s="91"/>
    </row>
    <row r="49" spans="2:25" ht="18" customHeight="1" x14ac:dyDescent="0.25">
      <c r="B49" s="77" t="s">
        <v>105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T49" s="90" t="s">
        <v>106</v>
      </c>
      <c r="U49" s="63">
        <v>6</v>
      </c>
      <c r="V49" s="63">
        <v>80</v>
      </c>
      <c r="W49" s="63">
        <f>U49*V49</f>
        <v>480</v>
      </c>
      <c r="X49" s="63"/>
      <c r="Y49" s="91"/>
    </row>
    <row r="50" spans="2:25" ht="18" customHeight="1" thickBot="1" x14ac:dyDescent="0.3">
      <c r="B50" s="75" t="s">
        <v>107</v>
      </c>
      <c r="C50" s="69"/>
      <c r="D50" s="69"/>
      <c r="E50" s="69"/>
      <c r="F50" s="69"/>
      <c r="G50" s="69"/>
      <c r="H50" s="69"/>
      <c r="I50" s="69"/>
      <c r="J50" s="101"/>
      <c r="K50" s="101"/>
      <c r="L50" s="101"/>
      <c r="M50" s="101"/>
      <c r="N50" s="101"/>
      <c r="O50" s="101"/>
      <c r="P50" s="101"/>
      <c r="T50" s="93" t="s">
        <v>83</v>
      </c>
      <c r="U50" s="94"/>
      <c r="V50" s="94"/>
      <c r="W50" s="94">
        <f>SUM(W46:W49)</f>
        <v>14880</v>
      </c>
      <c r="X50" s="94"/>
      <c r="Y50" s="95"/>
    </row>
    <row r="51" spans="2:25" ht="18" customHeight="1" thickBot="1" x14ac:dyDescent="0.3">
      <c r="B51" s="102" t="s">
        <v>9</v>
      </c>
      <c r="C51" s="103"/>
      <c r="D51" s="103">
        <f>D38/3</f>
        <v>4960</v>
      </c>
      <c r="E51" s="103"/>
      <c r="F51" s="103"/>
      <c r="G51" s="103"/>
      <c r="H51" s="103"/>
      <c r="I51" s="104"/>
      <c r="J51" s="105"/>
      <c r="K51" s="106"/>
      <c r="L51" s="106"/>
      <c r="M51" s="106"/>
      <c r="N51" s="106"/>
      <c r="O51" s="106"/>
      <c r="P51" s="107"/>
    </row>
    <row r="52" spans="2:25" ht="21" customHeight="1" x14ac:dyDescent="0.25">
      <c r="B52" s="108" t="s">
        <v>108</v>
      </c>
      <c r="C52" s="109"/>
      <c r="D52" s="109">
        <v>40</v>
      </c>
      <c r="E52" s="109">
        <v>40</v>
      </c>
      <c r="F52" s="109">
        <v>40</v>
      </c>
      <c r="G52" s="109">
        <v>40</v>
      </c>
      <c r="H52" s="109">
        <v>40</v>
      </c>
      <c r="I52" s="110">
        <v>40</v>
      </c>
      <c r="J52" s="109">
        <v>40</v>
      </c>
      <c r="K52" s="109">
        <v>40</v>
      </c>
      <c r="L52" s="109">
        <v>40</v>
      </c>
      <c r="M52" s="109">
        <v>40</v>
      </c>
      <c r="N52" s="109">
        <v>40</v>
      </c>
      <c r="O52" s="109">
        <v>40</v>
      </c>
      <c r="P52" s="111"/>
      <c r="U52" s="86" t="s">
        <v>109</v>
      </c>
      <c r="V52" s="87"/>
      <c r="W52" s="87" t="s">
        <v>110</v>
      </c>
      <c r="X52" s="87" t="s">
        <v>83</v>
      </c>
      <c r="Y52" s="88"/>
    </row>
    <row r="53" spans="2:25" x14ac:dyDescent="0.25">
      <c r="U53" s="90">
        <v>800</v>
      </c>
      <c r="V53" s="63"/>
      <c r="W53" s="63">
        <v>85</v>
      </c>
      <c r="X53" s="63">
        <f>U53*W53</f>
        <v>68000</v>
      </c>
      <c r="Y53" s="91"/>
    </row>
    <row r="54" spans="2:25" ht="10.8" thickBot="1" x14ac:dyDescent="0.3">
      <c r="U54" s="93"/>
      <c r="V54" s="94"/>
      <c r="W54" s="94"/>
      <c r="X54" s="94"/>
      <c r="Y54" s="95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P&amp;L Statement</vt:lpstr>
      <vt:lpstr>12_Month_CashFlow</vt:lpstr>
      <vt:lpstr>'P&amp;L Statement'!Print_Titles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cp:keywords/>
  <dc:description/>
  <cp:lastModifiedBy>Mark</cp:lastModifiedBy>
  <cp:lastPrinted>2006-10-13T14:36:21Z</cp:lastPrinted>
  <dcterms:created xsi:type="dcterms:W3CDTF">2001-02-14T23:59:14Z</dcterms:created>
  <dcterms:modified xsi:type="dcterms:W3CDTF">2018-03-04T14:14:57Z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