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0073D5AE-F13A-428D-BCF3-97B0BA6E4F90}" xr6:coauthVersionLast="47" xr6:coauthVersionMax="47" xr10:uidLastSave="{00000000-0000-0000-0000-000000000000}"/>
  <bookViews>
    <workbookView xWindow="-120" yWindow="-120" windowWidth="29040" windowHeight="15720" activeTab="1" xr2:uid="{0C8A2C32-387D-4A4E-9B08-19A6AA98EEA1}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5" l="1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M21" i="1"/>
  <c r="M20" i="1"/>
  <c r="I21" i="1"/>
  <c r="K21" i="1" s="1"/>
  <c r="XFD1048550" i="4" a="1"/>
  <c r="XFD1048550" i="4" s="1"/>
  <c r="XFD1048551" i="4" a="1"/>
  <c r="XFD1048551" i="4"/>
  <c r="XFD1048552" i="4" a="1"/>
  <c r="XFD1048552" i="4"/>
  <c r="XFD1048553" i="4" a="1"/>
  <c r="XFD1048553" i="4"/>
  <c r="XFD1048554" i="4" a="1"/>
  <c r="XFD1048554" i="4"/>
  <c r="XFD1048555" i="4" a="1"/>
  <c r="XFD1048555" i="4" s="1"/>
  <c r="XFD1048556" i="4" a="1"/>
  <c r="XFD1048556" i="4"/>
  <c r="XFD1048557" i="4" a="1"/>
  <c r="XFD1048557" i="4"/>
  <c r="XFD1048558" i="4" a="1"/>
  <c r="XFD1048558" i="4" s="1"/>
  <c r="XFD1048559" i="4" a="1"/>
  <c r="XFD1048559" i="4"/>
  <c r="XFD1048560" i="4" a="1"/>
  <c r="XFD1048560" i="4"/>
  <c r="XFD1048561" i="4" a="1"/>
  <c r="XFD1048561" i="4"/>
  <c r="XFD1048562" i="4" a="1"/>
  <c r="XFD1048562" i="4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/>
  <c r="XFD1048569" i="4" a="1"/>
  <c r="XFD1048569" i="4"/>
  <c r="XFD1048570" i="4" a="1"/>
  <c r="XFD1048570" i="4"/>
  <c r="XFD1048571" i="4" a="1"/>
  <c r="XFD1048571" i="4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L11" i="3" s="1"/>
  <c r="J15" i="3"/>
  <c r="F15" i="3"/>
  <c r="J14" i="3"/>
  <c r="F14" i="3"/>
  <c r="J13" i="3"/>
  <c r="F13" i="3"/>
  <c r="J12" i="3"/>
  <c r="F12" i="3"/>
  <c r="J10" i="3"/>
  <c r="F10" i="3"/>
  <c r="L10" i="3" s="1"/>
  <c r="L5" i="3"/>
  <c r="I11" i="3" s="1"/>
  <c r="G20" i="2"/>
  <c r="I19" i="2"/>
  <c r="I20" i="2" s="1"/>
  <c r="K5" i="2"/>
  <c r="H10" i="2" s="1"/>
  <c r="C19" i="2"/>
  <c r="E19" i="2" s="1"/>
  <c r="I15" i="2"/>
  <c r="I14" i="2"/>
  <c r="I13" i="2"/>
  <c r="I12" i="2"/>
  <c r="I11" i="2"/>
  <c r="I10" i="2"/>
  <c r="E15" i="2"/>
  <c r="E13" i="2"/>
  <c r="E12" i="2"/>
  <c r="E10" i="2"/>
  <c r="E11" i="2"/>
  <c r="E14" i="2"/>
  <c r="V36" i="1"/>
  <c r="V37" i="1"/>
  <c r="J36" i="1"/>
  <c r="K29" i="1"/>
  <c r="V29" i="1" s="1"/>
  <c r="U21" i="1"/>
  <c r="U22" i="1"/>
  <c r="U20" i="1"/>
  <c r="V12" i="1"/>
  <c r="S20" i="1"/>
  <c r="T20" i="1" s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O19" i="5" l="1"/>
  <c r="P14" i="5" s="1"/>
  <c r="H27" i="5"/>
  <c r="I23" i="5" s="1"/>
  <c r="J23" i="5" s="1"/>
  <c r="D7" i="5"/>
  <c r="E3" i="5" s="1"/>
  <c r="H14" i="5"/>
  <c r="H15" i="5" s="1"/>
  <c r="I22" i="2"/>
  <c r="I23" i="2" s="1"/>
  <c r="K11" i="3"/>
  <c r="L15" i="3"/>
  <c r="L13" i="3"/>
  <c r="K13" i="3"/>
  <c r="K12" i="3"/>
  <c r="J16" i="3"/>
  <c r="J18" i="3" s="1"/>
  <c r="L14" i="3"/>
  <c r="K14" i="3"/>
  <c r="I15" i="3"/>
  <c r="L12" i="3"/>
  <c r="I10" i="3"/>
  <c r="K15" i="3"/>
  <c r="J4" i="3"/>
  <c r="I14" i="3"/>
  <c r="I12" i="3"/>
  <c r="K10" i="3"/>
  <c r="I13" i="3"/>
  <c r="F16" i="3"/>
  <c r="I18" i="3"/>
  <c r="J15" i="2"/>
  <c r="J19" i="2"/>
  <c r="J20" i="2" s="1"/>
  <c r="K19" i="2"/>
  <c r="C20" i="2"/>
  <c r="E20" i="2" s="1"/>
  <c r="K20" i="2" s="1"/>
  <c r="I4" i="2"/>
  <c r="H24" i="2"/>
  <c r="H20" i="2"/>
  <c r="H12" i="2"/>
  <c r="H11" i="2"/>
  <c r="H19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2" i="1"/>
  <c r="I20" i="1"/>
  <c r="V21" i="1" s="1"/>
  <c r="O22" i="5" l="1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4" i="2"/>
  <c r="G11" i="3"/>
  <c r="G10" i="3"/>
  <c r="L16" i="3"/>
  <c r="G13" i="3"/>
  <c r="G15" i="3"/>
  <c r="K16" i="3"/>
  <c r="K18" i="3" s="1"/>
  <c r="G14" i="3"/>
  <c r="G12" i="3"/>
  <c r="K17" i="2"/>
  <c r="J17" i="2"/>
  <c r="J24" i="2" s="1"/>
  <c r="F15" i="2"/>
  <c r="F13" i="2"/>
  <c r="F12" i="2"/>
  <c r="F10" i="2"/>
  <c r="F11" i="2"/>
  <c r="J20" i="1"/>
  <c r="K20" i="1" s="1"/>
  <c r="K22" i="1" s="1"/>
  <c r="F15" i="1" s="1"/>
  <c r="F12" i="1" s="1"/>
  <c r="V20" i="1"/>
  <c r="J37" i="1"/>
  <c r="K37" i="1" s="1"/>
  <c r="K36" i="1"/>
  <c r="I27" i="5" l="1"/>
  <c r="L25" i="5"/>
  <c r="L22" i="5"/>
  <c r="L24" i="5"/>
  <c r="G16" i="3"/>
  <c r="L18" i="3"/>
  <c r="K19" i="3"/>
  <c r="J25" i="2"/>
  <c r="K24" i="2"/>
  <c r="F17" i="2"/>
  <c r="F31" i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L27" i="5" l="1"/>
  <c r="F13" i="1"/>
  <c r="F17" i="1" s="1"/>
  <c r="F6" i="5"/>
  <c r="F4" i="5"/>
  <c r="F3" i="5"/>
  <c r="F5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<sst xmlns="http://schemas.openxmlformats.org/spreadsheetml/2006/main" count="900" uniqueCount="463">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</sst>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7" formatCode="[$$-409]#,##0.00"/>
    <numFmt numFmtId="178" formatCode="_-[$₺-41F]* #,##0.00_-;\-[$₺-41F]* #,##0.00_-;_-[$₺-41F]* &quot;-&quot;??_-;_-@_-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7" fontId="12" fillId="0" borderId="0" xfId="0" applyNumberFormat="1" applyFont="1"/>
    <xf numFmtId="0" fontId="13" fillId="0" borderId="0" xfId="0" applyFont="1"/>
    <xf numFmtId="177" fontId="13" fillId="0" borderId="0" xfId="0" applyNumberFormat="1" applyFont="1"/>
    <xf numFmtId="178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4:X39"/>
  <sheetViews>
    <sheetView topLeftCell="A6" zoomScale="85" zoomScaleNormal="85" workbookViewId="0">
      <selection activeCell="H21" sqref="H21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0" bestFit="1" customWidth="1"/>
    <col min="10" max="10" width="13.28515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61.190387926846711</v>
      </c>
      <c r="G12" s="2"/>
      <c r="H12" s="2"/>
      <c r="I12" s="2"/>
      <c r="J12" s="9" t="s">
        <v>17</v>
      </c>
      <c r="K12" s="22">
        <v>18043</v>
      </c>
      <c r="L12" s="16">
        <v>8741.99</v>
      </c>
      <c r="M12" s="7">
        <v>-0.01</v>
      </c>
      <c r="O12" s="2"/>
      <c r="P12" s="11" t="s">
        <v>0</v>
      </c>
      <c r="Q12" s="27">
        <f>Q15+Q16</f>
        <v>-8323.5166389999995</v>
      </c>
      <c r="R12" s="2"/>
      <c r="S12" s="2"/>
      <c r="T12" s="2"/>
      <c r="U12" s="9" t="s">
        <v>17</v>
      </c>
      <c r="V12" s="22">
        <f>K12</f>
        <v>18043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-3.2796120731532881</v>
      </c>
      <c r="G13" s="2"/>
      <c r="H13" s="2"/>
      <c r="I13" s="2"/>
      <c r="J13" s="9" t="s">
        <v>12</v>
      </c>
      <c r="K13" s="18">
        <v>0.19739274248467581</v>
      </c>
      <c r="L13" s="3"/>
      <c r="M13" s="6"/>
      <c r="O13" s="2"/>
      <c r="P13" s="11" t="s">
        <v>1</v>
      </c>
      <c r="Q13" s="19">
        <f>Q12-Q14</f>
        <v>-8407.2166390000002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v>64.47</v>
      </c>
      <c r="G14" s="2">
        <f>F14/2</f>
        <v>32.234999999999999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K22</f>
        <v>-49.109612073153286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-8652.5266389999997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110.3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0.94912964055912385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-99.44464323775388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-0.1</v>
      </c>
      <c r="G20" s="12">
        <v>17940.21</v>
      </c>
      <c r="H20" s="14">
        <v>18000</v>
      </c>
      <c r="I20" s="12">
        <f>G20-H20</f>
        <v>-59.790000000000873</v>
      </c>
      <c r="J20" s="17">
        <f>$K$13</f>
        <v>0.19739274248467581</v>
      </c>
      <c r="K20" s="14">
        <f>I20*J20</f>
        <v>-11.80211207315894</v>
      </c>
      <c r="L20" s="14">
        <v>-20.29</v>
      </c>
      <c r="M20" s="7">
        <f>(H20/G20-1)*F20*10</f>
        <v>-3.332736907762035E-3</v>
      </c>
      <c r="O20" s="2"/>
      <c r="P20" s="13" t="s">
        <v>16</v>
      </c>
      <c r="Q20" s="12">
        <v>-0.1</v>
      </c>
      <c r="R20" s="12">
        <v>8921.59</v>
      </c>
      <c r="S20" s="14">
        <f>$K$12</f>
        <v>18043</v>
      </c>
      <c r="T20" s="12">
        <f>R20-S20</f>
        <v>-9121.41</v>
      </c>
      <c r="U20" s="25">
        <f>$V$13</f>
        <v>0.31414999999999998</v>
      </c>
      <c r="V20" s="14">
        <f>T20*U20</f>
        <v>-2865.4909514999999</v>
      </c>
      <c r="W20" s="14"/>
      <c r="X20" s="6"/>
    </row>
    <row r="21" spans="4:24" ht="15.75" x14ac:dyDescent="0.25">
      <c r="D21" s="2"/>
      <c r="E21" s="13" t="s">
        <v>13</v>
      </c>
      <c r="F21" s="12">
        <v>-0.1</v>
      </c>
      <c r="G21" s="14">
        <v>9152.2800000000007</v>
      </c>
      <c r="H21" s="14">
        <v>9270</v>
      </c>
      <c r="I21" s="12">
        <f>G21-H21</f>
        <v>-117.71999999999935</v>
      </c>
      <c r="J21" s="17">
        <v>0.3124999999999537</v>
      </c>
      <c r="K21" s="14">
        <f>I21*J21</f>
        <v>-36.787499999994346</v>
      </c>
      <c r="L21" s="14">
        <v>2.15</v>
      </c>
      <c r="M21" s="7">
        <f>(H21/G21-1)*F21*10</f>
        <v>-1.2862368721236585E-2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18043</v>
      </c>
      <c r="T21" s="12">
        <f>R21-S21</f>
        <v>-9205.6200000000008</v>
      </c>
      <c r="U21" s="25">
        <f t="shared" ref="U21:U22" si="0">$V$13</f>
        <v>0.31414999999999998</v>
      </c>
      <c r="V21" s="14">
        <f>T21*U21</f>
        <v>-2891.9455230000003</v>
      </c>
      <c r="W21" s="3"/>
      <c r="X21" s="6"/>
    </row>
    <row r="22" spans="4:24" ht="15.75" x14ac:dyDescent="0.25">
      <c r="D22" s="2"/>
      <c r="E22" s="13"/>
      <c r="F22" s="12"/>
      <c r="G22" s="12"/>
      <c r="H22" s="12"/>
      <c r="I22" s="12"/>
      <c r="J22" s="17"/>
      <c r="K22" s="14">
        <f>SUM(K20:K21)-0.52</f>
        <v>-49.109612073153286</v>
      </c>
      <c r="L22" s="6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18043</v>
      </c>
      <c r="T22" s="14">
        <f>R22-S22</f>
        <v>-9215.6299999999992</v>
      </c>
      <c r="U22" s="25">
        <f t="shared" si="0"/>
        <v>0.31414999999999998</v>
      </c>
      <c r="V22" s="14">
        <f>T22*U22</f>
        <v>-2895.0901644999994</v>
      </c>
      <c r="W22" s="3"/>
      <c r="X22" s="6"/>
    </row>
    <row r="23" spans="4:24" x14ac:dyDescent="0.25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.75" x14ac:dyDescent="0.3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25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30" x14ac:dyDescent="0.25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75" x14ac:dyDescent="0.25">
      <c r="D28" s="2"/>
      <c r="E28" s="11" t="s">
        <v>0</v>
      </c>
      <c r="F28" s="27">
        <f>F31+F32</f>
        <v>-6185.0795372100574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-8328.0267480000002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75" x14ac:dyDescent="0.25">
      <c r="D29" s="2"/>
      <c r="E29" s="11" t="s">
        <v>1</v>
      </c>
      <c r="F29" s="19">
        <f>F28-F30</f>
        <v>-6269.019537210057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-8408.1967480000003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75" x14ac:dyDescent="0.25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75" x14ac:dyDescent="0.25">
      <c r="D31" s="2"/>
      <c r="E31" s="11" t="s">
        <v>3</v>
      </c>
      <c r="F31" s="19">
        <f>SUM(K36:K38)-G31</f>
        <v>-6499.5395372100575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-8649.9067479999994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75" x14ac:dyDescent="0.25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75" x14ac:dyDescent="0.25">
      <c r="D33" s="2"/>
      <c r="E33" s="11" t="s">
        <v>5</v>
      </c>
      <c r="F33" s="26">
        <f>F29/F30+1</f>
        <v>-73.684531060400971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-103.87959022078084</v>
      </c>
      <c r="R33" s="2"/>
      <c r="S33" s="2"/>
      <c r="T33" s="2"/>
      <c r="U33" s="2"/>
      <c r="V33" s="2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75" x14ac:dyDescent="0.25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75" x14ac:dyDescent="0.25">
      <c r="D36" s="2"/>
      <c r="E36" s="13" t="s">
        <v>16</v>
      </c>
      <c r="F36" s="12">
        <v>-0.1</v>
      </c>
      <c r="G36" s="12">
        <v>8920.14</v>
      </c>
      <c r="H36" s="14">
        <f>$K$12</f>
        <v>18043</v>
      </c>
      <c r="I36" s="12">
        <f>G36-H36</f>
        <v>-9122.86</v>
      </c>
      <c r="J36" s="17">
        <f>$K$13</f>
        <v>0.19739274248467581</v>
      </c>
      <c r="K36" s="14">
        <f>I36*J36</f>
        <v>-1800.7863547037496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18043</v>
      </c>
      <c r="T36" s="12">
        <f>R36-S36</f>
        <v>-9121.57</v>
      </c>
      <c r="U36" s="17">
        <v>0.31424999999999997</v>
      </c>
      <c r="V36" s="14">
        <f>T36*U36</f>
        <v>-2866.4533724999997</v>
      </c>
      <c r="W36" s="14">
        <v>40.61</v>
      </c>
      <c r="X36" s="6"/>
    </row>
    <row r="37" spans="4:24" ht="15.75" x14ac:dyDescent="0.25">
      <c r="D37" s="2"/>
      <c r="E37" s="13" t="s">
        <v>16</v>
      </c>
      <c r="F37" s="12">
        <v>-0.1</v>
      </c>
      <c r="G37" s="14">
        <v>8897.86</v>
      </c>
      <c r="H37" s="14">
        <f>$K$12</f>
        <v>18043</v>
      </c>
      <c r="I37" s="12">
        <f>G37-H37</f>
        <v>-9145.14</v>
      </c>
      <c r="J37" s="17">
        <f>$K$13</f>
        <v>0.19739274248467581</v>
      </c>
      <c r="K37" s="14">
        <f>I37*J37</f>
        <v>-1805.1842650063081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18043</v>
      </c>
      <c r="T37" s="12">
        <f>R37-S37</f>
        <v>-9193.23</v>
      </c>
      <c r="U37" s="17">
        <v>0.31424999999999997</v>
      </c>
      <c r="V37" s="14">
        <f>T37*U37</f>
        <v>-2888.9725274999996</v>
      </c>
      <c r="W37" s="3"/>
      <c r="X37" s="6"/>
    </row>
    <row r="38" spans="4:24" ht="15.75" x14ac:dyDescent="0.25">
      <c r="D38" s="2"/>
      <c r="E38" s="13" t="s">
        <v>16</v>
      </c>
      <c r="F38" s="12">
        <v>-0.1</v>
      </c>
      <c r="G38" s="12">
        <v>8844.69</v>
      </c>
      <c r="H38" s="14">
        <f>$K$12</f>
        <v>18043</v>
      </c>
      <c r="I38" s="12">
        <f>G38-H38</f>
        <v>-9198.31</v>
      </c>
      <c r="J38" s="17">
        <v>0.31424999999999997</v>
      </c>
      <c r="K38" s="14">
        <f>I38*J38</f>
        <v>-2890.5689174999998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18043</v>
      </c>
      <c r="T38" s="12">
        <f>R38-S38</f>
        <v>-9203.44</v>
      </c>
      <c r="U38" s="17">
        <v>0.31419999999999998</v>
      </c>
      <c r="V38" s="14">
        <f>T38*U38</f>
        <v>-2891.7208479999999</v>
      </c>
      <c r="W38" s="3"/>
      <c r="X38" s="6"/>
    </row>
    <row r="39" spans="4:24" x14ac:dyDescent="0.25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AB90-A191-4B4F-9A7F-947B1B7CEFAF}">
  <dimension ref="C1:S27"/>
  <sheetViews>
    <sheetView tabSelected="1" topLeftCell="D1" workbookViewId="0">
      <selection activeCell="N8" sqref="N8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14062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45367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3"/>
      <c r="M4" s="92" t="s">
        <v>452</v>
      </c>
      <c r="N4" s="97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4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4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4"/>
    </row>
    <row r="8" spans="3:19" ht="23.25" x14ac:dyDescent="0.35">
      <c r="K8" s="94"/>
    </row>
    <row r="9" spans="3:19" ht="23.25" x14ac:dyDescent="0.35">
      <c r="F9" s="82"/>
      <c r="G9" s="83" t="s">
        <v>436</v>
      </c>
      <c r="H9" s="84">
        <v>44990</v>
      </c>
      <c r="I9" s="83" t="s">
        <v>437</v>
      </c>
      <c r="J9" s="84" t="s">
        <v>440</v>
      </c>
      <c r="K9" s="94"/>
      <c r="L9" s="92"/>
    </row>
    <row r="10" spans="3:19" ht="23.25" x14ac:dyDescent="0.35">
      <c r="F10" s="82"/>
      <c r="G10" s="85" t="s">
        <v>438</v>
      </c>
      <c r="H10" s="83" t="s">
        <v>433</v>
      </c>
      <c r="I10" s="83" t="s">
        <v>434</v>
      </c>
      <c r="J10" s="83" t="s">
        <v>441</v>
      </c>
      <c r="L10" s="92"/>
    </row>
    <row r="11" spans="3:19" x14ac:dyDescent="0.25">
      <c r="F11" s="86" t="s">
        <v>439</v>
      </c>
      <c r="G11" s="57" t="s">
        <v>428</v>
      </c>
      <c r="H11" s="87">
        <f>D3</f>
        <v>315</v>
      </c>
      <c r="I11" s="88">
        <f>H11/$H$15</f>
        <v>0.18460889287409674</v>
      </c>
      <c r="J11" s="89">
        <f>$J$15*I11</f>
        <v>167.25565694393165</v>
      </c>
    </row>
    <row r="12" spans="3:19" x14ac:dyDescent="0.25">
      <c r="F12" s="86"/>
      <c r="G12" s="57" t="s">
        <v>429</v>
      </c>
      <c r="H12" s="87">
        <f t="shared" ref="H12:H14" si="2">D4</f>
        <v>315</v>
      </c>
      <c r="I12" s="88">
        <f t="shared" ref="I12:I14" si="3">H12/$H$15</f>
        <v>0.18460889287409674</v>
      </c>
      <c r="J12" s="89">
        <f t="shared" ref="J12:J14" si="4">$J$15*I12</f>
        <v>167.25565694393165</v>
      </c>
    </row>
    <row r="13" spans="3:19" ht="23.25" x14ac:dyDescent="0.25">
      <c r="F13" s="86"/>
      <c r="G13" s="57" t="s">
        <v>430</v>
      </c>
      <c r="H13" s="87">
        <f t="shared" si="2"/>
        <v>315</v>
      </c>
      <c r="I13" s="88">
        <f t="shared" si="3"/>
        <v>0.18460889287409674</v>
      </c>
      <c r="J13" s="89">
        <f t="shared" si="4"/>
        <v>167.25565694393165</v>
      </c>
      <c r="O13" s="100" t="s">
        <v>459</v>
      </c>
      <c r="P13" s="100" t="s">
        <v>460</v>
      </c>
      <c r="Q13" s="100" t="s">
        <v>461</v>
      </c>
    </row>
    <row r="14" spans="3:19" ht="23.25" x14ac:dyDescent="0.35">
      <c r="F14" s="86"/>
      <c r="G14" s="57" t="s">
        <v>431</v>
      </c>
      <c r="H14" s="87">
        <f t="shared" si="2"/>
        <v>761.31</v>
      </c>
      <c r="I14" s="88">
        <f t="shared" si="3"/>
        <v>0.44617332137770976</v>
      </c>
      <c r="J14" s="89">
        <f t="shared" si="4"/>
        <v>404.23302916820506</v>
      </c>
      <c r="M14" s="95">
        <v>9462066</v>
      </c>
      <c r="N14" s="92" t="s">
        <v>453</v>
      </c>
      <c r="O14" s="94">
        <f>204.62+91.69+333.34</f>
        <v>629.65</v>
      </c>
      <c r="P14" s="98">
        <f>O14/$O$19</f>
        <v>0.28708995090205441</v>
      </c>
      <c r="Q14" s="94"/>
      <c r="R14" s="94">
        <v>0</v>
      </c>
      <c r="S14" s="94"/>
    </row>
    <row r="15" spans="3:19" ht="23.25" x14ac:dyDescent="0.35">
      <c r="F15" s="86"/>
      <c r="G15" s="85" t="s">
        <v>432</v>
      </c>
      <c r="H15" s="89">
        <f>SUM(H11:H14)</f>
        <v>1706.31</v>
      </c>
      <c r="I15" s="90">
        <v>1</v>
      </c>
      <c r="J15" s="89">
        <v>906</v>
      </c>
      <c r="N15" s="92" t="s">
        <v>455</v>
      </c>
      <c r="O15" s="94">
        <v>315.45</v>
      </c>
      <c r="P15" s="98">
        <f t="shared" ref="P15:P19" si="5">O15/$O$19</f>
        <v>0.14382994522679754</v>
      </c>
      <c r="Q15" s="94"/>
      <c r="R15" s="94">
        <v>1.25</v>
      </c>
      <c r="S15" s="94"/>
    </row>
    <row r="16" spans="3:19" ht="23.25" x14ac:dyDescent="0.35">
      <c r="N16" s="92" t="s">
        <v>454</v>
      </c>
      <c r="O16" s="94">
        <v>314.45999999999998</v>
      </c>
      <c r="P16" s="98">
        <f t="shared" si="5"/>
        <v>0.14337855310197734</v>
      </c>
      <c r="Q16" s="94"/>
      <c r="R16" s="94">
        <v>5.46</v>
      </c>
      <c r="S16" s="94"/>
    </row>
    <row r="17" spans="6:19" ht="23.25" x14ac:dyDescent="0.35">
      <c r="G17" t="s">
        <v>450</v>
      </c>
      <c r="N17" s="92" t="s">
        <v>456</v>
      </c>
      <c r="O17" s="94">
        <v>314.45999999999998</v>
      </c>
      <c r="P17" s="98">
        <f t="shared" si="5"/>
        <v>0.14337855310197734</v>
      </c>
      <c r="Q17" s="94"/>
      <c r="R17" s="94">
        <v>5.48</v>
      </c>
      <c r="S17" s="94"/>
    </row>
    <row r="18" spans="6:19" ht="23.25" x14ac:dyDescent="0.35">
      <c r="G18" t="s">
        <v>446</v>
      </c>
      <c r="N18" s="92" t="s">
        <v>462</v>
      </c>
      <c r="O18" s="94">
        <f>20000/32.3</f>
        <v>619.19504643962853</v>
      </c>
      <c r="P18" s="98">
        <f t="shared" si="5"/>
        <v>0.28232299766719332</v>
      </c>
      <c r="Q18" s="94"/>
      <c r="R18" s="94">
        <v>0</v>
      </c>
      <c r="S18" s="94"/>
    </row>
    <row r="19" spans="6:19" ht="23.25" x14ac:dyDescent="0.35">
      <c r="G19" t="s">
        <v>449</v>
      </c>
      <c r="N19" s="95" t="s">
        <v>457</v>
      </c>
      <c r="O19" s="96">
        <f>SUM(O14:O18)</f>
        <v>2193.2150464396286</v>
      </c>
      <c r="P19" s="99">
        <f t="shared" si="5"/>
        <v>1</v>
      </c>
      <c r="Q19" s="99"/>
      <c r="R19" s="96">
        <f>SUM(R16:R18)</f>
        <v>10.940000000000001</v>
      </c>
      <c r="S19" s="97">
        <f>R19*N4</f>
        <v>353.36200000000002</v>
      </c>
    </row>
    <row r="20" spans="6:19" ht="23.25" x14ac:dyDescent="0.35">
      <c r="F20" s="82"/>
      <c r="G20" s="83" t="s">
        <v>436</v>
      </c>
      <c r="H20" s="84">
        <v>44990</v>
      </c>
      <c r="I20" s="83" t="s">
        <v>437</v>
      </c>
      <c r="J20" s="84" t="s">
        <v>447</v>
      </c>
      <c r="K20" s="57"/>
      <c r="L20" s="57"/>
      <c r="N20" s="95" t="s">
        <v>451</v>
      </c>
      <c r="O20" s="96">
        <v>1992.85</v>
      </c>
    </row>
    <row r="21" spans="6:19" x14ac:dyDescent="0.25">
      <c r="F21" s="82"/>
      <c r="G21" s="85" t="s">
        <v>438</v>
      </c>
      <c r="H21" s="83" t="s">
        <v>433</v>
      </c>
      <c r="I21" s="83" t="s">
        <v>434</v>
      </c>
      <c r="J21" s="83" t="s">
        <v>448</v>
      </c>
      <c r="K21" s="83" t="s">
        <v>443</v>
      </c>
      <c r="L21" s="83" t="s">
        <v>444</v>
      </c>
    </row>
    <row r="22" spans="6:19" ht="23.25" x14ac:dyDescent="0.35">
      <c r="F22" s="86" t="s">
        <v>445</v>
      </c>
      <c r="G22" s="57" t="s">
        <v>428</v>
      </c>
      <c r="H22" s="87">
        <f>D3</f>
        <v>315</v>
      </c>
      <c r="I22" s="88">
        <f>H22/$H$27</f>
        <v>0.11639507815098106</v>
      </c>
      <c r="J22" s="87">
        <f>$J$27*I22</f>
        <v>231.9579314931826</v>
      </c>
      <c r="K22" s="91">
        <f>J11</f>
        <v>167.25565694393165</v>
      </c>
      <c r="L22" s="91">
        <f>J22-K22</f>
        <v>64.702274549250944</v>
      </c>
      <c r="N22" s="95" t="s">
        <v>458</v>
      </c>
      <c r="O22" s="96">
        <f>O20-O19</f>
        <v>-200.36504643962871</v>
      </c>
    </row>
    <row r="23" spans="6:19" x14ac:dyDescent="0.25">
      <c r="F23" s="86"/>
      <c r="G23" s="57" t="s">
        <v>429</v>
      </c>
      <c r="H23" s="87">
        <f>D4</f>
        <v>315</v>
      </c>
      <c r="I23" s="88">
        <f t="shared" ref="I23:I26" si="6">H23/$H$27</f>
        <v>0.11639507815098106</v>
      </c>
      <c r="J23" s="87">
        <f t="shared" ref="J23:J26" si="7">$J$27*I23</f>
        <v>231.9579314931826</v>
      </c>
      <c r="K23" s="91">
        <f>J12</f>
        <v>167.25565694393165</v>
      </c>
      <c r="L23" s="91">
        <f t="shared" ref="L23:L26" si="8">J23-K23</f>
        <v>64.702274549250944</v>
      </c>
    </row>
    <row r="24" spans="6:19" x14ac:dyDescent="0.25">
      <c r="F24" s="86"/>
      <c r="G24" s="57" t="s">
        <v>430</v>
      </c>
      <c r="H24" s="87">
        <f>D5</f>
        <v>315</v>
      </c>
      <c r="I24" s="88">
        <f t="shared" si="6"/>
        <v>0.11639507815098106</v>
      </c>
      <c r="J24" s="87">
        <f t="shared" si="7"/>
        <v>231.9579314931826</v>
      </c>
      <c r="K24" s="91">
        <f>J13</f>
        <v>167.25565694393165</v>
      </c>
      <c r="L24" s="91">
        <f t="shared" si="8"/>
        <v>64.702274549250944</v>
      </c>
    </row>
    <row r="25" spans="6:19" x14ac:dyDescent="0.25">
      <c r="F25" s="86"/>
      <c r="G25" s="57" t="s">
        <v>431</v>
      </c>
      <c r="H25" s="87">
        <f>D6+333.33</f>
        <v>1094.6399999999999</v>
      </c>
      <c r="I25" s="88">
        <f t="shared" si="6"/>
        <v>0.40447843919742821</v>
      </c>
      <c r="J25" s="87">
        <f t="shared" si="7"/>
        <v>806.06485755459482</v>
      </c>
      <c r="K25" s="91">
        <f>J14</f>
        <v>404.23302916820506</v>
      </c>
      <c r="L25" s="91">
        <f t="shared" si="8"/>
        <v>401.83182838638976</v>
      </c>
    </row>
    <row r="26" spans="6:19" x14ac:dyDescent="0.25">
      <c r="F26" s="86"/>
      <c r="G26" s="57" t="s">
        <v>442</v>
      </c>
      <c r="H26" s="87">
        <v>666.66</v>
      </c>
      <c r="I26" s="88">
        <f t="shared" si="6"/>
        <v>0.24633632634962865</v>
      </c>
      <c r="J26" s="87">
        <f t="shared" si="7"/>
        <v>490.91134796585743</v>
      </c>
      <c r="K26" s="91">
        <v>0</v>
      </c>
      <c r="L26" s="91">
        <f t="shared" si="8"/>
        <v>490.91134796585743</v>
      </c>
    </row>
    <row r="27" spans="6:19" x14ac:dyDescent="0.25">
      <c r="F27" s="86"/>
      <c r="G27" s="85" t="s">
        <v>432</v>
      </c>
      <c r="H27" s="89">
        <f>SUM(H22:H26)</f>
        <v>2706.2999999999997</v>
      </c>
      <c r="I27" s="90">
        <f>SUM(I22:I26)</f>
        <v>1</v>
      </c>
      <c r="J27" s="89">
        <f>O20</f>
        <v>1992.85</v>
      </c>
      <c r="K27" s="57"/>
      <c r="L27" s="91">
        <f>SUM(L22:L26)</f>
        <v>1086.8499999999999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2FAE-4EF4-4047-8CD2-C2C2EAB6C6F8}">
  <dimension ref="A4:L25"/>
  <sheetViews>
    <sheetView workbookViewId="0">
      <selection activeCell="G10" sqref="G10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K5</f>
        <v>45367</v>
      </c>
      <c r="J4" s="56"/>
      <c r="K4" s="38" t="s">
        <v>43</v>
      </c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32.03</v>
      </c>
      <c r="J5" s="56"/>
      <c r="K5" s="65">
        <f ca="1">TODAY()</f>
        <v>45367</v>
      </c>
      <c r="L5" s="32"/>
    </row>
    <row r="6" spans="1:12" x14ac:dyDescent="0.25">
      <c r="A6" s="80" t="s">
        <v>39</v>
      </c>
      <c r="B6" s="81"/>
      <c r="C6" s="36"/>
      <c r="D6" s="36"/>
      <c r="E6" s="37"/>
      <c r="F6" s="35"/>
      <c r="G6" s="55"/>
      <c r="H6" s="55"/>
      <c r="I6" s="56"/>
      <c r="J6" s="56"/>
      <c r="K6" s="35"/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35"/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v>0.17799599999999999</v>
      </c>
      <c r="H10" s="39">
        <f t="shared" ref="H10:H15" ca="1" si="2">$K$5</f>
        <v>45367</v>
      </c>
      <c r="I10" s="37">
        <f t="shared" ref="I10:I15" si="3">B10*G10</f>
        <v>199767.75873599999</v>
      </c>
      <c r="J10" s="37">
        <f t="shared" ref="J10:J15" si="4">I10-E10</f>
        <v>5007.7739920000022</v>
      </c>
      <c r="K10" s="46">
        <f t="shared" ref="K10:K15" si="5">I10/E10-1</f>
        <v>2.5712540481980461E-2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v>0.202096</v>
      </c>
      <c r="H11" s="39">
        <f t="shared" ca="1" si="2"/>
        <v>45367</v>
      </c>
      <c r="I11" s="37">
        <f t="shared" si="3"/>
        <v>97066.708799999993</v>
      </c>
      <c r="J11" s="37">
        <f t="shared" si="4"/>
        <v>1060.0220999999874</v>
      </c>
      <c r="K11" s="46">
        <f t="shared" si="5"/>
        <v>1.1041127825943242E-2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v>3.115729</v>
      </c>
      <c r="H12" s="39">
        <f t="shared" ca="1" si="2"/>
        <v>45367</v>
      </c>
      <c r="I12" s="37">
        <f t="shared" si="3"/>
        <v>64056.272511000003</v>
      </c>
      <c r="J12" s="37">
        <f t="shared" si="4"/>
        <v>734.98425000000861</v>
      </c>
      <c r="K12" s="46">
        <f t="shared" si="5"/>
        <v>1.1607221997292916E-2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v>3.3077999999999999</v>
      </c>
      <c r="H13" s="39">
        <f t="shared" ca="1" si="2"/>
        <v>45367</v>
      </c>
      <c r="I13" s="37">
        <f t="shared" si="3"/>
        <v>3602.1941999999999</v>
      </c>
      <c r="J13" s="37">
        <f t="shared" si="4"/>
        <v>75.506903999999849</v>
      </c>
      <c r="K13" s="46">
        <f t="shared" si="5"/>
        <v>2.141014999703561E-2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v>7.4480079999999997</v>
      </c>
      <c r="H14" s="39">
        <f t="shared" ca="1" si="2"/>
        <v>45367</v>
      </c>
      <c r="I14" s="37">
        <f t="shared" si="3"/>
        <v>2346.1225199999999</v>
      </c>
      <c r="J14" s="37">
        <f t="shared" si="4"/>
        <v>46.867589999999836</v>
      </c>
      <c r="K14" s="46">
        <f t="shared" si="5"/>
        <v>2.0383816247813824E-2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2.4513099999999999</v>
      </c>
      <c r="H15" s="39">
        <f t="shared" ca="1" si="2"/>
        <v>45367</v>
      </c>
      <c r="I15" s="37">
        <f t="shared" si="3"/>
        <v>71.087989999999991</v>
      </c>
      <c r="J15" s="37">
        <f t="shared" si="4"/>
        <v>1.3473399999999884</v>
      </c>
      <c r="K15" s="46">
        <f t="shared" si="5"/>
        <v>1.9319292263550558E-2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47">
        <f>SUM(E10:E15)</f>
        <v>359983.64258099999</v>
      </c>
      <c r="F17" s="48">
        <f>SUM(F10:F15)</f>
        <v>1</v>
      </c>
      <c r="G17" s="49"/>
      <c r="H17" s="49"/>
      <c r="I17" s="47">
        <f>SUM(I10:I15)</f>
        <v>366910.14475699991</v>
      </c>
      <c r="J17" s="47">
        <f>SUM(J10:J15)</f>
        <v>6926.5021759999981</v>
      </c>
      <c r="K17" s="50">
        <f>I17/E17-1</f>
        <v>1.924115808801341E-2</v>
      </c>
      <c r="L17" s="32"/>
    </row>
    <row r="18" spans="1:12" x14ac:dyDescent="0.25">
      <c r="A18" s="44" t="s">
        <v>48</v>
      </c>
      <c r="B18" s="35"/>
      <c r="C18" s="36"/>
      <c r="D18" s="36"/>
      <c r="E18" s="37"/>
      <c r="F18" s="35"/>
      <c r="G18" s="36" t="s">
        <v>51</v>
      </c>
      <c r="H18" s="36"/>
      <c r="I18" s="37"/>
      <c r="J18" s="37"/>
      <c r="K18" s="35"/>
      <c r="L18" s="32"/>
    </row>
    <row r="19" spans="1:12" x14ac:dyDescent="0.25">
      <c r="A19" s="34" t="s">
        <v>40</v>
      </c>
      <c r="B19" s="35">
        <v>5</v>
      </c>
      <c r="C19" s="51">
        <f>1503.75/5</f>
        <v>300.75</v>
      </c>
      <c r="D19" s="39">
        <v>45355</v>
      </c>
      <c r="E19" s="51">
        <f>B19*C19</f>
        <v>1503.75</v>
      </c>
      <c r="F19" s="35">
        <v>100</v>
      </c>
      <c r="G19" s="51">
        <v>303.36500000000001</v>
      </c>
      <c r="H19" s="39">
        <f ca="1">$K$5</f>
        <v>45367</v>
      </c>
      <c r="I19" s="51">
        <f>B19*G19</f>
        <v>1516.825</v>
      </c>
      <c r="J19" s="51">
        <f>I19-E19</f>
        <v>13.075000000000045</v>
      </c>
      <c r="K19" s="46">
        <f>I19/E19-1</f>
        <v>8.6949293433085106E-3</v>
      </c>
      <c r="L19" s="32"/>
    </row>
    <row r="20" spans="1:12" x14ac:dyDescent="0.25">
      <c r="A20" s="34" t="s">
        <v>45</v>
      </c>
      <c r="B20" s="35">
        <v>5</v>
      </c>
      <c r="C20" s="37">
        <f>C19*E5</f>
        <v>9440.5424999999996</v>
      </c>
      <c r="D20" s="39">
        <v>45355</v>
      </c>
      <c r="E20" s="47">
        <f>B20*C20</f>
        <v>47202.712499999994</v>
      </c>
      <c r="F20" s="58">
        <v>100</v>
      </c>
      <c r="G20" s="47">
        <f>G19*I5</f>
        <v>9716.7809500000003</v>
      </c>
      <c r="H20" s="39">
        <f ca="1">$K$5</f>
        <v>45367</v>
      </c>
      <c r="I20" s="37">
        <f>I19*$I$5</f>
        <v>48583.904750000002</v>
      </c>
      <c r="J20" s="51">
        <f>J19*$I$5</f>
        <v>418.79225000000145</v>
      </c>
      <c r="K20" s="46">
        <f>I20/E20-1</f>
        <v>2.9260866099591443E-2</v>
      </c>
      <c r="L20" s="32"/>
    </row>
    <row r="21" spans="1:12" x14ac:dyDescent="0.25">
      <c r="A21" s="61"/>
      <c r="B21" s="57"/>
      <c r="C21" s="55"/>
      <c r="D21" s="55"/>
      <c r="E21" s="56"/>
      <c r="F21" s="57"/>
      <c r="G21" s="55"/>
      <c r="H21" s="55"/>
      <c r="I21" s="56"/>
      <c r="J21" s="56"/>
      <c r="K21" s="57"/>
    </row>
    <row r="22" spans="1:12" x14ac:dyDescent="0.25">
      <c r="A22" s="61" t="s">
        <v>52</v>
      </c>
      <c r="B22" s="57"/>
      <c r="C22" s="55"/>
      <c r="D22" s="55"/>
      <c r="E22" s="56"/>
      <c r="F22" s="57"/>
      <c r="G22" s="55"/>
      <c r="H22" s="55"/>
      <c r="I22" s="53">
        <f>1550.05-I19</f>
        <v>33.224999999999909</v>
      </c>
      <c r="J22" s="56"/>
      <c r="K22" s="57"/>
    </row>
    <row r="23" spans="1:12" x14ac:dyDescent="0.25">
      <c r="A23" s="61"/>
      <c r="B23" s="57"/>
      <c r="C23" s="55"/>
      <c r="D23" s="55"/>
      <c r="E23" s="56"/>
      <c r="F23" s="57"/>
      <c r="G23" s="55"/>
      <c r="H23" s="55"/>
      <c r="I23" s="53">
        <f>I22*I5</f>
        <v>1064.1967499999971</v>
      </c>
      <c r="J23" s="56"/>
      <c r="K23" s="57"/>
    </row>
    <row r="24" spans="1:12" x14ac:dyDescent="0.25">
      <c r="A24" s="61"/>
      <c r="B24" s="57"/>
      <c r="C24" s="55"/>
      <c r="D24" s="55"/>
      <c r="E24" s="56"/>
      <c r="F24" s="57"/>
      <c r="G24" s="63" t="s">
        <v>46</v>
      </c>
      <c r="H24" s="52">
        <f ca="1">$K$5</f>
        <v>45367</v>
      </c>
      <c r="I24" s="53">
        <f>I17+I20+I23</f>
        <v>416558.2462569999</v>
      </c>
      <c r="J24" s="53">
        <f>J20+J17</f>
        <v>7345.2944259999995</v>
      </c>
      <c r="K24" s="54">
        <f>J24/I24</f>
        <v>1.7633294964153091E-2</v>
      </c>
    </row>
    <row r="25" spans="1:12" x14ac:dyDescent="0.25">
      <c r="A25" s="61"/>
      <c r="B25" s="57"/>
      <c r="C25" s="55"/>
      <c r="D25" s="55"/>
      <c r="E25" s="56"/>
      <c r="F25" s="57"/>
      <c r="G25" s="64" t="s">
        <v>47</v>
      </c>
      <c r="H25" s="55"/>
      <c r="I25" s="56"/>
      <c r="J25" s="53">
        <f>J24*0.07</f>
        <v>514.17060981999998</v>
      </c>
      <c r="K25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6179-A37E-4AE5-9782-E801DD7A62D4}">
  <dimension ref="B3:M23"/>
  <sheetViews>
    <sheetView zoomScale="85" zoomScaleNormal="85" workbookViewId="0">
      <selection activeCell="H10" sqref="H10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5.42578125" style="29" customWidth="1"/>
    <col min="7" max="7" width="12.7109375" bestFit="1" customWidth="1"/>
    <col min="8" max="8" width="15.85546875" style="30" customWidth="1"/>
    <col min="9" max="9" width="13" style="30" customWidth="1"/>
    <col min="10" max="10" width="15.85546875" style="29" bestFit="1" customWidth="1"/>
    <col min="11" max="11" width="15.28515625" style="29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2"/>
      <c r="G4" s="57"/>
      <c r="H4" s="55"/>
      <c r="I4" s="55"/>
      <c r="J4" s="66">
        <f ca="1">L5</f>
        <v>45367</v>
      </c>
      <c r="K4" s="56"/>
      <c r="L4" s="38" t="s">
        <v>43</v>
      </c>
    </row>
    <row r="5" spans="2:13" x14ac:dyDescent="0.25">
      <c r="B5" s="34"/>
      <c r="C5" s="35"/>
      <c r="D5" s="36"/>
      <c r="E5" s="59"/>
      <c r="F5" s="37"/>
      <c r="G5" s="35"/>
      <c r="H5" s="36"/>
      <c r="I5" s="60" t="s">
        <v>44</v>
      </c>
      <c r="J5" s="36">
        <v>31.93</v>
      </c>
      <c r="K5" s="56"/>
      <c r="L5" s="65">
        <f ca="1">TODAY()</f>
        <v>45367</v>
      </c>
      <c r="M5" s="32"/>
    </row>
    <row r="6" spans="2:13" x14ac:dyDescent="0.25">
      <c r="B6" s="80" t="s">
        <v>21</v>
      </c>
      <c r="C6" s="81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5" si="1">F10/$F$16</f>
        <v>0.50224745315890928</v>
      </c>
      <c r="H10" s="69">
        <v>0.17698900000000001</v>
      </c>
      <c r="I10" s="65">
        <f t="shared" ref="I10:I15" ca="1" si="2">$L$5</f>
        <v>45367</v>
      </c>
      <c r="J10" s="70">
        <f t="shared" ref="J10:J15" si="3">C10*H10</f>
        <v>366413.42412899999</v>
      </c>
      <c r="K10" s="70">
        <f t="shared" ref="K10:K15" si="4">J10-F10</f>
        <v>-2.0702610000153072</v>
      </c>
      <c r="L10" s="72">
        <f t="shared" ref="L10:L16" si="5">J10/F10-1</f>
        <v>-5.6500367252576567E-6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0.28990319696738798</v>
      </c>
      <c r="H11" s="69">
        <v>0.20144999999999999</v>
      </c>
      <c r="I11" s="65">
        <f t="shared" ca="1" si="2"/>
        <v>45367</v>
      </c>
      <c r="J11" s="70">
        <f t="shared" si="3"/>
        <v>213154.245</v>
      </c>
      <c r="K11" s="70">
        <f t="shared" si="4"/>
        <v>1654.8683999999776</v>
      </c>
      <c r="L11" s="72">
        <f t="shared" si="5"/>
        <v>7.8244599421668504E-3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0.19023155585714419</v>
      </c>
      <c r="H12" s="69">
        <v>3.1040049999999999</v>
      </c>
      <c r="I12" s="65">
        <f t="shared" ca="1" si="2"/>
        <v>45367</v>
      </c>
      <c r="J12" s="70">
        <f t="shared" si="3"/>
        <v>144159.30421499998</v>
      </c>
      <c r="K12" s="70">
        <f t="shared" si="4"/>
        <v>5375.5450349999883</v>
      </c>
      <c r="L12" s="72">
        <f t="shared" si="5"/>
        <v>3.873324275665424E-2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1.0595615588951474E-2</v>
      </c>
      <c r="H13" s="69">
        <v>3.2821699999999998</v>
      </c>
      <c r="I13" s="65">
        <f t="shared" ca="1" si="2"/>
        <v>45367</v>
      </c>
      <c r="J13" s="70">
        <f t="shared" si="3"/>
        <v>7811.5645999999997</v>
      </c>
      <c r="K13" s="70">
        <f t="shared" si="4"/>
        <v>81.514999999999418</v>
      </c>
      <c r="L13" s="72">
        <f t="shared" si="5"/>
        <v>1.0545210473164257E-2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6.915152410628473E-3</v>
      </c>
      <c r="H14" s="69">
        <v>7.4112429999999998</v>
      </c>
      <c r="I14" s="65">
        <f t="shared" ca="1" si="2"/>
        <v>45367</v>
      </c>
      <c r="J14" s="70">
        <f t="shared" si="3"/>
        <v>5299.0387449999998</v>
      </c>
      <c r="K14" s="70">
        <f t="shared" si="4"/>
        <v>254.07739500000025</v>
      </c>
      <c r="L14" s="72">
        <f t="shared" si="5"/>
        <v>5.0362604859202742E-2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1.0702601697861728E-4</v>
      </c>
      <c r="H15" s="69">
        <v>1.920588</v>
      </c>
      <c r="I15" s="65">
        <f t="shared" ca="1" si="2"/>
        <v>45367</v>
      </c>
      <c r="J15" s="70">
        <f t="shared" si="3"/>
        <v>78.744107999999997</v>
      </c>
      <c r="K15" s="70">
        <f t="shared" si="4"/>
        <v>0.66309300000000349</v>
      </c>
      <c r="L15" s="72">
        <f t="shared" si="5"/>
        <v>8.492371673191057E-3</v>
      </c>
    </row>
    <row r="16" spans="2:13" x14ac:dyDescent="0.25">
      <c r="B16" s="34"/>
      <c r="C16" s="35"/>
      <c r="D16" s="36"/>
      <c r="E16" s="36"/>
      <c r="F16" s="47">
        <f>SUM(F10:F15)</f>
        <v>729551.72213500005</v>
      </c>
      <c r="G16" s="48">
        <f>SUM(G10:G15)</f>
        <v>1</v>
      </c>
      <c r="H16" s="49"/>
      <c r="I16" s="49"/>
      <c r="J16" s="47">
        <f>SUM(J10:J15)</f>
        <v>736916.32079700008</v>
      </c>
      <c r="K16" s="47">
        <f>SUM(K10:K15)</f>
        <v>7364.5986619999503</v>
      </c>
      <c r="L16" s="50">
        <f t="shared" si="5"/>
        <v>1.0094690257803629E-2</v>
      </c>
      <c r="M16" s="32"/>
    </row>
    <row r="17" spans="2:13" x14ac:dyDescent="0.25">
      <c r="B17" s="34"/>
      <c r="C17" s="35"/>
      <c r="D17" s="36"/>
      <c r="E17" s="36"/>
      <c r="F17" s="47"/>
      <c r="G17" s="48"/>
      <c r="H17" s="49"/>
      <c r="I17" s="49"/>
      <c r="J17" s="47"/>
      <c r="K17" s="47"/>
      <c r="L17" s="50"/>
      <c r="M17" s="32"/>
    </row>
    <row r="18" spans="2:13" x14ac:dyDescent="0.25">
      <c r="B18" s="61"/>
      <c r="C18" s="57"/>
      <c r="D18" s="55"/>
      <c r="E18" s="55"/>
      <c r="F18" s="56"/>
      <c r="G18" s="57"/>
      <c r="H18" s="63" t="s">
        <v>46</v>
      </c>
      <c r="I18" s="52">
        <f ca="1">$L$5</f>
        <v>45367</v>
      </c>
      <c r="J18" s="53">
        <f>J16</f>
        <v>736916.32079700008</v>
      </c>
      <c r="K18" s="53">
        <f>K16</f>
        <v>7364.5986619999503</v>
      </c>
      <c r="L18" s="54">
        <f>K18/J18</f>
        <v>9.9938058829188176E-3</v>
      </c>
    </row>
    <row r="19" spans="2:13" x14ac:dyDescent="0.25">
      <c r="B19" s="61"/>
      <c r="C19" s="57"/>
      <c r="D19" s="55"/>
      <c r="E19" s="55"/>
      <c r="F19" s="56"/>
      <c r="G19" s="57"/>
      <c r="H19" s="64" t="s">
        <v>47</v>
      </c>
      <c r="I19" s="55"/>
      <c r="J19" s="56"/>
      <c r="K19" s="53">
        <f>K18*0.07</f>
        <v>515.52190633999658</v>
      </c>
      <c r="L19" s="57"/>
    </row>
    <row r="23" spans="2:13" x14ac:dyDescent="0.25">
      <c r="G23" s="74"/>
    </row>
  </sheetData>
  <mergeCells count="1"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D733-4B12-4994-A28E-C3F2CC57E1EA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2024-03-15T22:05:53Z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