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763A40B1-C47E-4377-A740-409F068F67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5" l="1"/>
  <c r="O16" i="5"/>
  <c r="O15" i="5"/>
  <c r="H22" i="1" l="1"/>
  <c r="M22" i="1" s="1"/>
  <c r="K10" i="1"/>
  <c r="H14" i="1"/>
  <c r="F28" i="1"/>
  <c r="K16" i="1"/>
  <c r="K13" i="1" s="1"/>
  <c r="J20" i="1"/>
  <c r="F16" i="3"/>
  <c r="L16" i="3" s="1"/>
  <c r="G14" i="2"/>
  <c r="G13" i="2"/>
  <c r="G12" i="2"/>
  <c r="G11" i="2"/>
  <c r="G10" i="2"/>
  <c r="K5" i="3"/>
  <c r="H25" i="1" l="1"/>
  <c r="M25" i="1" s="1"/>
  <c r="H21" i="1"/>
  <c r="I21" i="1" s="1"/>
  <c r="H20" i="1"/>
  <c r="M20" i="1" s="1"/>
  <c r="H27" i="1"/>
  <c r="M27" i="1" s="1"/>
  <c r="H26" i="1"/>
  <c r="M26" i="1" s="1"/>
  <c r="H24" i="1"/>
  <c r="M24" i="1" s="1"/>
  <c r="H23" i="1"/>
  <c r="M23" i="1" s="1"/>
  <c r="I22" i="1"/>
  <c r="F14" i="1"/>
  <c r="K16" i="3"/>
  <c r="O14" i="5"/>
  <c r="R19" i="5"/>
  <c r="S19" i="5" s="1"/>
  <c r="O18" i="5"/>
  <c r="J27" i="5"/>
  <c r="D6" i="5"/>
  <c r="H25" i="5" s="1"/>
  <c r="H12" i="5"/>
  <c r="H13" i="5"/>
  <c r="H11" i="5"/>
  <c r="H23" i="5"/>
  <c r="H24" i="5"/>
  <c r="H22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/>
  <c r="XFD1048556" i="4" a="1"/>
  <c r="XFD1048556" i="4" s="1"/>
  <c r="XFD1048557" i="4" a="1"/>
  <c r="XFD1048557" i="4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K35" i="1"/>
  <c r="V35" i="1" s="1"/>
  <c r="U21" i="1"/>
  <c r="U28" i="1"/>
  <c r="U20" i="1"/>
  <c r="V12" i="1"/>
  <c r="S20" i="1"/>
  <c r="T20" i="1" s="1"/>
  <c r="H44" i="1"/>
  <c r="I44" i="1" s="1"/>
  <c r="K44" i="1" s="1"/>
  <c r="S44" i="1"/>
  <c r="T44" i="1" s="1"/>
  <c r="V44" i="1" s="1"/>
  <c r="S43" i="1"/>
  <c r="T43" i="1" s="1"/>
  <c r="V43" i="1" s="1"/>
  <c r="S42" i="1"/>
  <c r="T42" i="1" s="1"/>
  <c r="V42" i="1" s="1"/>
  <c r="R36" i="1"/>
  <c r="H43" i="1"/>
  <c r="I43" i="1" s="1"/>
  <c r="H42" i="1"/>
  <c r="I42" i="1" s="1"/>
  <c r="S28" i="1"/>
  <c r="T28" i="1" s="1"/>
  <c r="S21" i="1"/>
  <c r="T21" i="1" s="1"/>
  <c r="W13" i="1" s="1"/>
  <c r="XFD1048555" i="4" a="1"/>
  <c r="I26" i="1" l="1"/>
  <c r="I27" i="1"/>
  <c r="I23" i="1"/>
  <c r="I24" i="1"/>
  <c r="I25" i="1"/>
  <c r="M21" i="1"/>
  <c r="J17" i="3"/>
  <c r="F17" i="3"/>
  <c r="L11" i="3"/>
  <c r="L10" i="3"/>
  <c r="XFD1048555" i="4"/>
  <c r="O19" i="5"/>
  <c r="H27" i="5"/>
  <c r="I23" i="5" s="1"/>
  <c r="J23" i="5" s="1"/>
  <c r="D7" i="5"/>
  <c r="E3" i="5" s="1"/>
  <c r="H14" i="5"/>
  <c r="H15" i="5" s="1"/>
  <c r="I23" i="2"/>
  <c r="I24" i="2" s="1"/>
  <c r="K11" i="3"/>
  <c r="L15" i="3"/>
  <c r="L13" i="3"/>
  <c r="K13" i="3"/>
  <c r="K12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J21" i="2" s="1"/>
  <c r="K20" i="2"/>
  <c r="C21" i="2"/>
  <c r="E21" i="2" s="1"/>
  <c r="K21" i="2" s="1"/>
  <c r="I4" i="2"/>
  <c r="H25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8" i="1"/>
  <c r="I20" i="1"/>
  <c r="P14" i="5" l="1"/>
  <c r="O22" i="5"/>
  <c r="V21" i="1"/>
  <c r="J18" i="3"/>
  <c r="L17" i="3"/>
  <c r="J19" i="3"/>
  <c r="G16" i="3"/>
  <c r="F18" i="3"/>
  <c r="L18" i="3" s="1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I25" i="2"/>
  <c r="G11" i="3"/>
  <c r="G10" i="3"/>
  <c r="G13" i="3"/>
  <c r="G15" i="3"/>
  <c r="K17" i="3"/>
  <c r="G14" i="3"/>
  <c r="G12" i="3"/>
  <c r="K17" i="2"/>
  <c r="J17" i="2"/>
  <c r="J25" i="2" s="1"/>
  <c r="F15" i="2"/>
  <c r="F13" i="2"/>
  <c r="F12" i="2"/>
  <c r="F10" i="2"/>
  <c r="F11" i="2"/>
  <c r="K20" i="1"/>
  <c r="V20" i="1"/>
  <c r="J43" i="1"/>
  <c r="K43" i="1" s="1"/>
  <c r="J22" i="1" l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J42" i="1"/>
  <c r="K42" i="1" s="1"/>
  <c r="F37" i="1" s="1"/>
  <c r="F34" i="1" s="1"/>
  <c r="F35" i="1" s="1"/>
  <c r="F39" i="1" s="1"/>
  <c r="K19" i="3"/>
  <c r="K20" i="3" s="1"/>
  <c r="K18" i="3"/>
  <c r="G17" i="3"/>
  <c r="I27" i="5"/>
  <c r="L25" i="5"/>
  <c r="L22" i="5"/>
  <c r="L24" i="5"/>
  <c r="L19" i="3"/>
  <c r="J26" i="2"/>
  <c r="K25" i="2"/>
  <c r="F17" i="2"/>
  <c r="Q37" i="1"/>
  <c r="Q34" i="1" s="1"/>
  <c r="Q35" i="1" s="1"/>
  <c r="Q39" i="1" s="1"/>
  <c r="Q15" i="1"/>
  <c r="Q12" i="1" s="1"/>
  <c r="Q13" i="1" s="1"/>
  <c r="Q17" i="1" s="1"/>
  <c r="K28" i="1" l="1"/>
  <c r="F15" i="1" s="1"/>
  <c r="F12" i="1" s="1"/>
  <c r="G12" i="1" s="1"/>
  <c r="L27" i="5"/>
  <c r="F6" i="5"/>
  <c r="F4" i="5"/>
  <c r="F3" i="5"/>
  <c r="F5" i="5"/>
  <c r="F13" i="1" l="1"/>
  <c r="F1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<sst xmlns="http://schemas.openxmlformats.org/spreadsheetml/2006/main" count="912" uniqueCount="468">
  <si>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</si>
  <si>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</si>
  <si>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</si>
  <si>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</si>
  <si>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</si>
  <si>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</si>
  <si>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</si>
  <si>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</si>
  <si>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</si>
  <si>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</si>
  <si>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</si>
  <si>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</si>
  <si>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</si>
  <si>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</si>
  <si>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</si>
  <si>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</si>
  <si>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</si>
  <si>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</si>
  <si>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</si>
  <si>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</si>
  <si>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</si>
  <si>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</si>
  <si>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</si>
  <si>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</si>
  <si>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</si>
  <si>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</si>
  <si>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</si>
  <si>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</si>
  <si>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</si>
  <si>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</si>
  <si>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</si>
  <si>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</si>
  <si>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</si>
  <si>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</si>
  <si>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</si>
  <si>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</si>
  <si>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</si>
  <si>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</si>
  <si>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</si>
  <si>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</si>
  <si>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</si>
  <si>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</si>
  <si>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</si>
  <si>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</si>
  <si>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</si>
  <si>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</si>
  <si>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</si>
  <si>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</si>
  <si>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</si>
  <si>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</si>
  <si>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</si>
  <si>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</si>
  <si>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</si>
  <si>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</si>
  <si>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</si>
  <si>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</si>
  <si>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</si>
  <si>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</si>
  <si>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</si>
  <si>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</si>
  <si>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</si>
  <si>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</si>
  <si>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</si>
  <si>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</si>
  <si>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</si>
  <si>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</si>
  <si>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</si>
  <si>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</si>
  <si>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</si>
  <si>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</si>
  <si>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</si>
  <si>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</si>
  <si>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</si>
  <si>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</si>
  <si>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</si>
  <si>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</si>
  <si>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</si>
  <si>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</si>
  <si>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</si>
  <si>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</si>
  <si>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</si>
  <si>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</si>
  <si>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</si>
  <si>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</si>
  <si>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</si>
  <si>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</si>
  <si>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</si>
  <si>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</si>
  <si>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</si>
  <si>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</si>
  <si>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</si>
  <si>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</si>
  <si>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</si>
  <si>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</si>
  <si>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</si>
  <si>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</si>
  <si>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</si>
  <si>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</si>
  <si>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</si>
  <si>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</si>
  <si>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</si>
  <si>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</si>
  <si>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</si>
  <si>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</si>
  <si>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</si>
  <si>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</si>
  <si>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</si>
  <si>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</si>
  <si>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</si>
  <si>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</si>
  <si>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</si>
  <si>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</si>
  <si>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</si>
  <si>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</si>
  <si>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</si>
  <si>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</si>
  <si>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</si>
  <si>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</si>
  <si>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</si>
  <si>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</si>
  <si>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</si>
  <si>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</si>
  <si>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</si>
  <si>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</si>
  <si>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</si>
  <si>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</si>
  <si>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</si>
  <si>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</si>
  <si>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</si>
  <si>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</si>
  <si>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</si>
  <si>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</si>
  <si>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</si>
  <si>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</si>
  <si>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</si>
  <si>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</si>
  <si>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</si>
  <si>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</si>
  <si>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</si>
  <si>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</si>
  <si>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</si>
  <si>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</si>
  <si>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</si>
  <si>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</si>
  <si>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</si>
  <si>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</si>
  <si>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</si>
  <si>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</si>
  <si>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</si>
  <si>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</si>
  <si>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</si>
  <si>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</si>
  <si>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</si>
  <si>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</si>
  <si>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</si>
  <si>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</si>
  <si>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</si>
  <si>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</si>
  <si>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</si>
  <si>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</si>
  <si>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</si>
  <si>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</si>
  <si>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</si>
  <si>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</si>
  <si>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</si>
  <si>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</si>
  <si>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</si>
  <si>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</si>
  <si>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</si>
  <si>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</si>
  <si>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</si>
  <si>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</si>
  <si>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</si>
  <si>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</si>
  <si>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</si>
  <si>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</si>
  <si>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</si>
  <si>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</si>
  <si>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</si>
  <si>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</si>
  <si>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</si>
  <si>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</si>
  <si>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</si>
  <si>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</si>
  <si>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</si>
  <si>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</si>
  <si>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</si>
  <si>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</si>
  <si>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</si>
  <si>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</si>
  <si>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</si>
  <si>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</si>
  <si>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</si>
  <si>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</si>
  <si>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</si>
  <si>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</si>
  <si>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</si>
  <si>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</si>
  <si>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</si>
  <si>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</si>
  <si>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</si>
  <si>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</si>
  <si>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</si>
  <si>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</si>
  <si>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</si>
  <si>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</si>
  <si>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</si>
  <si>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</si>
  <si>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</si>
  <si>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</si>
  <si>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</si>
  <si>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</si>
  <si>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</si>
  <si>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</si>
  <si>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</si>
  <si>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</si>
  <si>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</si>
  <si>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</si>
  <si>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</si>
  <si>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</si>
  <si>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</si>
  <si>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</si>
  <si>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</si>
  <si>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</si>
  <si>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</si>
  <si>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</si>
  <si>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</si>
  <si>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</si>
  <si>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</si>
  <si>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</si>
  <si>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</si>
  <si>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</si>
  <si>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</si>
  <si>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</si>
  <si>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</si>
  <si>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</si>
  <si>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</si>
  <si>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</si>
  <si>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</si>
  <si>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</si>
  <si>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</si>
  <si>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</si>
  <si>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</si>
  <si>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</si>
  <si>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</si>
  <si>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</si>
  <si>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</si>
  <si>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</si>
  <si>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</si>
  <si>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</si>
  <si>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</si>
  <si>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</si>
  <si>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</si>
  <si>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</si>
  <si>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</si>
  <si>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</si>
  <si>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</si>
  <si>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</si>
  <si>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</si>
  <si>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</si>
  <si>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</si>
  <si>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</si>
  <si>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</si>
  <si>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</si>
  <si>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</si>
  <si>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</si>
  <si>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</si>
  <si>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</si>
  <si>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</si>
  <si>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</si>
  <si>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</si>
  <si>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</si>
  <si>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</si>
  <si>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</si>
  <si>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</si>
  <si>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</si>
  <si>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</si>
  <si>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</si>
  <si>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</si>
  <si>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</si>
  <si>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</si>
  <si>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</si>
  <si>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</si>
  <si>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</si>
  <si>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</si>
  <si>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</si>
  <si>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</si>
  <si>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</si>
  <si>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</si>
  <si>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</si>
  <si>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</si>
  <si>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</si>
  <si>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</si>
  <si>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</si>
  <si>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</si>
  <si>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</si>
  <si>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</si>
  <si>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</si>
  <si>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</si>
  <si>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</si>
  <si>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</si>
  <si>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</si>
  <si>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</si>
  <si>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</si>
  <si>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</si>
  <si>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</si>
  <si>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</si>
  <si>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</si>
  <si>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</si>
  <si>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</si>
  <si>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</si>
  <si>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</si>
  <si>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</si>
  <si>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</si>
  <si>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</si>
  <si>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</si>
  <si>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</si>
  <si>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</si>
  <si>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</si>
  <si>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</si>
  <si>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</si>
  <si>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</si>
  <si>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</si>
  <si>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</si>
  <si>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</si>
  <si>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</si>
  <si>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</si>
  <si>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</si>
  <si>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</si>
  <si>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</si>
  <si>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</si>
  <si>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</si>
  <si>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</si>
  <si>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</si>
  <si>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</si>
  <si>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</si>
  <si>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</si>
  <si>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</si>
  <si>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</si>
  <si>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</si>
  <si>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</si>
  <si>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</si>
  <si>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</si>
  <si>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</si>
  <si>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</si>
  <si>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</si>
  <si>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</si>
  <si>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</si>
  <si>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</si>
  <si>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</si>
  <si>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</si>
  <si>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</si>
  <si>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</si>
  <si>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</si>
  <si>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</si>
  <si>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</si>
  <si>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</si>
  <si>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</si>
  <si>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</si>
  <si>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</si>
  <si>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</si>
  <si>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</si>
  <si>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</si>
  <si>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</si>
  <si>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</si>
  <si>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</si>
  <si>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</si>
  <si>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</si>
  <si>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</si>
  <si>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</si>
  <si>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</si>
  <si>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</si>
  <si>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</si>
  <si>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</si>
  <si>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</si>
  <si>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</si>
  <si>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</si>
  <si>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</si>
  <si>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</si>
  <si>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</si>
  <si>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</si>
  <si>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</si>
  <si>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</si>
  <si>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</si>
  <si>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</si>
  <si>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</si>
  <si>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</si>
  <si>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</si>
  <si>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</si>
  <si>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</si>
  <si>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</si>
  <si>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</si>
  <si>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</si>
  <si>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</si>
  <si>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</si>
  <si>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</si>
  <si>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</si>
  <si>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</si>
  <si>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</si>
  <si>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</si>
  <si>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</si>
  <si>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</si>
  <si>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</si>
  <si>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</si>
  <si>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</si>
  <si>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</si>
  <si>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</si>
  <si>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</si>
  <si>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</si>
  <si>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</si>
  <si>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</si>
  <si>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</si>
  <si>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</si>
  <si>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</si>
  <si>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</si>
  <si>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</si>
  <si>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</si>
  <si>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</si>
  <si>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</si>
  <si>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</si>
  <si>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</si>
  <si>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</si>
  <si>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</si>
  <si>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</si>
  <si>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</si>
  <si>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</si>
  <si>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</si>
  <si>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</si>
  <si>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</si>
  <si>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</si>
  <si>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</si>
  <si>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</si>
  <si>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</si>
  <si>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</si>
  <si>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</si>
  <si>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</si>
  <si>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</si>
  <si>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</si>
  <si>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</si>
  <si>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</si>
  <si>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</si>
  <si>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</si>
  <si>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</si>
  <si>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</si>
  <si>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</si>
  <si>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</si>
  <si>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</si>
  <si>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</si>
  <si>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</si>
  <si>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</si>
  <si>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</si>
  <si>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</si>
  <si>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</si>
  <si>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</si>
  <si>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</si>
  <si>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</si>
  <si>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</si>
  <si>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</si>
  <si>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</si>
  <si>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</si>
  <si>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</si>
  <si>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</si>
  <si>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ESİN</t>
  </si>
  <si>
    <t>Dengi USD</t>
  </si>
  <si>
    <t>NAKIT</t>
  </si>
  <si>
    <t>TEST MULTIPLIER</t>
  </si>
  <si>
    <t>MARGIN/0.01LOT</t>
  </si>
  <si>
    <t>PRICE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</si>
</sst>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10" fontId="4" fillId="6" borderId="0" xfId="1" applyNumberFormat="1" applyFont="1" applyFill="1"/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X45"/>
  <sheetViews>
    <sheetView tabSelected="1" zoomScale="99" zoomScaleNormal="115" workbookViewId="0">
      <selection activeCell="F9" sqref="F9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3.5703125" customWidth="1"/>
    <col min="9" max="9" width="13.140625" customWidth="1"/>
    <col min="10" max="10" width="16.140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.5703125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1">
        <f>K11-K12</f>
        <v>971</v>
      </c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>
        <v>18432</v>
      </c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3500.3474468000013</v>
      </c>
      <c r="G12" s="110">
        <f>F12/F16-1</f>
        <v>0.19925429095132574</v>
      </c>
      <c r="H12" s="2"/>
      <c r="I12" s="2"/>
      <c r="J12" s="9" t="s">
        <v>467</v>
      </c>
      <c r="K12" s="22">
        <v>17461</v>
      </c>
      <c r="L12" s="16">
        <v>8741.99</v>
      </c>
      <c r="M12" s="7">
        <v>-0.01</v>
      </c>
      <c r="O12" s="2"/>
      <c r="P12" s="11" t="s">
        <v>0</v>
      </c>
      <c r="Q12" s="27">
        <f>Q15+Q16</f>
        <v>-7775.0107389999994</v>
      </c>
      <c r="R12" s="2"/>
      <c r="S12" s="2"/>
      <c r="T12" s="2"/>
      <c r="U12" s="9" t="s">
        <v>17</v>
      </c>
      <c r="V12" s="22">
        <f>K12</f>
        <v>17461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3215.1574468000013</v>
      </c>
      <c r="G13" s="2"/>
      <c r="H13" s="2" t="s">
        <v>466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-7858.7107389999992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27">
        <f>K28</f>
        <v>581.57744680000133</v>
      </c>
      <c r="G15" s="2"/>
      <c r="H15" s="2"/>
      <c r="I15" s="2"/>
      <c r="J15" s="9" t="s">
        <v>0</v>
      </c>
      <c r="K15" s="4" t="s">
        <v>426</v>
      </c>
      <c r="L15" s="3"/>
      <c r="M15" s="6"/>
      <c r="O15" s="2"/>
      <c r="P15" s="11" t="s">
        <v>3</v>
      </c>
      <c r="Q15" s="19">
        <f>V20+V21+V28</f>
        <v>-8104.0207389999996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2918.77</v>
      </c>
      <c r="G16" s="2"/>
      <c r="H16" s="2"/>
      <c r="I16" s="2"/>
      <c r="J16" s="9" t="s">
        <v>465</v>
      </c>
      <c r="K16" s="106">
        <f>0.200006</f>
        <v>0.20000599999999999</v>
      </c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110">
        <f>F13/F14+1</f>
        <v>12.273738373715773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-92.891406678614089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-0.01</v>
      </c>
      <c r="G20" s="12">
        <v>17834.310000000001</v>
      </c>
      <c r="H20" s="14">
        <f>$K$12</f>
        <v>17461</v>
      </c>
      <c r="I20" s="14">
        <f>G20-H20</f>
        <v>373.31000000000131</v>
      </c>
      <c r="J20" s="25">
        <f t="shared" ref="J20:J27" si="0">$K$16</f>
        <v>0.20000599999999999</v>
      </c>
      <c r="K20" s="19">
        <f>I20*J20</f>
        <v>74.664239860000265</v>
      </c>
      <c r="L20" s="14">
        <v>-2.34</v>
      </c>
      <c r="M20" s="7">
        <f>(H20/G20-1)*F20*10</f>
        <v>2.0932124651864893E-3</v>
      </c>
      <c r="O20" s="2"/>
      <c r="P20" s="13" t="s">
        <v>16</v>
      </c>
      <c r="Q20" s="12">
        <v>-0.1</v>
      </c>
      <c r="R20" s="12">
        <v>8921.59</v>
      </c>
      <c r="S20" s="14">
        <f>$K$12</f>
        <v>17461</v>
      </c>
      <c r="T20" s="12">
        <f>R20-S20</f>
        <v>-8539.41</v>
      </c>
      <c r="U20" s="25">
        <f>$V$13</f>
        <v>0.31414999999999998</v>
      </c>
      <c r="V20" s="14">
        <f>T20*U20</f>
        <v>-2682.6556514999997</v>
      </c>
      <c r="W20" s="14"/>
      <c r="X20" s="6"/>
    </row>
    <row r="21" spans="4:24" ht="15.75" x14ac:dyDescent="0.25">
      <c r="D21" s="2"/>
      <c r="E21" s="13" t="s">
        <v>426</v>
      </c>
      <c r="F21" s="12">
        <v>-0.01</v>
      </c>
      <c r="G21" s="14">
        <v>17835</v>
      </c>
      <c r="H21" s="14">
        <f>$K$12</f>
        <v>17461</v>
      </c>
      <c r="I21" s="14">
        <f t="shared" ref="I21:I27" si="1">G21-H21</f>
        <v>374</v>
      </c>
      <c r="J21" s="25">
        <f t="shared" si="0"/>
        <v>0.20000599999999999</v>
      </c>
      <c r="K21" s="19">
        <f>I21*J21</f>
        <v>74.802244000000002</v>
      </c>
      <c r="L21" s="14">
        <v>-2.19</v>
      </c>
      <c r="M21" s="7">
        <f t="shared" ref="M21:M27" si="2">(H21/G21-1)*F21*10</f>
        <v>2.0970002803476274E-3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17461</v>
      </c>
      <c r="T21" s="12">
        <f>R21-S21</f>
        <v>-8623.6200000000008</v>
      </c>
      <c r="U21" s="25">
        <f t="shared" ref="U21:U28" si="3">$V$13</f>
        <v>0.31414999999999998</v>
      </c>
      <c r="V21" s="14">
        <f>T21*U21</f>
        <v>-2709.1102230000001</v>
      </c>
      <c r="W21" s="3"/>
      <c r="X21" s="6"/>
    </row>
    <row r="22" spans="4:24" ht="15.75" x14ac:dyDescent="0.25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17461</v>
      </c>
      <c r="I22" s="14">
        <f t="shared" si="1"/>
        <v>368.90000000000146</v>
      </c>
      <c r="J22" s="25">
        <f t="shared" si="0"/>
        <v>0.20000599999999999</v>
      </c>
      <c r="K22" s="19">
        <f t="shared" ref="K22:K27" si="5">I22*J22</f>
        <v>73.782213400000288</v>
      </c>
      <c r="L22" s="14"/>
      <c r="M22" s="7">
        <f t="shared" si="2"/>
        <v>2.0689964610009159E-3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75" x14ac:dyDescent="0.25">
      <c r="D23" s="2"/>
      <c r="E23" s="13" t="s">
        <v>426</v>
      </c>
      <c r="F23" s="12">
        <v>-0.01</v>
      </c>
      <c r="G23" s="14">
        <v>17825.22</v>
      </c>
      <c r="H23" s="14">
        <f t="shared" si="4"/>
        <v>17461</v>
      </c>
      <c r="I23" s="14">
        <f t="shared" si="1"/>
        <v>364.22000000000116</v>
      </c>
      <c r="J23" s="25">
        <f t="shared" si="0"/>
        <v>0.20000599999999999</v>
      </c>
      <c r="K23" s="19">
        <f t="shared" si="5"/>
        <v>72.846185320000231</v>
      </c>
      <c r="L23" s="14"/>
      <c r="M23" s="7">
        <f t="shared" si="2"/>
        <v>2.0432847392626964E-3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75" x14ac:dyDescent="0.25">
      <c r="D24" s="2"/>
      <c r="E24" s="13" t="s">
        <v>426</v>
      </c>
      <c r="F24" s="12">
        <v>-0.01</v>
      </c>
      <c r="G24" s="14">
        <v>17820.22</v>
      </c>
      <c r="H24" s="14">
        <f t="shared" si="4"/>
        <v>17461</v>
      </c>
      <c r="I24" s="14">
        <f t="shared" si="1"/>
        <v>359.22000000000116</v>
      </c>
      <c r="J24" s="25">
        <f t="shared" si="0"/>
        <v>0.20000599999999999</v>
      </c>
      <c r="K24" s="19">
        <f t="shared" si="5"/>
        <v>71.846155320000236</v>
      </c>
      <c r="L24" s="14"/>
      <c r="M24" s="7">
        <f t="shared" si="2"/>
        <v>2.0158000294048018E-3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75" x14ac:dyDescent="0.25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17461</v>
      </c>
      <c r="I25" s="14">
        <f t="shared" si="1"/>
        <v>355.15000000000146</v>
      </c>
      <c r="J25" s="25">
        <f t="shared" si="0"/>
        <v>0.20000599999999999</v>
      </c>
      <c r="K25" s="19">
        <f t="shared" si="5"/>
        <v>71.032130900000283</v>
      </c>
      <c r="L25" s="14"/>
      <c r="M25" s="7">
        <f t="shared" si="2"/>
        <v>1.9934160859669593E-3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75" x14ac:dyDescent="0.25">
      <c r="D26" s="2"/>
      <c r="E26" s="13" t="s">
        <v>426</v>
      </c>
      <c r="F26" s="12">
        <v>-0.01</v>
      </c>
      <c r="G26" s="14">
        <v>17820</v>
      </c>
      <c r="H26" s="14">
        <f t="shared" si="4"/>
        <v>17461</v>
      </c>
      <c r="I26" s="14">
        <f t="shared" si="1"/>
        <v>359</v>
      </c>
      <c r="J26" s="25">
        <f t="shared" si="0"/>
        <v>0.20000599999999999</v>
      </c>
      <c r="K26" s="19">
        <f t="shared" si="5"/>
        <v>71.802154000000002</v>
      </c>
      <c r="L26" s="14"/>
      <c r="M26" s="7">
        <f t="shared" si="2"/>
        <v>2.0145903479236839E-3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75" x14ac:dyDescent="0.25">
      <c r="D27" s="2"/>
      <c r="E27" s="13" t="s">
        <v>426</v>
      </c>
      <c r="F27" s="12">
        <v>-0.01</v>
      </c>
      <c r="G27" s="14">
        <v>17815</v>
      </c>
      <c r="H27" s="14">
        <f t="shared" si="4"/>
        <v>17461</v>
      </c>
      <c r="I27" s="14">
        <f t="shared" si="1"/>
        <v>354</v>
      </c>
      <c r="J27" s="25">
        <f t="shared" si="0"/>
        <v>0.20000599999999999</v>
      </c>
      <c r="K27" s="19">
        <f t="shared" si="5"/>
        <v>70.802123999999992</v>
      </c>
      <c r="L27" s="14"/>
      <c r="M27" s="7">
        <f t="shared" si="2"/>
        <v>1.987089531293851E-3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75" x14ac:dyDescent="0.25">
      <c r="D28" s="2"/>
      <c r="E28" s="13"/>
      <c r="F28" s="14">
        <f>SUM(F20:F27)</f>
        <v>-0.08</v>
      </c>
      <c r="G28" s="12"/>
      <c r="H28" s="12"/>
      <c r="I28" s="12"/>
      <c r="J28" s="17"/>
      <c r="K28" s="19">
        <f>SUM(K20:K27)</f>
        <v>581.57744680000133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17461</v>
      </c>
      <c r="T28" s="14">
        <f>R28-S28</f>
        <v>-8633.6299999999992</v>
      </c>
      <c r="U28" s="25">
        <f t="shared" si="3"/>
        <v>0.31414999999999998</v>
      </c>
      <c r="V28" s="14">
        <f>T28*U28</f>
        <v>-2712.2548644999997</v>
      </c>
      <c r="W28" s="3"/>
      <c r="X28" s="6"/>
    </row>
    <row r="29" spans="4:24" x14ac:dyDescent="0.25">
      <c r="D29" s="2"/>
      <c r="E29" s="2"/>
      <c r="F29" s="2"/>
      <c r="G29" s="2"/>
      <c r="H29" s="2"/>
      <c r="I29" s="2"/>
      <c r="J29" s="2"/>
      <c r="K29" s="2"/>
      <c r="L29" s="3"/>
      <c r="M29" s="6"/>
      <c r="O29" s="2"/>
      <c r="P29" s="2"/>
      <c r="Q29" s="2"/>
      <c r="R29" s="2"/>
      <c r="S29" s="2"/>
      <c r="T29" s="2"/>
      <c r="U29" s="2"/>
      <c r="V29" s="21"/>
      <c r="W29" s="3"/>
      <c r="X29" s="6"/>
    </row>
    <row r="31" spans="4:24" ht="18.75" x14ac:dyDescent="0.3">
      <c r="D31" s="23">
        <v>9675887</v>
      </c>
      <c r="E31" s="2"/>
      <c r="F31" s="2"/>
      <c r="G31" s="2"/>
      <c r="H31" s="2"/>
      <c r="I31" s="8" t="s">
        <v>23</v>
      </c>
      <c r="J31" s="2"/>
      <c r="K31" s="2"/>
      <c r="L31" s="3"/>
      <c r="M31" s="28">
        <v>3</v>
      </c>
      <c r="O31" s="23">
        <v>9675888</v>
      </c>
      <c r="P31" s="2"/>
      <c r="Q31" s="2"/>
      <c r="R31" s="2"/>
      <c r="S31" s="2"/>
      <c r="T31" s="8" t="s">
        <v>22</v>
      </c>
      <c r="U31" s="2"/>
      <c r="V31" s="2"/>
      <c r="W31" s="3"/>
      <c r="X31" s="28">
        <v>1</v>
      </c>
    </row>
    <row r="32" spans="4:24" x14ac:dyDescent="0.25">
      <c r="D32" s="2"/>
      <c r="E32" s="2"/>
      <c r="F32" s="2"/>
      <c r="G32" s="2"/>
      <c r="H32" s="2"/>
      <c r="I32" s="2"/>
      <c r="J32" s="2"/>
      <c r="K32" s="2"/>
      <c r="L32" s="3"/>
      <c r="M32" s="6"/>
      <c r="O32" s="2"/>
      <c r="P32" s="2"/>
      <c r="Q32" s="2"/>
      <c r="R32" s="2"/>
      <c r="S32" s="2"/>
      <c r="T32" s="2"/>
      <c r="U32" s="2"/>
      <c r="V32" s="2"/>
      <c r="W32" s="3"/>
      <c r="X32" s="6"/>
    </row>
    <row r="33" spans="4:24" ht="30" x14ac:dyDescent="0.25">
      <c r="D33" s="2"/>
      <c r="E33" s="2"/>
      <c r="F33" s="2"/>
      <c r="G33" s="2"/>
      <c r="H33" s="2"/>
      <c r="I33" s="2"/>
      <c r="J33" s="2"/>
      <c r="K33" s="2"/>
      <c r="L33" s="15" t="s">
        <v>18</v>
      </c>
      <c r="M33" s="10" t="s">
        <v>15</v>
      </c>
      <c r="O33" s="2"/>
      <c r="P33" s="2"/>
      <c r="Q33" s="2"/>
      <c r="R33" s="2"/>
      <c r="S33" s="2"/>
      <c r="T33" s="2"/>
      <c r="U33" s="2"/>
      <c r="V33" s="2"/>
      <c r="W33" s="15" t="s">
        <v>18</v>
      </c>
      <c r="X33" s="10" t="s">
        <v>15</v>
      </c>
    </row>
    <row r="34" spans="4:24" ht="15.75" x14ac:dyDescent="0.25">
      <c r="D34" s="2"/>
      <c r="E34" s="11" t="s">
        <v>0</v>
      </c>
      <c r="F34" s="27">
        <f>F37+F38</f>
        <v>-5817.118041499999</v>
      </c>
      <c r="G34" s="2"/>
      <c r="H34" s="2"/>
      <c r="I34" s="2"/>
      <c r="J34" s="9" t="s">
        <v>17</v>
      </c>
      <c r="K34" s="22">
        <v>9034.8700000000008</v>
      </c>
      <c r="L34" s="16">
        <v>8741.99</v>
      </c>
      <c r="M34" s="7">
        <v>-0.01</v>
      </c>
      <c r="O34" s="2"/>
      <c r="P34" s="11" t="s">
        <v>0</v>
      </c>
      <c r="Q34" s="27">
        <f>Q37+Q38</f>
        <v>-7779.3753479999987</v>
      </c>
      <c r="R34" s="2"/>
      <c r="S34" s="2"/>
      <c r="T34" s="2"/>
      <c r="U34" s="9" t="s">
        <v>17</v>
      </c>
      <c r="V34" s="22">
        <v>9034.8700000000008</v>
      </c>
      <c r="W34" s="16">
        <v>8741.99</v>
      </c>
      <c r="X34" s="7">
        <v>-0.01</v>
      </c>
    </row>
    <row r="35" spans="4:24" ht="15.75" x14ac:dyDescent="0.25">
      <c r="D35" s="2"/>
      <c r="E35" s="11" t="s">
        <v>1</v>
      </c>
      <c r="F35" s="19">
        <f>F34-F36</f>
        <v>-5901.0580414999986</v>
      </c>
      <c r="G35" s="2"/>
      <c r="H35" s="2"/>
      <c r="I35" s="2"/>
      <c r="J35" s="9" t="s">
        <v>12</v>
      </c>
      <c r="K35" s="18">
        <f>V13</f>
        <v>0.31414999999999998</v>
      </c>
      <c r="L35" s="3"/>
      <c r="M35" s="6"/>
      <c r="O35" s="2"/>
      <c r="P35" s="11" t="s">
        <v>1</v>
      </c>
      <c r="Q35" s="19">
        <f>Q34-Q36</f>
        <v>-7859.5453479999987</v>
      </c>
      <c r="R35" s="2"/>
      <c r="S35" s="2"/>
      <c r="T35" s="2"/>
      <c r="U35" s="9" t="s">
        <v>12</v>
      </c>
      <c r="V35" s="18">
        <f>K35</f>
        <v>0.31414999999999998</v>
      </c>
      <c r="W35" s="3"/>
      <c r="X35" s="6"/>
    </row>
    <row r="36" spans="4:24" ht="15.75" x14ac:dyDescent="0.25">
      <c r="D36" s="2"/>
      <c r="E36" s="11" t="s">
        <v>2</v>
      </c>
      <c r="F36" s="19">
        <v>83.94</v>
      </c>
      <c r="G36" s="2"/>
      <c r="H36" s="2"/>
      <c r="I36" s="2"/>
      <c r="J36" s="9" t="s">
        <v>14</v>
      </c>
      <c r="K36" s="2">
        <v>100</v>
      </c>
      <c r="L36" s="3"/>
      <c r="M36" s="6"/>
      <c r="O36" s="2"/>
      <c r="P36" s="11" t="s">
        <v>2</v>
      </c>
      <c r="Q36" s="19">
        <v>80.17</v>
      </c>
      <c r="R36" s="2">
        <f>Q36/2</f>
        <v>40.085000000000001</v>
      </c>
      <c r="S36" s="2"/>
      <c r="T36" s="2"/>
      <c r="U36" s="9" t="s">
        <v>14</v>
      </c>
      <c r="V36" s="2">
        <v>100</v>
      </c>
      <c r="W36" s="3"/>
      <c r="X36" s="6"/>
    </row>
    <row r="37" spans="4:24" ht="15.75" x14ac:dyDescent="0.25">
      <c r="D37" s="2"/>
      <c r="E37" s="11" t="s">
        <v>3</v>
      </c>
      <c r="F37" s="19">
        <f>SUM(K42:K44)-G37</f>
        <v>-6131.578041499999</v>
      </c>
      <c r="G37" s="19">
        <v>3</v>
      </c>
      <c r="H37" s="2" t="s">
        <v>24</v>
      </c>
      <c r="I37" s="2"/>
      <c r="J37" s="9" t="s">
        <v>0</v>
      </c>
      <c r="K37" s="4" t="s">
        <v>13</v>
      </c>
      <c r="L37" s="3"/>
      <c r="M37" s="6"/>
      <c r="O37" s="2"/>
      <c r="P37" s="11" t="s">
        <v>3</v>
      </c>
      <c r="Q37" s="19">
        <f>SUM(V42:V44)-R37</f>
        <v>-8101.2553479999988</v>
      </c>
      <c r="R37" s="19">
        <v>2.76</v>
      </c>
      <c r="S37" s="2" t="s">
        <v>24</v>
      </c>
      <c r="T37" s="2"/>
      <c r="U37" s="9" t="s">
        <v>0</v>
      </c>
      <c r="V37" s="4" t="s">
        <v>13</v>
      </c>
      <c r="W37" s="3"/>
      <c r="X37" s="6"/>
    </row>
    <row r="38" spans="4:24" ht="15.75" x14ac:dyDescent="0.25">
      <c r="D38" s="2"/>
      <c r="E38" s="11" t="s">
        <v>4</v>
      </c>
      <c r="F38" s="19">
        <v>314.45999999999998</v>
      </c>
      <c r="G38" s="2"/>
      <c r="H38" s="2"/>
      <c r="I38" s="2"/>
      <c r="J38" s="2"/>
      <c r="K38" s="2"/>
      <c r="L38" s="3"/>
      <c r="M38" s="6"/>
      <c r="O38" s="2"/>
      <c r="P38" s="11" t="s">
        <v>4</v>
      </c>
      <c r="Q38" s="19">
        <v>321.88</v>
      </c>
      <c r="R38" s="2"/>
      <c r="S38" s="2"/>
      <c r="T38" s="2"/>
      <c r="U38" s="2"/>
      <c r="V38" s="2"/>
      <c r="W38" s="3"/>
      <c r="X38" s="6"/>
    </row>
    <row r="39" spans="4:24" ht="15.75" x14ac:dyDescent="0.25">
      <c r="D39" s="2"/>
      <c r="E39" s="11" t="s">
        <v>5</v>
      </c>
      <c r="F39" s="26">
        <f>F35/F36+1</f>
        <v>-69.300905903025949</v>
      </c>
      <c r="G39" s="2"/>
      <c r="H39" s="2"/>
      <c r="I39" s="2"/>
      <c r="J39" s="2"/>
      <c r="K39" s="2"/>
      <c r="L39" s="3"/>
      <c r="M39" s="6"/>
      <c r="O39" s="2"/>
      <c r="P39" s="11" t="s">
        <v>5</v>
      </c>
      <c r="Q39" s="26">
        <f>Q35/Q36+1</f>
        <v>-97.035990370462756</v>
      </c>
      <c r="R39" s="2"/>
      <c r="S39" s="2"/>
      <c r="T39" s="2"/>
      <c r="U39" s="2"/>
      <c r="V39" s="2"/>
      <c r="W39" s="3"/>
      <c r="X39" s="6"/>
    </row>
    <row r="40" spans="4:24" x14ac:dyDescent="0.25">
      <c r="D40" s="2"/>
      <c r="E40" s="2"/>
      <c r="F40" s="2"/>
      <c r="G40" s="2"/>
      <c r="H40" s="2"/>
      <c r="I40" s="2"/>
      <c r="J40" s="2"/>
      <c r="K40" s="2"/>
      <c r="L40" s="3"/>
      <c r="M40" s="6"/>
      <c r="O40" s="2"/>
      <c r="P40" s="2"/>
      <c r="Q40" s="2"/>
      <c r="R40" s="2"/>
      <c r="S40" s="2"/>
      <c r="T40" s="2"/>
      <c r="U40" s="2"/>
      <c r="V40" s="2"/>
      <c r="W40" s="3"/>
      <c r="X40" s="6"/>
    </row>
    <row r="41" spans="4:24" ht="15.75" x14ac:dyDescent="0.25">
      <c r="D41" s="2"/>
      <c r="E41" s="12"/>
      <c r="F41" s="13" t="s">
        <v>7</v>
      </c>
      <c r="G41" s="13" t="s">
        <v>6</v>
      </c>
      <c r="H41" s="13" t="s">
        <v>8</v>
      </c>
      <c r="I41" s="13" t="s">
        <v>9</v>
      </c>
      <c r="J41" s="13" t="s">
        <v>11</v>
      </c>
      <c r="K41" s="13" t="s">
        <v>10</v>
      </c>
      <c r="L41" s="13" t="s">
        <v>19</v>
      </c>
      <c r="M41" s="6"/>
      <c r="O41" s="2"/>
      <c r="P41" s="12"/>
      <c r="Q41" s="13" t="s">
        <v>7</v>
      </c>
      <c r="R41" s="13" t="s">
        <v>6</v>
      </c>
      <c r="S41" s="13" t="s">
        <v>8</v>
      </c>
      <c r="T41" s="13" t="s">
        <v>9</v>
      </c>
      <c r="U41" s="13" t="s">
        <v>11</v>
      </c>
      <c r="V41" s="13" t="s">
        <v>10</v>
      </c>
      <c r="W41" s="13" t="s">
        <v>19</v>
      </c>
      <c r="X41" s="6"/>
    </row>
    <row r="42" spans="4:24" ht="15.75" x14ac:dyDescent="0.25">
      <c r="D42" s="2"/>
      <c r="E42" s="13" t="s">
        <v>16</v>
      </c>
      <c r="F42" s="12">
        <v>-0.1</v>
      </c>
      <c r="G42" s="12">
        <v>8920.14</v>
      </c>
      <c r="H42" s="14">
        <f>$K$12</f>
        <v>17461</v>
      </c>
      <c r="I42" s="12">
        <f>G42-H42</f>
        <v>-8540.86</v>
      </c>
      <c r="J42" s="17">
        <f>$K$16</f>
        <v>0.20000599999999999</v>
      </c>
      <c r="K42" s="14">
        <f>I42*J42</f>
        <v>-1708.22324516</v>
      </c>
      <c r="L42" s="14">
        <v>40.61</v>
      </c>
      <c r="M42" s="6"/>
      <c r="O42" s="2"/>
      <c r="P42" s="13" t="s">
        <v>16</v>
      </c>
      <c r="Q42" s="12">
        <v>-0.1</v>
      </c>
      <c r="R42" s="14">
        <v>8921.43</v>
      </c>
      <c r="S42" s="14">
        <f>$K$12</f>
        <v>17461</v>
      </c>
      <c r="T42" s="12">
        <f>R42-S42</f>
        <v>-8539.57</v>
      </c>
      <c r="U42" s="17">
        <v>0.31424999999999997</v>
      </c>
      <c r="V42" s="14">
        <f>T42*U42</f>
        <v>-2683.5598724999995</v>
      </c>
      <c r="W42" s="14">
        <v>40.61</v>
      </c>
      <c r="X42" s="6"/>
    </row>
    <row r="43" spans="4:24" ht="15.75" x14ac:dyDescent="0.25">
      <c r="D43" s="2"/>
      <c r="E43" s="13" t="s">
        <v>16</v>
      </c>
      <c r="F43" s="12">
        <v>-0.1</v>
      </c>
      <c r="G43" s="14">
        <v>8897.86</v>
      </c>
      <c r="H43" s="14">
        <f>$K$12</f>
        <v>17461</v>
      </c>
      <c r="I43" s="12">
        <f>G43-H43</f>
        <v>-8563.14</v>
      </c>
      <c r="J43" s="17">
        <f>$K$16</f>
        <v>0.20000599999999999</v>
      </c>
      <c r="K43" s="14">
        <f>I43*J43</f>
        <v>-1712.6793788399998</v>
      </c>
      <c r="L43" s="3"/>
      <c r="M43" s="6"/>
      <c r="O43" s="2"/>
      <c r="P43" s="13" t="s">
        <v>16</v>
      </c>
      <c r="Q43" s="12">
        <v>-0.1</v>
      </c>
      <c r="R43" s="14">
        <v>8849.77</v>
      </c>
      <c r="S43" s="14">
        <f>$K$12</f>
        <v>17461</v>
      </c>
      <c r="T43" s="12">
        <f>R43-S43</f>
        <v>-8611.23</v>
      </c>
      <c r="U43" s="17">
        <v>0.31424999999999997</v>
      </c>
      <c r="V43" s="14">
        <f>T43*U43</f>
        <v>-2706.0790274999995</v>
      </c>
      <c r="W43" s="3"/>
      <c r="X43" s="6"/>
    </row>
    <row r="44" spans="4:24" ht="15.75" x14ac:dyDescent="0.25">
      <c r="D44" s="2"/>
      <c r="E44" s="13" t="s">
        <v>16</v>
      </c>
      <c r="F44" s="12">
        <v>-0.1</v>
      </c>
      <c r="G44" s="12">
        <v>8844.69</v>
      </c>
      <c r="H44" s="14">
        <f>$K$12</f>
        <v>17461</v>
      </c>
      <c r="I44" s="12">
        <f>G44-H44</f>
        <v>-8616.31</v>
      </c>
      <c r="J44" s="17">
        <v>0.31424999999999997</v>
      </c>
      <c r="K44" s="14">
        <f>I44*J44</f>
        <v>-2707.6754174999996</v>
      </c>
      <c r="L44" s="3"/>
      <c r="M44" s="6"/>
      <c r="O44" s="2"/>
      <c r="P44" s="13" t="s">
        <v>16</v>
      </c>
      <c r="Q44" s="12">
        <v>-0.1</v>
      </c>
      <c r="R44" s="12">
        <v>8839.56</v>
      </c>
      <c r="S44" s="14">
        <f>$K$12</f>
        <v>17461</v>
      </c>
      <c r="T44" s="12">
        <f>R44-S44</f>
        <v>-8621.44</v>
      </c>
      <c r="U44" s="17">
        <v>0.31419999999999998</v>
      </c>
      <c r="V44" s="14">
        <f>T44*U44</f>
        <v>-2708.856448</v>
      </c>
      <c r="W44" s="3"/>
      <c r="X44" s="6"/>
    </row>
    <row r="45" spans="4:24" x14ac:dyDescent="0.25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</sheetData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topLeftCell="A3" workbookViewId="0">
      <selection activeCell="O23" sqref="O23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710937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6">
        <f ca="1">TODAY()</f>
        <v>45370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3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25" x14ac:dyDescent="0.3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25" x14ac:dyDescent="0.3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25" x14ac:dyDescent="0.3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25" x14ac:dyDescent="0.35">
      <c r="K8" s="91"/>
    </row>
    <row r="9" spans="3:19" ht="23.25" x14ac:dyDescent="0.3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25" x14ac:dyDescent="0.3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25">
      <c r="F11" s="107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25">
      <c r="F12" s="107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25" x14ac:dyDescent="0.25">
      <c r="F13" s="107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25" x14ac:dyDescent="0.35">
      <c r="F14" s="107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0.20186647720589357</v>
      </c>
      <c r="Q14" s="91"/>
      <c r="R14" s="91">
        <v>0</v>
      </c>
      <c r="S14" s="91"/>
    </row>
    <row r="15" spans="3:19" ht="23.25" x14ac:dyDescent="0.35">
      <c r="F15" s="107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f>315.45+10000/32.4</f>
        <v>624.09197530864196</v>
      </c>
      <c r="P15" s="95">
        <f t="shared" ref="P15:P19" si="5">O15/$O$19</f>
        <v>0.20008456842376413</v>
      </c>
      <c r="Q15" s="91"/>
      <c r="R15" s="91">
        <v>1.25</v>
      </c>
      <c r="S15" s="91"/>
    </row>
    <row r="16" spans="3:19" ht="23.25" x14ac:dyDescent="0.35">
      <c r="N16" s="89" t="s">
        <v>454</v>
      </c>
      <c r="O16" s="91">
        <f>314.46+10000/32.4</f>
        <v>623.10197530864195</v>
      </c>
      <c r="P16" s="95">
        <f t="shared" si="5"/>
        <v>0.19976717334326885</v>
      </c>
      <c r="Q16" s="91"/>
      <c r="R16" s="91">
        <v>5.46</v>
      </c>
      <c r="S16" s="91"/>
    </row>
    <row r="17" spans="6:19" ht="23.25" x14ac:dyDescent="0.35">
      <c r="G17" t="s">
        <v>450</v>
      </c>
      <c r="N17" s="89" t="s">
        <v>456</v>
      </c>
      <c r="O17" s="91">
        <f>314.46+10000/32.4</f>
        <v>623.10197530864195</v>
      </c>
      <c r="P17" s="95">
        <f t="shared" si="5"/>
        <v>0.19976717334326885</v>
      </c>
      <c r="Q17" s="91"/>
      <c r="R17" s="91">
        <v>5.48</v>
      </c>
      <c r="S17" s="91"/>
    </row>
    <row r="18" spans="6:19" ht="23.25" x14ac:dyDescent="0.35">
      <c r="G18" t="s">
        <v>446</v>
      </c>
      <c r="N18" s="89" t="s">
        <v>462</v>
      </c>
      <c r="O18" s="91">
        <f>20000/32.3</f>
        <v>619.19504643962853</v>
      </c>
      <c r="P18" s="95">
        <f t="shared" si="5"/>
        <v>0.19851460768380447</v>
      </c>
      <c r="Q18" s="91"/>
      <c r="R18" s="91">
        <v>0</v>
      </c>
      <c r="S18" s="91"/>
    </row>
    <row r="19" spans="6:19" ht="23.25" x14ac:dyDescent="0.35">
      <c r="G19" t="s">
        <v>449</v>
      </c>
      <c r="N19" s="92" t="s">
        <v>457</v>
      </c>
      <c r="O19" s="93">
        <f>SUM(O14:O18)</f>
        <v>3119.1409723655547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25" x14ac:dyDescent="0.3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2918.77</v>
      </c>
    </row>
    <row r="21" spans="6:19" x14ac:dyDescent="0.25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25" x14ac:dyDescent="0.35">
      <c r="F22" s="107" t="s">
        <v>445</v>
      </c>
      <c r="G22" s="57" t="s">
        <v>428</v>
      </c>
      <c r="H22" s="84">
        <f>D3</f>
        <v>315</v>
      </c>
      <c r="I22" s="85">
        <f>H22/$H$27</f>
        <v>0.11639507815098106</v>
      </c>
      <c r="J22" s="84">
        <f>$J$27*I22</f>
        <v>339.730462254739</v>
      </c>
      <c r="K22" s="88">
        <f>J11</f>
        <v>167.25565694393165</v>
      </c>
      <c r="L22" s="88">
        <f>J22-K22</f>
        <v>172.47480531080734</v>
      </c>
      <c r="N22" s="92" t="s">
        <v>458</v>
      </c>
      <c r="O22" s="93">
        <f>O20-O19</f>
        <v>-200.37097236555474</v>
      </c>
    </row>
    <row r="23" spans="6:19" x14ac:dyDescent="0.25">
      <c r="F23" s="107"/>
      <c r="G23" s="57" t="s">
        <v>429</v>
      </c>
      <c r="H23" s="84">
        <f>D4</f>
        <v>315</v>
      </c>
      <c r="I23" s="85">
        <f t="shared" ref="I23:I26" si="6">H23/$H$27</f>
        <v>0.11639507815098106</v>
      </c>
      <c r="J23" s="84">
        <f t="shared" ref="J23:J26" si="7">$J$27*I23</f>
        <v>339.730462254739</v>
      </c>
      <c r="K23" s="88">
        <f>J12</f>
        <v>167.25565694393165</v>
      </c>
      <c r="L23" s="88">
        <f t="shared" ref="L23:L26" si="8">J23-K23</f>
        <v>172.47480531080734</v>
      </c>
    </row>
    <row r="24" spans="6:19" x14ac:dyDescent="0.25">
      <c r="F24" s="107"/>
      <c r="G24" s="57" t="s">
        <v>430</v>
      </c>
      <c r="H24" s="84">
        <f>D5</f>
        <v>315</v>
      </c>
      <c r="I24" s="85">
        <f t="shared" si="6"/>
        <v>0.11639507815098106</v>
      </c>
      <c r="J24" s="84">
        <f t="shared" si="7"/>
        <v>339.730462254739</v>
      </c>
      <c r="K24" s="88">
        <f>J13</f>
        <v>167.25565694393165</v>
      </c>
      <c r="L24" s="88">
        <f t="shared" si="8"/>
        <v>172.47480531080734</v>
      </c>
    </row>
    <row r="25" spans="6:19" x14ac:dyDescent="0.25">
      <c r="F25" s="107"/>
      <c r="G25" s="57" t="s">
        <v>431</v>
      </c>
      <c r="H25" s="84">
        <f>D6+333.33</f>
        <v>1094.6399999999999</v>
      </c>
      <c r="I25" s="85">
        <f t="shared" si="6"/>
        <v>0.40447843919742821</v>
      </c>
      <c r="J25" s="84">
        <f t="shared" si="7"/>
        <v>1180.5795339762776</v>
      </c>
      <c r="K25" s="88">
        <f>J14</f>
        <v>404.23302916820506</v>
      </c>
      <c r="L25" s="88">
        <f t="shared" si="8"/>
        <v>776.3465048080725</v>
      </c>
    </row>
    <row r="26" spans="6:19" x14ac:dyDescent="0.25">
      <c r="F26" s="107"/>
      <c r="G26" s="57" t="s">
        <v>442</v>
      </c>
      <c r="H26" s="84">
        <v>666.66</v>
      </c>
      <c r="I26" s="85">
        <f t="shared" si="6"/>
        <v>0.24633632634962865</v>
      </c>
      <c r="J26" s="84">
        <f t="shared" si="7"/>
        <v>718.99907925950561</v>
      </c>
      <c r="K26" s="88">
        <v>0</v>
      </c>
      <c r="L26" s="88">
        <f t="shared" si="8"/>
        <v>718.99907925950561</v>
      </c>
    </row>
    <row r="27" spans="6:19" x14ac:dyDescent="0.25">
      <c r="F27" s="107"/>
      <c r="G27" s="83" t="s">
        <v>432</v>
      </c>
      <c r="H27" s="86">
        <f>SUM(H22:H26)</f>
        <v>2706.2999999999997</v>
      </c>
      <c r="I27" s="87">
        <f>SUM(I22:I26)</f>
        <v>1</v>
      </c>
      <c r="J27" s="86">
        <f>O20</f>
        <v>2918.77</v>
      </c>
      <c r="K27" s="57"/>
      <c r="L27" s="88">
        <f>SUM(L22:L26)</f>
        <v>2012.7700000000002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26"/>
  <sheetViews>
    <sheetView workbookViewId="0">
      <selection activeCell="I19" sqref="I19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45370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32.202500000000001</v>
      </c>
      <c r="J5" s="56"/>
      <c r="L5" s="32"/>
    </row>
    <row r="6" spans="1:12" x14ac:dyDescent="0.25">
      <c r="A6" s="108" t="s">
        <v>39</v>
      </c>
      <c r="B6" s="109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45370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Çakmak'!H10</f>
        <v>0.17999000000000001</v>
      </c>
      <c r="H10" s="39">
        <f t="shared" ref="H10:H15" ca="1" si="2">$K$7</f>
        <v>45370</v>
      </c>
      <c r="I10" s="102">
        <f t="shared" ref="I10:I15" si="3">B10*G10</f>
        <v>202005.65684000001</v>
      </c>
      <c r="J10" s="102">
        <f t="shared" ref="J10:J15" si="4">I10-E10</f>
        <v>7245.6720960000239</v>
      </c>
      <c r="K10" s="105">
        <f t="shared" ref="K10:K15" si="5">I10/E10-1</f>
        <v>3.7203084121843588E-2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Çakmak'!H11</f>
        <v>0.20319799999999999</v>
      </c>
      <c r="H11" s="39">
        <f t="shared" ca="1" si="2"/>
        <v>45370</v>
      </c>
      <c r="I11" s="102">
        <f t="shared" si="3"/>
        <v>97595.999400000001</v>
      </c>
      <c r="J11" s="102">
        <f t="shared" si="4"/>
        <v>1589.3126999999949</v>
      </c>
      <c r="K11" s="105">
        <f t="shared" si="5"/>
        <v>1.655418757410354E-2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Çakmak'!H12</f>
        <v>3.068219</v>
      </c>
      <c r="H12" s="39">
        <f t="shared" ca="1" si="2"/>
        <v>45370</v>
      </c>
      <c r="I12" s="102">
        <f t="shared" si="3"/>
        <v>63079.514421</v>
      </c>
      <c r="J12" s="102">
        <f t="shared" si="4"/>
        <v>-241.77383999999438</v>
      </c>
      <c r="K12" s="105">
        <f t="shared" si="5"/>
        <v>-3.8182078514170659E-3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Çakmak'!H13</f>
        <v>3.2882060000000002</v>
      </c>
      <c r="H13" s="39">
        <f t="shared" ca="1" si="2"/>
        <v>45370</v>
      </c>
      <c r="I13" s="102">
        <f t="shared" si="3"/>
        <v>3580.8563340000001</v>
      </c>
      <c r="J13" s="102">
        <f t="shared" si="4"/>
        <v>54.169038</v>
      </c>
      <c r="K13" s="105">
        <f t="shared" si="5"/>
        <v>1.5359750795438831E-2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Çakmak'!H14</f>
        <v>7.4803600000000001</v>
      </c>
      <c r="H14" s="39">
        <f t="shared" ca="1" si="2"/>
        <v>45370</v>
      </c>
      <c r="I14" s="102">
        <f t="shared" si="3"/>
        <v>2356.3134</v>
      </c>
      <c r="J14" s="102">
        <f t="shared" si="4"/>
        <v>57.058469999999943</v>
      </c>
      <c r="K14" s="105">
        <f t="shared" si="5"/>
        <v>2.4816069438633237E-2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2.4213770000000001</v>
      </c>
      <c r="H15" s="39">
        <f t="shared" ca="1" si="2"/>
        <v>45370</v>
      </c>
      <c r="I15" s="102">
        <f t="shared" si="3"/>
        <v>70.219932999999997</v>
      </c>
      <c r="J15" s="102">
        <f t="shared" si="4"/>
        <v>0.47928299999999524</v>
      </c>
      <c r="K15" s="105">
        <f t="shared" si="5"/>
        <v>6.8723621015862602E-3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103">
        <f>SUM(E10:E15)</f>
        <v>359983.64258099999</v>
      </c>
      <c r="F17" s="48">
        <f>SUM(F10:F15)</f>
        <v>1</v>
      </c>
      <c r="G17" s="49"/>
      <c r="H17" s="49"/>
      <c r="I17" s="103">
        <f>SUM(I10:I15)</f>
        <v>368688.56032800005</v>
      </c>
      <c r="J17" s="103">
        <f>SUM(J10:J15)</f>
        <v>8704.917747000025</v>
      </c>
      <c r="K17" s="104">
        <f>I17/E17-1</f>
        <v>2.4181425813094792E-2</v>
      </c>
      <c r="L17" s="32"/>
    </row>
    <row r="18" spans="1:12" x14ac:dyDescent="0.25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25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25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45370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25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9769.1114125000004</v>
      </c>
      <c r="H21" s="39">
        <f ca="1">$K$7</f>
        <v>45370</v>
      </c>
      <c r="I21" s="37">
        <f>I20*$I$5</f>
        <v>48845.557062500004</v>
      </c>
      <c r="J21" s="51">
        <f>J20*$I$5</f>
        <v>421.04768750000147</v>
      </c>
      <c r="K21" s="46">
        <f>I21/E21-1</f>
        <v>3.4804028740933246E-2</v>
      </c>
      <c r="L21" s="32"/>
    </row>
    <row r="22" spans="1:12" x14ac:dyDescent="0.25">
      <c r="A22" s="61"/>
      <c r="B22" s="57"/>
      <c r="C22" s="55"/>
      <c r="D22" s="55"/>
      <c r="E22" s="56"/>
      <c r="F22" s="57"/>
      <c r="G22" s="55"/>
      <c r="H22" s="55"/>
      <c r="I22" s="56"/>
      <c r="J22" s="56"/>
      <c r="K22" s="57"/>
    </row>
    <row r="23" spans="1:12" x14ac:dyDescent="0.25">
      <c r="A23" s="61" t="s">
        <v>52</v>
      </c>
      <c r="B23" s="57"/>
      <c r="C23" s="55"/>
      <c r="D23" s="55"/>
      <c r="E23" s="100">
        <v>1550</v>
      </c>
      <c r="F23" s="57"/>
      <c r="G23" s="55"/>
      <c r="H23" s="55"/>
      <c r="I23" s="53">
        <f>1550.05-I20</f>
        <v>33.224999999999909</v>
      </c>
      <c r="J23" s="56"/>
      <c r="K23" s="57"/>
    </row>
    <row r="24" spans="1:12" x14ac:dyDescent="0.25">
      <c r="A24" s="61"/>
      <c r="B24" s="57"/>
      <c r="C24" s="55"/>
      <c r="D24" s="55"/>
      <c r="E24" s="56"/>
      <c r="F24" s="57"/>
      <c r="G24" s="55"/>
      <c r="H24" s="55"/>
      <c r="I24" s="53">
        <f>I23*I5</f>
        <v>1069.9280624999972</v>
      </c>
      <c r="J24" s="56"/>
      <c r="K24" s="57"/>
    </row>
    <row r="25" spans="1:12" x14ac:dyDescent="0.25">
      <c r="A25" s="61"/>
      <c r="B25" s="57"/>
      <c r="C25" s="55"/>
      <c r="D25" s="55"/>
      <c r="E25" s="56"/>
      <c r="F25" s="57"/>
      <c r="G25" s="63" t="s">
        <v>46</v>
      </c>
      <c r="H25" s="52">
        <f ca="1">$K$7</f>
        <v>45370</v>
      </c>
      <c r="I25" s="53">
        <f>I17+I21+I24</f>
        <v>418604.04545300006</v>
      </c>
      <c r="J25" s="53">
        <f>J21+J17</f>
        <v>9125.9654345000272</v>
      </c>
      <c r="K25" s="54">
        <f>J25/I25</f>
        <v>2.1800948972254187E-2</v>
      </c>
    </row>
    <row r="26" spans="1:12" x14ac:dyDescent="0.25">
      <c r="A26" s="61"/>
      <c r="B26" s="57"/>
      <c r="C26" s="55"/>
      <c r="D26" s="55"/>
      <c r="E26" s="56"/>
      <c r="F26" s="57"/>
      <c r="G26" s="64" t="s">
        <v>47</v>
      </c>
      <c r="H26" s="55"/>
      <c r="I26" s="56"/>
      <c r="J26" s="53">
        <f>J25*0.07</f>
        <v>638.817580415002</v>
      </c>
      <c r="K26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Aksoy'!XFD1048551:XFD1048576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24"/>
  <sheetViews>
    <sheetView zoomScale="85" zoomScaleNormal="85" workbookViewId="0">
      <selection activeCell="G25" sqref="G25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6" style="29" bestFit="1" customWidth="1"/>
    <col min="7" max="7" width="12.7109375" bestFit="1" customWidth="1"/>
    <col min="8" max="8" width="15.85546875" style="30" customWidth="1"/>
    <col min="9" max="9" width="13" style="30" customWidth="1"/>
    <col min="10" max="10" width="17.5703125" style="29" bestFit="1" customWidth="1"/>
    <col min="11" max="11" width="15.28515625" style="29" customWidth="1"/>
    <col min="12" max="12" width="10.28515625" bestFit="1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5">
        <v>45358</v>
      </c>
      <c r="G4" s="80" t="s">
        <v>464</v>
      </c>
      <c r="H4" s="55"/>
      <c r="I4" s="55"/>
      <c r="J4" s="66">
        <f ca="1">L5</f>
        <v>45370</v>
      </c>
      <c r="K4" s="56"/>
      <c r="L4" s="38" t="s">
        <v>43</v>
      </c>
    </row>
    <row r="5" spans="2:13" x14ac:dyDescent="0.25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32.202500000000001</v>
      </c>
      <c r="K5" s="56">
        <f>J5</f>
        <v>32.202500000000001</v>
      </c>
      <c r="L5" s="65">
        <f ca="1">TODAY()</f>
        <v>45370</v>
      </c>
      <c r="M5" s="32"/>
    </row>
    <row r="6" spans="2:13" x14ac:dyDescent="0.25">
      <c r="B6" s="108" t="s">
        <v>21</v>
      </c>
      <c r="C6" s="109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0.17999000000000001</v>
      </c>
      <c r="I10" s="65">
        <f t="shared" ref="I10:I15" ca="1" si="2">$L$5</f>
        <v>45370</v>
      </c>
      <c r="J10" s="70">
        <f t="shared" ref="J10:J15" si="3">C10*H10</f>
        <v>372626.27739</v>
      </c>
      <c r="K10" s="70">
        <f t="shared" ref="K10:K15" si="4">J10-F10</f>
        <v>6210.7829999999958</v>
      </c>
      <c r="L10" s="72">
        <f t="shared" ref="L10:L18" si="5">J10/F10-1</f>
        <v>1.6950110175716127E-2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0.20319799999999999</v>
      </c>
      <c r="I11" s="65">
        <f t="shared" ca="1" si="2"/>
        <v>45370</v>
      </c>
      <c r="J11" s="70">
        <f t="shared" si="3"/>
        <v>215003.80379999999</v>
      </c>
      <c r="K11" s="70">
        <f t="shared" si="4"/>
        <v>3504.4271999999764</v>
      </c>
      <c r="L11" s="72">
        <f t="shared" si="5"/>
        <v>1.6569444583412363E-2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3.068219</v>
      </c>
      <c r="I12" s="65">
        <f t="shared" ca="1" si="2"/>
        <v>45370</v>
      </c>
      <c r="J12" s="70">
        <f t="shared" si="3"/>
        <v>142497.295017</v>
      </c>
      <c r="K12" s="70">
        <f t="shared" si="4"/>
        <v>3713.5358370000031</v>
      </c>
      <c r="L12" s="72">
        <f t="shared" si="5"/>
        <v>2.6757711845689425E-2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1.053792745148556E-2</v>
      </c>
      <c r="H13" s="69">
        <v>3.2882060000000002</v>
      </c>
      <c r="I13" s="65">
        <f t="shared" ca="1" si="2"/>
        <v>45370</v>
      </c>
      <c r="J13" s="70">
        <f t="shared" si="3"/>
        <v>7825.9302800000005</v>
      </c>
      <c r="K13" s="70">
        <f t="shared" si="4"/>
        <v>95.880680000000211</v>
      </c>
      <c r="L13" s="72">
        <f t="shared" si="5"/>
        <v>1.2403630631296458E-2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6.8775026620590688E-3</v>
      </c>
      <c r="H14" s="69">
        <v>7.4803600000000001</v>
      </c>
      <c r="I14" s="65">
        <f t="shared" ca="1" si="2"/>
        <v>45370</v>
      </c>
      <c r="J14" s="70">
        <f t="shared" si="3"/>
        <v>5348.4574000000002</v>
      </c>
      <c r="K14" s="70">
        <f t="shared" si="4"/>
        <v>303.49605000000065</v>
      </c>
      <c r="L14" s="72">
        <f t="shared" si="5"/>
        <v>6.0158250766381149E-2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1.0644331071411956E-4</v>
      </c>
      <c r="H15" s="69">
        <v>1.9371480000000001</v>
      </c>
      <c r="I15" s="65">
        <f t="shared" ca="1" si="2"/>
        <v>45370</v>
      </c>
      <c r="J15" s="70">
        <f t="shared" si="3"/>
        <v>79.423068000000001</v>
      </c>
      <c r="K15" s="70">
        <f t="shared" si="4"/>
        <v>1.342053000000007</v>
      </c>
      <c r="L15" s="72">
        <f t="shared" si="5"/>
        <v>1.7187955356369411E-2</v>
      </c>
    </row>
    <row r="16" spans="2:13" s="73" customFormat="1" x14ac:dyDescent="0.25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.75" x14ac:dyDescent="0.3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747374.9969550001</v>
      </c>
      <c r="K17" s="98">
        <f>SUM(K10:K15)</f>
        <v>13829.464819999976</v>
      </c>
      <c r="L17" s="99">
        <f t="shared" si="5"/>
        <v>1.8852905803609765E-2</v>
      </c>
      <c r="M17" s="32"/>
    </row>
    <row r="18" spans="2:13" ht="18.75" x14ac:dyDescent="0.3">
      <c r="B18" s="34"/>
      <c r="C18" s="35"/>
      <c r="D18" s="36"/>
      <c r="E18" s="36" t="s">
        <v>463</v>
      </c>
      <c r="F18" s="101">
        <f>F17/F5</f>
        <v>23069.428289037121</v>
      </c>
      <c r="G18" s="48"/>
      <c r="H18" s="49"/>
      <c r="I18" s="49"/>
      <c r="J18" s="101">
        <f>J17/J5</f>
        <v>23208.601722071271</v>
      </c>
      <c r="K18" s="101">
        <f>K17/K5</f>
        <v>429.45314245788296</v>
      </c>
      <c r="L18" s="99">
        <f t="shared" si="5"/>
        <v>6.0328080648746063E-3</v>
      </c>
      <c r="M18" s="32"/>
    </row>
    <row r="19" spans="2:13" x14ac:dyDescent="0.25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45370</v>
      </c>
      <c r="J19" s="53">
        <f>J17</f>
        <v>747374.9969550001</v>
      </c>
      <c r="K19" s="53">
        <f>K17</f>
        <v>13829.464819999976</v>
      </c>
      <c r="L19" s="54">
        <f>K19/J19</f>
        <v>1.8504050679170173E-2</v>
      </c>
    </row>
    <row r="20" spans="2:13" x14ac:dyDescent="0.25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968.0625373999984</v>
      </c>
      <c r="L20" s="57"/>
    </row>
    <row r="24" spans="2:13" x14ac:dyDescent="0.25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2024-03-18T23:54:05Z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