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684A5797-B90A-4D29-9374-3D183C4D797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F STATS" sheetId="1" r:id="rId1"/>
    <sheet name="ON2_MEF_v13_GITHUB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9" l="1"/>
  <c r="AC16" i="9"/>
  <c r="AC17" i="9"/>
  <c r="AA17" i="9"/>
  <c r="AC15" i="9"/>
  <c r="AC18" i="9"/>
  <c r="AC19" i="9"/>
  <c r="AC20" i="9"/>
  <c r="AC21" i="9"/>
  <c r="AC22" i="9"/>
  <c r="AC23" i="9"/>
  <c r="AC24" i="9"/>
  <c r="AC25" i="9"/>
  <c r="AA18" i="9"/>
  <c r="AA19" i="9"/>
  <c r="AA20" i="9"/>
  <c r="AA21" i="9"/>
  <c r="AA22" i="9"/>
  <c r="AA23" i="9"/>
  <c r="AA24" i="9"/>
  <c r="AA25" i="9"/>
  <c r="AG18" i="9"/>
  <c r="AH18" i="9"/>
  <c r="AI18" i="9"/>
  <c r="AJ18" i="9"/>
  <c r="AK18" i="9"/>
  <c r="Y49" i="9"/>
  <c r="X49" i="9"/>
  <c r="Z49" i="9" s="1"/>
  <c r="X48" i="9"/>
  <c r="M29" i="9"/>
  <c r="W38" i="9"/>
  <c r="U38" i="9"/>
  <c r="S38" i="9"/>
  <c r="Q38" i="9"/>
  <c r="O38" i="9"/>
  <c r="M38" i="9"/>
  <c r="K38" i="9"/>
  <c r="I38" i="9"/>
  <c r="W29" i="9"/>
  <c r="U29" i="9"/>
  <c r="K20" i="9"/>
  <c r="I20" i="9"/>
  <c r="S29" i="9"/>
  <c r="Q29" i="9"/>
  <c r="O29" i="9"/>
  <c r="K29" i="9"/>
  <c r="I29" i="9"/>
  <c r="I53" i="9" s="1"/>
  <c r="G29" i="9"/>
  <c r="E14" i="9"/>
  <c r="Y14" i="9"/>
  <c r="W14" i="9"/>
  <c r="U14" i="9"/>
  <c r="S14" i="9"/>
  <c r="Q14" i="9"/>
  <c r="O14" i="9"/>
  <c r="M14" i="9"/>
  <c r="K14" i="9"/>
  <c r="I14" i="9"/>
  <c r="K15" i="9" s="1"/>
  <c r="G14" i="9"/>
  <c r="I25" i="9"/>
  <c r="I55" i="9" s="1"/>
  <c r="O36" i="9"/>
  <c r="K36" i="9"/>
  <c r="I36" i="9"/>
  <c r="W37" i="9"/>
  <c r="U37" i="9"/>
  <c r="S37" i="9"/>
  <c r="Q37" i="9"/>
  <c r="O37" i="9"/>
  <c r="M37" i="9"/>
  <c r="K37" i="9"/>
  <c r="I37" i="9"/>
  <c r="W36" i="9"/>
  <c r="U36" i="9"/>
  <c r="S36" i="9"/>
  <c r="Q36" i="9"/>
  <c r="M36" i="9"/>
  <c r="B1" i="9"/>
  <c r="L3" i="9" s="1"/>
  <c r="T4" i="9"/>
  <c r="T5" i="9"/>
  <c r="T6" i="9"/>
  <c r="T3" i="9"/>
  <c r="S4" i="9"/>
  <c r="S5" i="9"/>
  <c r="S6" i="9"/>
  <c r="S3" i="9"/>
  <c r="G3" i="9"/>
  <c r="I52" i="9"/>
  <c r="I27" i="9"/>
  <c r="I54" i="9" s="1"/>
  <c r="K27" i="9"/>
  <c r="M27" i="9"/>
  <c r="O27" i="9"/>
  <c r="Q27" i="9"/>
  <c r="S27" i="9"/>
  <c r="U27" i="9"/>
  <c r="W27" i="9"/>
  <c r="Y25" i="9"/>
  <c r="Y13" i="9"/>
  <c r="W13" i="9"/>
  <c r="U13" i="9"/>
  <c r="S13" i="9"/>
  <c r="Q13" i="9"/>
  <c r="O13" i="9"/>
  <c r="M13" i="9"/>
  <c r="K13" i="9"/>
  <c r="I13" i="9"/>
  <c r="G13" i="9"/>
  <c r="G17" i="9"/>
  <c r="Y17" i="9"/>
  <c r="W17" i="9"/>
  <c r="U17" i="9"/>
  <c r="S17" i="9"/>
  <c r="Q17" i="9"/>
  <c r="O17" i="9"/>
  <c r="M17" i="9"/>
  <c r="K17" i="9"/>
  <c r="I17" i="9"/>
  <c r="AA27" i="9" l="1"/>
  <c r="AC26" i="9" s="1"/>
  <c r="AD26" i="9" s="1"/>
  <c r="AD25" i="9" s="1"/>
  <c r="AD24" i="9" s="1"/>
  <c r="AD23" i="9" s="1"/>
  <c r="AD22" i="9" s="1"/>
  <c r="AD21" i="9" s="1"/>
  <c r="AD20" i="9" s="1"/>
  <c r="AD19" i="9" s="1"/>
  <c r="AD18" i="9" s="1"/>
  <c r="AD17" i="9" s="1"/>
  <c r="AD16" i="9" s="1"/>
  <c r="K53" i="9"/>
  <c r="M53" i="9" s="1"/>
  <c r="O53" i="9" s="1"/>
  <c r="Q53" i="9" s="1"/>
  <c r="S53" i="9" s="1"/>
  <c r="U53" i="9" s="1"/>
  <c r="W53" i="9" s="1"/>
  <c r="X53" i="9" s="1"/>
  <c r="G15" i="9"/>
  <c r="O15" i="9"/>
  <c r="S15" i="9"/>
  <c r="M15" i="9"/>
  <c r="Q15" i="9"/>
  <c r="U15" i="9"/>
  <c r="W15" i="9"/>
  <c r="Y15" i="9"/>
  <c r="K54" i="9"/>
  <c r="M54" i="9" s="1"/>
  <c r="O54" i="9" s="1"/>
  <c r="Q54" i="9" s="1"/>
  <c r="S54" i="9" s="1"/>
  <c r="U54" i="9" s="1"/>
  <c r="W54" i="9" s="1"/>
  <c r="X54" i="9" s="1"/>
  <c r="I15" i="9"/>
  <c r="I51" i="9" s="1"/>
  <c r="K51" i="9" s="1"/>
  <c r="M51" i="9" s="1"/>
  <c r="O51" i="9" s="1"/>
  <c r="Q51" i="9" s="1"/>
  <c r="S51" i="9" s="1"/>
  <c r="U51" i="9" s="1"/>
  <c r="W51" i="9" s="1"/>
  <c r="X51" i="9" s="1"/>
  <c r="L7" i="9"/>
  <c r="L6" i="9"/>
  <c r="L5" i="9"/>
  <c r="L4" i="9"/>
  <c r="I34" i="9"/>
  <c r="Y20" i="9"/>
  <c r="W20" i="9"/>
  <c r="U20" i="9"/>
  <c r="S20" i="9"/>
  <c r="Q20" i="9"/>
  <c r="O20" i="9"/>
  <c r="M20" i="9"/>
  <c r="G20" i="9"/>
  <c r="E20" i="9"/>
  <c r="Y19" i="9"/>
  <c r="W19" i="9"/>
  <c r="U19" i="9"/>
  <c r="S19" i="9"/>
  <c r="Q19" i="9"/>
  <c r="O19" i="9"/>
  <c r="M19" i="9"/>
  <c r="K19" i="9"/>
  <c r="I19" i="9"/>
  <c r="G19" i="9"/>
  <c r="G23" i="9"/>
  <c r="AD15" i="9" l="1"/>
  <c r="Q21" i="9"/>
  <c r="G21" i="9"/>
  <c r="I21" i="9"/>
  <c r="K21" i="9"/>
  <c r="M21" i="9"/>
  <c r="O21" i="9"/>
  <c r="S21" i="9"/>
  <c r="U21" i="9"/>
  <c r="W21" i="9"/>
  <c r="Y21" i="9"/>
  <c r="K25" i="9" l="1"/>
  <c r="K55" i="9" s="1"/>
  <c r="W25" i="9"/>
  <c r="U25" i="9"/>
  <c r="S25" i="9"/>
  <c r="Q25" i="9"/>
  <c r="M25" i="9"/>
  <c r="O25" i="9"/>
  <c r="F7" i="11"/>
  <c r="G7" i="11" s="1"/>
  <c r="W52" i="9"/>
  <c r="X52" i="9" s="1"/>
  <c r="U52" i="9"/>
  <c r="S52" i="9"/>
  <c r="Q52" i="9"/>
  <c r="O52" i="9"/>
  <c r="M52" i="9"/>
  <c r="K52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60" i="9"/>
  <c r="A59" i="9"/>
  <c r="A58" i="9"/>
  <c r="S34" i="9"/>
  <c r="S50" i="9" s="1"/>
  <c r="O34" i="9"/>
  <c r="O50" i="9" s="1"/>
  <c r="K34" i="9"/>
  <c r="K50" i="9" s="1"/>
  <c r="U34" i="9"/>
  <c r="U50" i="9" s="1"/>
  <c r="Q34" i="9"/>
  <c r="Q50" i="9" s="1"/>
  <c r="M34" i="9"/>
  <c r="M50" i="9" s="1"/>
  <c r="I50" i="9"/>
  <c r="U33" i="9"/>
  <c r="Q33" i="9"/>
  <c r="M33" i="9"/>
  <c r="I33" i="9"/>
  <c r="I47" i="9" s="1"/>
  <c r="K47" i="9" s="1"/>
  <c r="M47" i="9" s="1"/>
  <c r="I23" i="9"/>
  <c r="M23" i="9"/>
  <c r="U23" i="9"/>
  <c r="Q23" i="9"/>
  <c r="U32" i="9"/>
  <c r="Q32" i="9"/>
  <c r="M32" i="9"/>
  <c r="I32" i="9"/>
  <c r="K23" i="9"/>
  <c r="O23" i="9"/>
  <c r="S23" i="9"/>
  <c r="W22" i="9"/>
  <c r="W31" i="9"/>
  <c r="W39" i="9" s="1"/>
  <c r="S31" i="9"/>
  <c r="O31" i="9"/>
  <c r="K31" i="9"/>
  <c r="K39" i="9" s="1"/>
  <c r="G31" i="9"/>
  <c r="E31" i="9"/>
  <c r="N7" i="9"/>
  <c r="O7" i="9"/>
  <c r="P7" i="9"/>
  <c r="Q7" i="9"/>
  <c r="M7" i="9"/>
  <c r="R3" i="9"/>
  <c r="R4" i="9"/>
  <c r="R5" i="9"/>
  <c r="R6" i="9"/>
  <c r="G39" i="9" l="1"/>
  <c r="Y41" i="9" s="1"/>
  <c r="AG38" i="9"/>
  <c r="O39" i="9"/>
  <c r="AG37" i="9"/>
  <c r="S39" i="9"/>
  <c r="AG35" i="9"/>
  <c r="Y44" i="9"/>
  <c r="Y45" i="9"/>
  <c r="Y46" i="9"/>
  <c r="Y40" i="9"/>
  <c r="Y47" i="9"/>
  <c r="Y52" i="9"/>
  <c r="Z52" i="9" s="1"/>
  <c r="Y50" i="9"/>
  <c r="Y51" i="9"/>
  <c r="Z51" i="9" s="1"/>
  <c r="Y54" i="9"/>
  <c r="Z54" i="9" s="1"/>
  <c r="Y42" i="9"/>
  <c r="Y53" i="9"/>
  <c r="Z53" i="9" s="1"/>
  <c r="Y55" i="9"/>
  <c r="O47" i="9"/>
  <c r="Q47" i="9" s="1"/>
  <c r="S47" i="9" s="1"/>
  <c r="U47" i="9" s="1"/>
  <c r="W47" i="9" s="1"/>
  <c r="X47" i="9" s="1"/>
  <c r="I43" i="9"/>
  <c r="K43" i="9" s="1"/>
  <c r="M43" i="9" s="1"/>
  <c r="O43" i="9" s="1"/>
  <c r="Q43" i="9" s="1"/>
  <c r="S43" i="9" s="1"/>
  <c r="U43" i="9" s="1"/>
  <c r="W43" i="9" s="1"/>
  <c r="X43" i="9" s="1"/>
  <c r="I44" i="9"/>
  <c r="K44" i="9" s="1"/>
  <c r="M44" i="9" s="1"/>
  <c r="O44" i="9" s="1"/>
  <c r="Q44" i="9" s="1"/>
  <c r="S44" i="9" s="1"/>
  <c r="U44" i="9" s="1"/>
  <c r="W44" i="9" s="1"/>
  <c r="X44" i="9" s="1"/>
  <c r="I42" i="9"/>
  <c r="K42" i="9" s="1"/>
  <c r="M42" i="9" s="1"/>
  <c r="O42" i="9" s="1"/>
  <c r="Q42" i="9" s="1"/>
  <c r="S42" i="9" s="1"/>
  <c r="U42" i="9" s="1"/>
  <c r="W42" i="9" s="1"/>
  <c r="X42" i="9" s="1"/>
  <c r="Z42" i="9" s="1"/>
  <c r="I40" i="9"/>
  <c r="M55" i="9"/>
  <c r="O55" i="9" s="1"/>
  <c r="Q55" i="9" s="1"/>
  <c r="S55" i="9" s="1"/>
  <c r="U55" i="9" s="1"/>
  <c r="W55" i="9" s="1"/>
  <c r="X55" i="9" s="1"/>
  <c r="Z55" i="9" s="1"/>
  <c r="T7" i="9"/>
  <c r="S7" i="9"/>
  <c r="I46" i="9"/>
  <c r="K46" i="9" s="1"/>
  <c r="M46" i="9" s="1"/>
  <c r="O46" i="9" s="1"/>
  <c r="Q46" i="9" s="1"/>
  <c r="S46" i="9" s="1"/>
  <c r="U46" i="9" s="1"/>
  <c r="I45" i="9"/>
  <c r="K45" i="9" s="1"/>
  <c r="M45" i="9" s="1"/>
  <c r="O45" i="9" s="1"/>
  <c r="Q45" i="9" s="1"/>
  <c r="S45" i="9" s="1"/>
  <c r="U45" i="9" s="1"/>
  <c r="W45" i="9" s="1"/>
  <c r="X45" i="9" s="1"/>
  <c r="Z45" i="9" s="1"/>
  <c r="I41" i="9"/>
  <c r="K41" i="9" s="1"/>
  <c r="M41" i="9" s="1"/>
  <c r="O41" i="9" s="1"/>
  <c r="Q41" i="9" s="1"/>
  <c r="S41" i="9" s="1"/>
  <c r="U41" i="9" s="1"/>
  <c r="W23" i="9"/>
  <c r="Y23" i="9"/>
  <c r="AB38" i="9"/>
  <c r="AI35" i="9"/>
  <c r="AD3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W34" i="9"/>
  <c r="W50" i="9" s="1"/>
  <c r="AH21" i="9"/>
  <c r="AI31" i="9"/>
  <c r="AH20" i="9"/>
  <c r="AH19" i="9"/>
  <c r="AH23" i="9" s="1"/>
  <c r="AI33" i="9"/>
  <c r="AI32" i="9"/>
  <c r="R7" i="9"/>
  <c r="Z43" i="9" l="1"/>
  <c r="Z44" i="9"/>
  <c r="Y43" i="9"/>
  <c r="Y48" i="9"/>
  <c r="Z48" i="9" s="1"/>
  <c r="AI30" i="9"/>
  <c r="X50" i="9"/>
  <c r="Z50" i="9" s="1"/>
  <c r="Z47" i="9"/>
  <c r="K40" i="9"/>
  <c r="M40" i="9" s="1"/>
  <c r="W41" i="9"/>
  <c r="X41" i="9" s="1"/>
  <c r="Z41" i="9" s="1"/>
  <c r="W46" i="9"/>
  <c r="AH25" i="9"/>
  <c r="AH28" i="9"/>
  <c r="AH26" i="9"/>
  <c r="AH27" i="9"/>
  <c r="AH38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AH33" i="9"/>
  <c r="AI25" i="9" l="1"/>
  <c r="X46" i="9"/>
  <c r="Z46" i="9" s="1"/>
  <c r="O40" i="9"/>
  <c r="Q40" i="9" s="1"/>
  <c r="S40" i="9" s="1"/>
  <c r="U40" i="9" s="1"/>
  <c r="W40" i="9" s="1"/>
  <c r="X40" i="9" s="1"/>
  <c r="Z40" i="9" s="1"/>
  <c r="AI28" i="9"/>
  <c r="AI26" i="9"/>
  <c r="AI27" i="9"/>
  <c r="AI21" i="9"/>
  <c r="AI20" i="9"/>
  <c r="AI19" i="9"/>
  <c r="AH30" i="9"/>
  <c r="AH36" i="9"/>
  <c r="S7" i="10"/>
  <c r="U7" i="10"/>
  <c r="T7" i="10"/>
  <c r="R7" i="10"/>
  <c r="D39" i="10"/>
  <c r="A39" i="10" s="1"/>
  <c r="A34" i="10"/>
  <c r="D35" i="10"/>
  <c r="A35" i="10" s="1"/>
  <c r="AH31" i="9"/>
  <c r="AH32" i="9" s="1"/>
  <c r="AH37" i="9" l="1"/>
  <c r="AH35" i="9"/>
  <c r="H7" i="9"/>
  <c r="E7" i="9"/>
  <c r="G7" i="9" s="1"/>
  <c r="H6" i="9"/>
  <c r="J6" i="9" s="1"/>
  <c r="E6" i="9"/>
  <c r="G6" i="9" s="1"/>
  <c r="H5" i="9"/>
  <c r="J5" i="9" s="1"/>
  <c r="E5" i="9"/>
  <c r="G5" i="9" s="1"/>
  <c r="H4" i="9"/>
  <c r="J4" i="9" s="1"/>
  <c r="E4" i="9"/>
  <c r="G4" i="9" s="1"/>
  <c r="H3" i="9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G8" i="9" l="1"/>
  <c r="K3" i="9"/>
  <c r="J3" i="9"/>
  <c r="U3" i="9" s="1"/>
  <c r="K7" i="9"/>
  <c r="J7" i="9"/>
  <c r="I31" i="9"/>
  <c r="AG21" i="9"/>
  <c r="AJ21" i="9" s="1"/>
  <c r="AK21" i="9" s="1"/>
  <c r="K6" i="9"/>
  <c r="AG23" i="9"/>
  <c r="Q31" i="9"/>
  <c r="U31" i="9"/>
  <c r="K5" i="9"/>
  <c r="M31" i="9"/>
  <c r="M39" i="9" s="1"/>
  <c r="K4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AD38" i="9" l="1"/>
  <c r="U39" i="9"/>
  <c r="Q39" i="9"/>
  <c r="AG36" i="9"/>
  <c r="AB34" i="9"/>
  <c r="I39" i="9"/>
  <c r="J8" i="9"/>
  <c r="AG20" i="9"/>
  <c r="A64" i="9" s="1"/>
  <c r="AD35" i="9"/>
  <c r="AG28" i="9"/>
  <c r="AJ28" i="9" s="1"/>
  <c r="AK28" i="9" s="1"/>
  <c r="A65" i="9"/>
  <c r="W4" i="9"/>
  <c r="X4" i="9"/>
  <c r="AB37" i="9"/>
  <c r="AB36" i="9"/>
  <c r="AD37" i="9"/>
  <c r="AB35" i="9"/>
  <c r="AD36" i="9"/>
  <c r="V6" i="9"/>
  <c r="U4" i="9"/>
  <c r="AG25" i="9"/>
  <c r="W5" i="9"/>
  <c r="V5" i="9"/>
  <c r="AG33" i="9"/>
  <c r="V4" i="9"/>
  <c r="X3" i="9"/>
  <c r="W3" i="9"/>
  <c r="V3" i="9"/>
  <c r="U6" i="9"/>
  <c r="U5" i="9"/>
  <c r="X6" i="9"/>
  <c r="W6" i="9"/>
  <c r="X5" i="9"/>
  <c r="AG19" i="9"/>
  <c r="AJ19" i="9" s="1"/>
  <c r="AK19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AG27" i="9" l="1"/>
  <c r="AJ27" i="9" s="1"/>
  <c r="AK27" i="9" s="1"/>
  <c r="AG32" i="9"/>
  <c r="AJ32" i="9" s="1"/>
  <c r="AK32" i="9" s="1"/>
  <c r="AJ20" i="9"/>
  <c r="AK20" i="9" s="1"/>
  <c r="AD39" i="9"/>
  <c r="U7" i="9"/>
  <c r="AG30" i="9"/>
  <c r="AJ25" i="9"/>
  <c r="AK25" i="9" s="1"/>
  <c r="A77" i="9"/>
  <c r="AJ33" i="9"/>
  <c r="AK33" i="9" s="1"/>
  <c r="A82" i="9"/>
  <c r="AJ38" i="9"/>
  <c r="AK38" i="9" s="1"/>
  <c r="W7" i="9"/>
  <c r="A63" i="9"/>
  <c r="AG26" i="9"/>
  <c r="AJ26" i="9" s="1"/>
  <c r="AK26" i="9" s="1"/>
  <c r="X7" i="9"/>
  <c r="V7" i="9"/>
  <c r="AG31" i="9"/>
  <c r="CL108" i="1"/>
  <c r="CL114" i="1"/>
  <c r="CK99" i="1"/>
  <c r="CK100" i="1" s="1"/>
  <c r="CK101" i="1" s="1"/>
  <c r="CK102" i="1"/>
  <c r="CK103" i="1" s="1"/>
  <c r="CK104" i="1" s="1"/>
  <c r="A76" i="9" l="1"/>
  <c r="AJ37" i="9"/>
  <c r="AK37" i="9" s="1"/>
  <c r="AJ35" i="9"/>
  <c r="AK35" i="9" s="1"/>
  <c r="AJ30" i="9"/>
  <c r="AK30" i="9" s="1"/>
  <c r="A75" i="9"/>
  <c r="AJ31" i="9"/>
  <c r="AK31" i="9" s="1"/>
  <c r="A80" i="9"/>
  <c r="AJ36" i="9"/>
  <c r="AK36" i="9" s="1"/>
  <c r="CK108" i="1"/>
  <c r="CK114" i="1"/>
  <c r="A81" i="9" l="1"/>
  <c r="CJ113" i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  <c r="AB39" i="9"/>
  <c r="AF50" i="9"/>
  <c r="AG50" i="9"/>
  <c r="AH50" i="9"/>
</calcChain>
</file>

<file path=xl/sharedStrings.xml><?xml version="1.0" encoding="utf-8"?>
<sst xmlns="http://schemas.openxmlformats.org/spreadsheetml/2006/main" count="702" uniqueCount="306">
  <si>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</si>
  <si>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</si>
  <si>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</si>
  <si>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</si>
  <si>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</si>
  <si>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</si>
  <si>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</si>
  <si>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</si>
  <si>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</si>
  <si>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</si>
  <si>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</si>
  <si>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</si>
  <si>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</si>
  <si>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</si>
  <si>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</si>
  <si>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</si>
  <si>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</si>
  <si>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</si>
  <si>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</si>
  <si>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</si>
  <si>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</si>
  <si>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</si>
  <si>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</si>
  <si>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</si>
  <si>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</si>
  <si>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</si>
  <si>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</si>
  <si>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</si>
  <si>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</si>
  <si>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</si>
  <si>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</si>
  <si>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</si>
  <si>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</si>
  <si>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</si>
  <si>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</si>
  <si>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</si>
  <si>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</si>
  <si>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</si>
  <si>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</si>
  <si>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</si>
  <si>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</si>
  <si>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</si>
  <si>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</si>
  <si>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</si>
  <si>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</si>
  <si>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</si>
  <si>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</si>
  <si>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</si>
  <si>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</si>
  <si>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</si>
  <si>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</si>
  <si>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</si>
  <si>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</si>
  <si>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</si>
  <si>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</si>
  <si>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</si>
  <si>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</si>
  <si>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</si>
  <si>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</si>
  <si>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</si>
  <si>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</si>
  <si>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</si>
  <si>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</si>
  <si>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</si>
  <si>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</si>
  <si>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</si>
  <si>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</si>
  <si>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</si>
  <si>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</si>
  <si>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</si>
  <si>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</si>
  <si>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</si>
  <si>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</si>
  <si>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</si>
  <si>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</si>
  <si>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</si>
  <si>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</si>
  <si>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</si>
  <si>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</si>
  <si>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</si>
  <si>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</si>
  <si>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</si>
  <si>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</si>
  <si>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</si>
  <si>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</si>
  <si>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</si>
  <si>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</si>
  <si>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</si>
  <si>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</si>
  <si>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</si>
  <si>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</si>
  <si>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</si>
  <si>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</si>
  <si>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</si>
  <si>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</si>
  <si>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</si>
  <si>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</si>
  <si>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</si>
  <si>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</si>
  <si>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</si>
  <si>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</si>
  <si>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</si>
  <si>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</si>
  <si>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</si>
  <si>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</si>
  <si>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</si>
  <si>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</si>
  <si>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</si>
  <si>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</si>
  <si>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</si>
  <si>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</si>
  <si>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</si>
  <si>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</si>
  <si>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</si>
  <si>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</si>
  <si>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</si>
  <si>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</si>
  <si>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</si>
  <si>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</si>
  <si>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</si>
  <si>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</si>
  <si>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</si>
  <si>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</si>
  <si>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</si>
  <si>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</si>
  <si>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</si>
  <si>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</si>
  <si>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</si>
  <si>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</si>
  <si>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</si>
  <si>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</si>
  <si>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</si>
  <si>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</si>
  <si>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</si>
  <si>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</si>
  <si>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</si>
  <si>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</si>
  <si>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</si>
  <si>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</si>
  <si>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</si>
  <si>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</si>
  <si>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</si>
  <si>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</si>
  <si>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</si>
  <si>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</si>
  <si>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</si>
  <si>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</si>
  <si>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</si>
  <si>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</si>
  <si>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</si>
  <si>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</si>
  <si>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</si>
  <si>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</si>
  <si>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</si>
  <si>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</si>
  <si>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</si>
  <si>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</si>
  <si>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</si>
  <si>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</si>
  <si>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</si>
  <si>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</si>
  <si>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</si>
  <si>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</si>
  <si>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</si>
  <si>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</si>
  <si>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</si>
  <si>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</si>
  <si>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</si>
  <si>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</si>
  <si>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</si>
  <si>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</si>
  <si>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</si>
  <si>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</si>
  <si>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</si>
  <si>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</si>
  <si>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</si>
  <si>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</si>
  <si>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</si>
  <si>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</si>
  <si>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</si>
  <si>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</si>
  <si>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</si>
  <si>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</si>
  <si>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</si>
  <si>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</si>
  <si>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</si>
  <si>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</si>
  <si>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</si>
  <si>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</si>
  <si>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</si>
  <si>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</si>
  <si>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</si>
  <si>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</si>
  <si>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</si>
  <si>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</si>
  <si>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</si>
  <si>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</si>
  <si>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</si>
  <si>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</si>
  <si>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</si>
  <si>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</si>
  <si>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</si>
  <si>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</si>
  <si>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</si>
  <si>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</si>
  <si>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</si>
  <si>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</si>
  <si>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</si>
  <si>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</si>
  <si>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</si>
  <si>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</si>
  <si>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</si>
  <si>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</si>
  <si>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</si>
  <si>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</si>
  <si>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</si>
  <si>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</si>
  <si>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</si>
  <si>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</si>
  <si>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</si>
  <si>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</si>
  <si>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</si>
  <si>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</si>
  <si>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</si>
  <si>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</si>
  <si>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</si>
  <si>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</si>
  <si>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</si>
  <si>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</si>
  <si>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</si>
  <si>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</si>
  <si>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</si>
  <si>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</si>
  <si>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</si>
  <si>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</si>
  <si>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</si>
  <si>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</si>
  <si>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</si>
  <si>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</si>
  <si>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</si>
  <si>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</si>
  <si>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</si>
  <si>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</si>
  <si>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</si>
  <si>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</si>
  <si>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</si>
  <si>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</si>
  <si>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</si>
  <si>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</si>
  <si>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</si>
  <si>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</si>
  <si>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</si>
  <si>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</si>
  <si>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</si>
  <si>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</si>
  <si>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</si>
  <si>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</si>
  <si>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</si>
  <si>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</si>
  <si>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</si>
  <si>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</si>
  <si>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</si>
  <si>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</si>
  <si>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</si>
  <si>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</si>
  <si>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</si>
  <si>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</si>
  <si>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delta days</t>
  </si>
  <si>
    <t>dates</t>
  </si>
  <si>
    <t>MHI SHARPE-IVY KONSOLİDE</t>
  </si>
  <si>
    <t>GRAM ALTIN KAR</t>
  </si>
  <si>
    <t>BIST100</t>
  </si>
  <si>
    <t>BIST100 KAR</t>
  </si>
  <si>
    <t>XU100 KAR</t>
  </si>
  <si>
    <t>TRY=X KAR</t>
  </si>
  <si>
    <t xml:space="preserve">ZFB </t>
  </si>
  <si>
    <t>ZFB KAR</t>
  </si>
  <si>
    <t>GTY</t>
  </si>
  <si>
    <t>GTY KAR</t>
  </si>
  <si>
    <t>ZFB</t>
  </si>
  <si>
    <t>GÜN SAYISI</t>
  </si>
  <si>
    <t>Neg-Sharpe</t>
  </si>
  <si>
    <t>Neg-MDD</t>
  </si>
  <si>
    <t>Ortalama</t>
  </si>
  <si>
    <t>Max</t>
  </si>
  <si>
    <t>Min</t>
  </si>
  <si>
    <t>GC=F KAR (USD)</t>
  </si>
  <si>
    <t>GC=F KAR (TL)</t>
  </si>
  <si>
    <t>GC=F TL</t>
  </si>
  <si>
    <t>GC=F (USD)</t>
  </si>
  <si>
    <t>TFF</t>
  </si>
  <si>
    <t>SHARPE - GRAM ALTIN</t>
  </si>
  <si>
    <t>MDD - GRAM ALTIN</t>
  </si>
  <si>
    <t>MDD - ONS</t>
  </si>
  <si>
    <t>ONS</t>
  </si>
  <si>
    <t>SHARPE - ONS</t>
  </si>
  <si>
    <t>SHARPE - ZFB</t>
  </si>
  <si>
    <t>SHARPE - TFF</t>
  </si>
  <si>
    <t>SHARPE - GTY</t>
  </si>
  <si>
    <t>MDD - ZFB</t>
  </si>
  <si>
    <t>GETİRİ</t>
  </si>
  <si>
    <t>GÜNLÜK</t>
  </si>
  <si>
    <t>SHARPE (TOASO)</t>
  </si>
  <si>
    <t>MMD</t>
  </si>
  <si>
    <t>MDD (ENKA24)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</si>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</sst>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  <numFmt numFmtId="169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37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0" fontId="3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9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7" fillId="0" borderId="0" xfId="0" applyNumberFormat="1" applyFont="1"/>
    <xf numFmtId="9" fontId="9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0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11" fillId="5" borderId="1" xfId="0" applyNumberFormat="1" applyFont="1" applyFill="1" applyBorder="1" applyAlignment="1">
      <alignment horizontal="center"/>
    </xf>
    <xf numFmtId="14" fontId="11" fillId="0" borderId="1" xfId="0" applyNumberFormat="1" applyFont="1" applyBorder="1"/>
    <xf numFmtId="14" fontId="11" fillId="4" borderId="0" xfId="0" applyNumberFormat="1" applyFont="1" applyFill="1"/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2" fillId="4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9" fillId="0" borderId="1" xfId="0" applyFont="1" applyBorder="1"/>
    <xf numFmtId="0" fontId="9" fillId="5" borderId="1" xfId="0" applyFont="1" applyFill="1" applyBorder="1"/>
    <xf numFmtId="0" fontId="9" fillId="4" borderId="0" xfId="0" applyFont="1" applyFill="1"/>
    <xf numFmtId="0" fontId="9" fillId="0" borderId="0" xfId="0" applyFont="1" applyAlignment="1">
      <alignment horizontal="center"/>
    </xf>
    <xf numFmtId="9" fontId="9" fillId="0" borderId="1" xfId="1" applyFont="1" applyBorder="1"/>
    <xf numFmtId="9" fontId="9" fillId="5" borderId="1" xfId="1" applyFont="1" applyFill="1" applyBorder="1"/>
    <xf numFmtId="9" fontId="9" fillId="4" borderId="0" xfId="1" applyFont="1" applyFill="1" applyBorder="1"/>
    <xf numFmtId="9" fontId="9" fillId="0" borderId="0" xfId="1" applyFont="1" applyBorder="1"/>
    <xf numFmtId="9" fontId="9" fillId="0" borderId="0" xfId="1" applyFont="1" applyBorder="1" applyAlignment="1">
      <alignment horizontal="center"/>
    </xf>
    <xf numFmtId="2" fontId="9" fillId="0" borderId="1" xfId="1" applyNumberFormat="1" applyFont="1" applyBorder="1"/>
    <xf numFmtId="2" fontId="9" fillId="5" borderId="1" xfId="1" applyNumberFormat="1" applyFont="1" applyFill="1" applyBorder="1"/>
    <xf numFmtId="2" fontId="9" fillId="4" borderId="0" xfId="1" applyNumberFormat="1" applyFont="1" applyFill="1" applyBorder="1"/>
    <xf numFmtId="2" fontId="9" fillId="0" borderId="0" xfId="1" applyNumberFormat="1" applyFont="1" applyBorder="1"/>
    <xf numFmtId="2" fontId="9" fillId="0" borderId="0" xfId="1" applyNumberFormat="1" applyFont="1" applyBorder="1" applyAlignment="1">
      <alignment horizontal="center"/>
    </xf>
    <xf numFmtId="10" fontId="9" fillId="0" borderId="1" xfId="1" applyNumberFormat="1" applyFont="1" applyBorder="1"/>
    <xf numFmtId="10" fontId="9" fillId="5" borderId="1" xfId="1" applyNumberFormat="1" applyFont="1" applyFill="1" applyBorder="1"/>
    <xf numFmtId="10" fontId="9" fillId="4" borderId="0" xfId="1" applyNumberFormat="1" applyFont="1" applyFill="1" applyBorder="1"/>
    <xf numFmtId="10" fontId="9" fillId="0" borderId="0" xfId="1" applyNumberFormat="1" applyFont="1" applyBorder="1"/>
    <xf numFmtId="10" fontId="9" fillId="0" borderId="0" xfId="1" applyNumberFormat="1" applyFont="1" applyBorder="1" applyAlignment="1">
      <alignment horizontal="center"/>
    </xf>
    <xf numFmtId="164" fontId="9" fillId="0" borderId="1" xfId="0" applyNumberFormat="1" applyFont="1" applyBorder="1"/>
    <xf numFmtId="164" fontId="9" fillId="5" borderId="1" xfId="0" applyNumberFormat="1" applyFont="1" applyFill="1" applyBorder="1"/>
    <xf numFmtId="164" fontId="9" fillId="4" borderId="0" xfId="0" applyNumberFormat="1" applyFont="1" applyFill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9" fillId="5" borderId="0" xfId="0" applyFon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7" borderId="0" xfId="0" applyFont="1" applyFill="1"/>
    <xf numFmtId="10" fontId="14" fillId="7" borderId="0" xfId="0" applyNumberFormat="1" applyFont="1" applyFill="1"/>
    <xf numFmtId="0" fontId="9" fillId="6" borderId="0" xfId="0" applyFont="1" applyFill="1"/>
    <xf numFmtId="10" fontId="13" fillId="9" borderId="0" xfId="0" applyNumberFormat="1" applyFont="1" applyFill="1"/>
    <xf numFmtId="10" fontId="11" fillId="5" borderId="0" xfId="0" applyNumberFormat="1" applyFont="1" applyFill="1"/>
    <xf numFmtId="10" fontId="9" fillId="6" borderId="0" xfId="1" applyNumberFormat="1" applyFont="1" applyFill="1"/>
    <xf numFmtId="10" fontId="9" fillId="10" borderId="0" xfId="1" applyNumberFormat="1" applyFont="1" applyFill="1"/>
    <xf numFmtId="10" fontId="9" fillId="8" borderId="0" xfId="1" applyNumberFormat="1" applyFont="1" applyFill="1"/>
    <xf numFmtId="14" fontId="9" fillId="0" borderId="0" xfId="0" applyNumberFormat="1" applyFont="1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9" fillId="6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2" fontId="12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8" borderId="0" xfId="0" applyNumberFormat="1" applyFont="1" applyFill="1" applyAlignment="1">
      <alignment horizontal="center" vertical="center"/>
    </xf>
    <xf numFmtId="2" fontId="9" fillId="4" borderId="0" xfId="0" applyNumberFormat="1" applyFont="1" applyFill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/>
    </xf>
    <xf numFmtId="9" fontId="9" fillId="4" borderId="1" xfId="1" applyFont="1" applyFill="1" applyBorder="1" applyAlignment="1">
      <alignment horizontal="center" vertical="center"/>
    </xf>
    <xf numFmtId="9" fontId="9" fillId="5" borderId="1" xfId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4" borderId="1" xfId="1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/>
    </xf>
    <xf numFmtId="10" fontId="9" fillId="4" borderId="1" xfId="1" applyNumberFormat="1" applyFont="1" applyFill="1" applyBorder="1" applyAlignment="1">
      <alignment horizontal="center" vertical="center"/>
    </xf>
    <xf numFmtId="10" fontId="12" fillId="4" borderId="1" xfId="1" applyNumberFormat="1" applyFont="1" applyFill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165" fontId="9" fillId="4" borderId="5" xfId="1" applyNumberFormat="1" applyFont="1" applyFill="1" applyBorder="1" applyAlignment="1">
      <alignment horizontal="center" vertical="center"/>
    </xf>
    <xf numFmtId="165" fontId="9" fillId="5" borderId="1" xfId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2" fontId="9" fillId="4" borderId="1" xfId="1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9" fillId="4" borderId="8" xfId="1" applyNumberFormat="1" applyFont="1" applyFill="1" applyBorder="1" applyAlignment="1">
      <alignment horizontal="center" vertical="center"/>
    </xf>
    <xf numFmtId="2" fontId="9" fillId="0" borderId="9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5" borderId="1" xfId="1" applyNumberFormat="1" applyFont="1" applyFill="1" applyBorder="1" applyAlignment="1">
      <alignment horizontal="center" vertical="center"/>
    </xf>
    <xf numFmtId="2" fontId="9" fillId="0" borderId="6" xfId="1" applyNumberFormat="1" applyFont="1" applyBorder="1" applyAlignment="1">
      <alignment horizontal="center" vertical="center"/>
    </xf>
    <xf numFmtId="2" fontId="9" fillId="4" borderId="6" xfId="1" applyNumberFormat="1" applyFont="1" applyFill="1" applyBorder="1" applyAlignment="1">
      <alignment horizontal="center" vertical="center"/>
    </xf>
    <xf numFmtId="9" fontId="9" fillId="0" borderId="5" xfId="1" applyFont="1" applyBorder="1" applyAlignment="1">
      <alignment horizontal="center" vertical="center"/>
    </xf>
    <xf numFmtId="9" fontId="9" fillId="4" borderId="5" xfId="1" applyFont="1" applyFill="1" applyBorder="1" applyAlignment="1">
      <alignment horizontal="center" vertical="center"/>
    </xf>
    <xf numFmtId="10" fontId="9" fillId="0" borderId="3" xfId="1" applyNumberFormat="1" applyFont="1" applyBorder="1" applyAlignment="1">
      <alignment horizontal="center" vertical="center"/>
    </xf>
    <xf numFmtId="10" fontId="9" fillId="0" borderId="7" xfId="1" applyNumberFormat="1" applyFont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10" fontId="9" fillId="0" borderId="8" xfId="1" applyNumberFormat="1" applyFont="1" applyBorder="1" applyAlignment="1">
      <alignment horizontal="center" vertical="center"/>
    </xf>
    <xf numFmtId="10" fontId="9" fillId="4" borderId="8" xfId="1" applyNumberFormat="1" applyFont="1" applyFill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5" borderId="1" xfId="1" applyNumberFormat="1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1" fontId="9" fillId="0" borderId="1" xfId="1" applyNumberFormat="1" applyFont="1" applyBorder="1" applyAlignment="1">
      <alignment horizontal="center" vertical="center"/>
    </xf>
    <xf numFmtId="11" fontId="9" fillId="4" borderId="1" xfId="1" applyNumberFormat="1" applyFont="1" applyFill="1" applyBorder="1" applyAlignment="1">
      <alignment horizontal="center" vertical="center"/>
    </xf>
    <xf numFmtId="11" fontId="9" fillId="5" borderId="1" xfId="1" applyNumberFormat="1" applyFont="1" applyFill="1" applyBorder="1" applyAlignment="1">
      <alignment horizontal="center" vertical="center"/>
    </xf>
    <xf numFmtId="11" fontId="9" fillId="0" borderId="1" xfId="0" applyNumberFormat="1" applyFont="1" applyBorder="1" applyAlignment="1">
      <alignment horizontal="center" vertical="center"/>
    </xf>
    <xf numFmtId="11" fontId="9" fillId="4" borderId="1" xfId="0" applyNumberFormat="1" applyFont="1" applyFill="1" applyBorder="1" applyAlignment="1">
      <alignment horizontal="center" vertical="center"/>
    </xf>
    <xf numFmtId="11" fontId="9" fillId="5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0" fontId="9" fillId="0" borderId="0" xfId="1" applyNumberFormat="1" applyFont="1"/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10" fontId="9" fillId="0" borderId="0" xfId="0" applyNumberFormat="1" applyFont="1" applyAlignment="1">
      <alignment horizontal="right"/>
    </xf>
    <xf numFmtId="0" fontId="9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center"/>
    </xf>
    <xf numFmtId="0" fontId="11" fillId="7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14" fontId="11" fillId="4" borderId="0" xfId="0" applyNumberFormat="1" applyFont="1" applyFill="1" applyAlignment="1">
      <alignment horizontal="left"/>
    </xf>
    <xf numFmtId="0" fontId="11" fillId="7" borderId="0" xfId="0" applyFont="1" applyFill="1" applyAlignment="1">
      <alignment horizontal="center"/>
    </xf>
    <xf numFmtId="9" fontId="11" fillId="4" borderId="0" xfId="0" applyNumberFormat="1" applyFont="1" applyFill="1" applyAlignment="1">
      <alignment horizontal="left"/>
    </xf>
    <xf numFmtId="0" fontId="11" fillId="4" borderId="0" xfId="0" applyFont="1" applyFill="1"/>
    <xf numFmtId="0" fontId="11" fillId="4" borderId="1" xfId="0" applyFont="1" applyFill="1" applyBorder="1"/>
    <xf numFmtId="0" fontId="11" fillId="7" borderId="0" xfId="0" applyFont="1" applyFill="1"/>
    <xf numFmtId="0" fontId="11" fillId="4" borderId="0" xfId="0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44" fontId="11" fillId="4" borderId="0" xfId="2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left"/>
    </xf>
    <xf numFmtId="166" fontId="9" fillId="4" borderId="0" xfId="0" applyNumberFormat="1" applyFont="1" applyFill="1" applyAlignment="1">
      <alignment horizontal="right"/>
    </xf>
    <xf numFmtId="10" fontId="9" fillId="4" borderId="0" xfId="1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0" fontId="9" fillId="4" borderId="0" xfId="0" applyFont="1" applyFill="1" applyAlignment="1">
      <alignment horizontal="right"/>
    </xf>
    <xf numFmtId="10" fontId="9" fillId="4" borderId="0" xfId="0" applyNumberFormat="1" applyFont="1" applyFill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7" fillId="0" borderId="1" xfId="1" applyNumberFormat="1" applyFont="1" applyBorder="1"/>
    <xf numFmtId="0" fontId="7" fillId="6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7" fillId="6" borderId="1" xfId="0" applyNumberFormat="1" applyFont="1" applyFill="1" applyBorder="1" applyAlignment="1">
      <alignment horizontal="right" vertical="center"/>
    </xf>
    <xf numFmtId="10" fontId="7" fillId="0" borderId="1" xfId="0" applyNumberFormat="1" applyFont="1" applyBorder="1" applyAlignment="1">
      <alignment horizontal="right" vertical="center"/>
    </xf>
    <xf numFmtId="10" fontId="7" fillId="6" borderId="1" xfId="0" applyNumberFormat="1" applyFont="1" applyFill="1" applyBorder="1" applyAlignment="1">
      <alignment horizontal="right" vertical="center"/>
    </xf>
    <xf numFmtId="165" fontId="7" fillId="6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6" borderId="1" xfId="1" applyNumberFormat="1" applyFont="1" applyFill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7" fillId="0" borderId="1" xfId="0" applyNumberFormat="1" applyFont="1" applyBorder="1"/>
    <xf numFmtId="10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0" fontId="7" fillId="0" borderId="1" xfId="0" applyNumberFormat="1" applyFont="1" applyBorder="1" applyAlignment="1">
      <alignment horizontal="right"/>
    </xf>
    <xf numFmtId="10" fontId="7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7" fillId="0" borderId="1" xfId="0" applyNumberFormat="1" applyFont="1" applyBorder="1" applyAlignment="1">
      <alignment horizontal="right"/>
    </xf>
    <xf numFmtId="43" fontId="7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7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8" fillId="0" borderId="1" xfId="0" applyFont="1" applyBorder="1"/>
    <xf numFmtId="0" fontId="18" fillId="0" borderId="1" xfId="0" applyFont="1" applyBorder="1" applyAlignment="1">
      <alignment horizontal="center" vertical="center"/>
    </xf>
    <xf numFmtId="169" fontId="7" fillId="0" borderId="1" xfId="0" applyNumberFormat="1" applyFont="1" applyBorder="1" applyAlignment="1">
      <alignment horizontal="right"/>
    </xf>
    <xf numFmtId="0" fontId="0" fillId="13" borderId="1" xfId="0" applyFill="1" applyBorder="1" applyAlignment="1">
      <alignment horizontal="center" vertical="center"/>
    </xf>
    <xf numFmtId="1" fontId="0" fillId="0" borderId="1" xfId="0" applyNumberFormat="1" applyBorder="1"/>
    <xf numFmtId="14" fontId="7" fillId="14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0" fontId="0" fillId="1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65" fontId="1" fillId="4" borderId="1" xfId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7" borderId="3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3" xfId="0" applyFill="1" applyBorder="1"/>
    <xf numFmtId="0" fontId="0" fillId="7" borderId="9" xfId="0" applyFill="1" applyBorder="1"/>
    <xf numFmtId="0" fontId="0" fillId="6" borderId="1" xfId="0" applyFill="1" applyBorder="1"/>
    <xf numFmtId="14" fontId="0" fillId="6" borderId="1" xfId="0" applyNumberFormat="1" applyFill="1" applyBorder="1"/>
    <xf numFmtId="14" fontId="19" fillId="4" borderId="1" xfId="0" applyNumberFormat="1" applyFont="1" applyFill="1" applyBorder="1" applyAlignment="1">
      <alignment horizontal="right" vertical="center"/>
    </xf>
    <xf numFmtId="2" fontId="7" fillId="0" borderId="1" xfId="1" applyNumberFormat="1" applyFont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 vertical="center"/>
    </xf>
    <xf numFmtId="10" fontId="7" fillId="17" borderId="1" xfId="1" applyNumberFormat="1" applyFont="1" applyFill="1" applyBorder="1" applyAlignment="1">
      <alignment horizontal="right"/>
    </xf>
    <xf numFmtId="169" fontId="7" fillId="17" borderId="1" xfId="0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43" fontId="18" fillId="4" borderId="1" xfId="0" applyNumberFormat="1" applyFont="1" applyFill="1" applyBorder="1" applyAlignment="1">
      <alignment horizontal="center"/>
    </xf>
    <xf numFmtId="43" fontId="0" fillId="4" borderId="1" xfId="3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65" fontId="18" fillId="0" borderId="1" xfId="1" applyNumberFormat="1" applyFont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7" fillId="18" borderId="1" xfId="0" applyFont="1" applyFill="1" applyBorder="1" applyAlignment="1">
      <alignment horizontal="right"/>
    </xf>
    <xf numFmtId="0" fontId="7" fillId="9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19" borderId="1" xfId="0" applyFont="1" applyFill="1" applyBorder="1" applyAlignment="1">
      <alignment horizontal="right"/>
    </xf>
    <xf numFmtId="0" fontId="21" fillId="19" borderId="1" xfId="0" applyFont="1" applyFill="1" applyBorder="1" applyAlignment="1">
      <alignment horizontal="right"/>
    </xf>
    <xf numFmtId="0" fontId="7" fillId="15" borderId="1" xfId="0" applyFont="1" applyFill="1" applyBorder="1" applyAlignment="1">
      <alignment horizontal="right"/>
    </xf>
    <xf numFmtId="0" fontId="21" fillId="20" borderId="1" xfId="0" applyFont="1" applyFill="1" applyBorder="1" applyAlignment="1">
      <alignment horizontal="right"/>
    </xf>
    <xf numFmtId="0" fontId="7" fillId="21" borderId="1" xfId="0" applyFont="1" applyFill="1" applyBorder="1" applyAlignment="1">
      <alignment horizontal="right"/>
    </xf>
    <xf numFmtId="0" fontId="21" fillId="22" borderId="1" xfId="0" applyFont="1" applyFill="1" applyBorder="1" applyAlignment="1">
      <alignment horizontal="right"/>
    </xf>
    <xf numFmtId="0" fontId="7" fillId="10" borderId="1" xfId="0" applyFont="1" applyFill="1" applyBorder="1" applyAlignment="1">
      <alignment horizontal="right"/>
    </xf>
    <xf numFmtId="0" fontId="7" fillId="23" borderId="1" xfId="0" applyFont="1" applyFill="1" applyBorder="1" applyAlignment="1">
      <alignment horizontal="right"/>
    </xf>
    <xf numFmtId="0" fontId="7" fillId="24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16" borderId="1" xfId="0" applyFont="1" applyFill="1" applyBorder="1" applyAlignment="1">
      <alignment horizontal="right"/>
    </xf>
    <xf numFmtId="0" fontId="21" fillId="25" borderId="1" xfId="0" applyFont="1" applyFill="1" applyBorder="1" applyAlignment="1">
      <alignment horizontal="right"/>
    </xf>
    <xf numFmtId="0" fontId="13" fillId="7" borderId="10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 Portföy Getirileri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F11-A1D4-35B4C62E6E00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F11-A1D4-35B4C62E6E00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F11-A1D4-35B4C62E6E00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5-4F11-A1D4-35B4C62E6E00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5-4F11-A1D4-35B4C62E6E00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F5-4F11-A1D4-35B4C62E6E00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5-4F11-A1D4-35B4C62E6E00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F5-4F11-A1D4-35B4C62E6E00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F5-4F11-A1D4-35B4C62E6E00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F5-4F11-A1D4-35B4C62E6E00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F5-4F11-A1D4-35B4C62E6E00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F5-4F11-A1D4-35B4C62E6E00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F5-4F11-A1D4-35B4C62E6E00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F5-4F11-A1D4-35B4C62E6E00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F5-4F11-A1D4-35B4C62E6E00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F5-4F11-A1D4-35B4C62E6E00}"/>
            </c:ext>
          </c:extLst>
        </c:ser>
        <c:ser>
          <c:idx val="16"/>
          <c:order val="16"/>
          <c:tx>
            <c:strRef>
              <c:f>ON2_MEF_v13_GITHUB!$D$56:$F$56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5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5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ON2_MEF_v13_GITHUB!$G$56:$W$56</c:f>
              <c:numCache>
                <c:formatCode>_(* #,##0.00_);_(* \(#,##0.00\);_(* "-"??_);_(@_)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EDF5-4F11-A1D4-35B4C62E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75728"/>
        <c:axId val="231695472"/>
      </c:barChart>
      <c:catAx>
        <c:axId val="261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1695472"/>
        <c:crosses val="autoZero"/>
        <c:auto val="0"/>
        <c:lblAlgn val="ctr"/>
        <c:lblOffset val="100"/>
        <c:noMultiLvlLbl val="0"/>
      </c:catAx>
      <c:valAx>
        <c:axId val="2316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6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6"/>
        <c:delete val="1"/>
      </c:legendEntry>
      <c:layout>
        <c:manualLayout>
          <c:xMode val="edge"/>
          <c:yMode val="edge"/>
          <c:x val="9.6312071679288958E-2"/>
          <c:y val="6.2805918414887724E-2"/>
          <c:w val="0.16363700057980315"/>
          <c:h val="0.6243677013571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PNE</a:t>
            </a:r>
            <a:r>
              <a:rPr lang="tr-TR" baseline="0"/>
              <a:t> Portföy Getirileri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view3D>
      <c:rotX val="30"/>
      <c:rotY val="45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837260140470837E-2"/>
          <c:y val="9.4069835746394589E-2"/>
          <c:w val="0.86415982375989064"/>
          <c:h val="0.8201056467031727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ON2_MEF_v13_GITHUB!$D$40:$F$40</c:f>
              <c:strCache>
                <c:ptCount val="3"/>
                <c:pt idx="0">
                  <c:v>SHARPE - ZFB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ON2_MEF_v13_GITHUB!$G$40:$W$40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147170.0691453621</c:v>
                </c:pt>
                <c:pt idx="3">
                  <c:v>292868.43759927055</c:v>
                </c:pt>
                <c:pt idx="4">
                  <c:v>360378.79562821356</c:v>
                </c:pt>
                <c:pt idx="5">
                  <c:v>792833.35038206994</c:v>
                </c:pt>
                <c:pt idx="6">
                  <c:v>901591.27061831707</c:v>
                </c:pt>
                <c:pt idx="7">
                  <c:v>1411891.9297882845</c:v>
                </c:pt>
                <c:pt idx="8">
                  <c:v>1911195.532978843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7-4A6E-9AFF-B6018A8C19D1}"/>
            </c:ext>
          </c:extLst>
        </c:ser>
        <c:ser>
          <c:idx val="1"/>
          <c:order val="1"/>
          <c:tx>
            <c:strRef>
              <c:f>ON2_MEF_v13_GITHUB!$D$41:$F$41</c:f>
              <c:strCache>
                <c:ptCount val="3"/>
                <c:pt idx="0">
                  <c:v>SHARPE - GRAM ALTIN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ON2_MEF_v13_GITHUB!$G$41:$W$41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7-4A6E-9AFF-B6018A8C19D1}"/>
            </c:ext>
          </c:extLst>
        </c:ser>
        <c:ser>
          <c:idx val="2"/>
          <c:order val="2"/>
          <c:tx>
            <c:strRef>
              <c:f>ON2_MEF_v13_GITHUB!$D$42:$F$42</c:f>
              <c:strCache>
                <c:ptCount val="3"/>
                <c:pt idx="0">
                  <c:v>SHARPE - 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ON2_MEF_v13_GITHUB!$G$42:$W$42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191227.18844261157</c:v>
                </c:pt>
                <c:pt idx="3">
                  <c:v>380542.10500079702</c:v>
                </c:pt>
                <c:pt idx="4">
                  <c:v>400361.51966341853</c:v>
                </c:pt>
                <c:pt idx="5">
                  <c:v>880795.34325952083</c:v>
                </c:pt>
                <c:pt idx="6">
                  <c:v>1031123.0928564478</c:v>
                </c:pt>
                <c:pt idx="7">
                  <c:v>1614738.7634131971</c:v>
                </c:pt>
                <c:pt idx="8">
                  <c:v>1896964.6798984385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7-4A6E-9AFF-B6018A8C19D1}"/>
            </c:ext>
          </c:extLst>
        </c:ser>
        <c:ser>
          <c:idx val="3"/>
          <c:order val="3"/>
          <c:tx>
            <c:strRef>
              <c:f>ON2_MEF_v13_GITHUB!$D$43:$F$43</c:f>
              <c:strCache>
                <c:ptCount val="3"/>
                <c:pt idx="0">
                  <c:v>SHARPE - TFF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ON2_MEF_v13_GITHUB!$G$43:$W$43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159278.52568782028</c:v>
                </c:pt>
                <c:pt idx="3">
                  <c:v>316964.26611876237</c:v>
                </c:pt>
                <c:pt idx="4">
                  <c:v>365602.63732215448</c:v>
                </c:pt>
                <c:pt idx="5">
                  <c:v>804325.80210873997</c:v>
                </c:pt>
                <c:pt idx="6">
                  <c:v>947710.58932460658</c:v>
                </c:pt>
                <c:pt idx="7">
                  <c:v>1484114.7828823337</c:v>
                </c:pt>
                <c:pt idx="8">
                  <c:v>1758089.7549367193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47-4A6E-9AFF-B6018A8C19D1}"/>
            </c:ext>
          </c:extLst>
        </c:ser>
        <c:ser>
          <c:idx val="4"/>
          <c:order val="4"/>
          <c:tx>
            <c:strRef>
              <c:f>ON2_MEF_v13_GITHUB!$D$44:$F$44</c:f>
              <c:strCache>
                <c:ptCount val="3"/>
                <c:pt idx="0">
                  <c:v>SHARPE - GTY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ON2_MEF_v13_GITHUB!$G$44:$W$44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175607.32149822707</c:v>
                </c:pt>
                <c:pt idx="3">
                  <c:v>349458.56978147186</c:v>
                </c:pt>
                <c:pt idx="4">
                  <c:v>347313.4801382352</c:v>
                </c:pt>
                <c:pt idx="5">
                  <c:v>764089.65630411752</c:v>
                </c:pt>
                <c:pt idx="6">
                  <c:v>813077.03038257209</c:v>
                </c:pt>
                <c:pt idx="7">
                  <c:v>1273278.6295791077</c:v>
                </c:pt>
                <c:pt idx="8">
                  <c:v>1535600.5272900155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47-4A6E-9AFF-B6018A8C19D1}"/>
            </c:ext>
          </c:extLst>
        </c:ser>
        <c:ser>
          <c:idx val="5"/>
          <c:order val="5"/>
          <c:tx>
            <c:strRef>
              <c:f>ON2_MEF_v13_GITHUB!$D$45:$F$45</c:f>
              <c:strCache>
                <c:ptCount val="3"/>
                <c:pt idx="0">
                  <c:v>MDD - 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ON2_MEF_v13_GITHUB!$G$45:$W$45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171034.87685588517</c:v>
                </c:pt>
                <c:pt idx="3">
                  <c:v>324282.12651875825</c:v>
                </c:pt>
                <c:pt idx="4">
                  <c:v>341171.40591436811</c:v>
                </c:pt>
                <c:pt idx="5">
                  <c:v>609673.30236897583</c:v>
                </c:pt>
                <c:pt idx="6">
                  <c:v>713727.91191684967</c:v>
                </c:pt>
                <c:pt idx="7">
                  <c:v>1372498.774616102</c:v>
                </c:pt>
                <c:pt idx="8">
                  <c:v>1612385.7045131205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47-4A6E-9AFF-B6018A8C19D1}"/>
            </c:ext>
          </c:extLst>
        </c:ser>
        <c:ser>
          <c:idx val="6"/>
          <c:order val="6"/>
          <c:tx>
            <c:strRef>
              <c:f>ON2_MEF_v13_GITHUB!$D$46:$F$46</c:f>
              <c:strCache>
                <c:ptCount val="3"/>
                <c:pt idx="0">
                  <c:v>MDD - GRAM ALTIN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ON2_MEF_v13_GITHUB!$G$46:$W$46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47-4A6E-9AFF-B6018A8C19D1}"/>
            </c:ext>
          </c:extLst>
        </c:ser>
        <c:ser>
          <c:idx val="7"/>
          <c:order val="7"/>
          <c:tx>
            <c:strRef>
              <c:f>ON2_MEF_v13_GITHUB!$D$47:$F$47</c:f>
              <c:strCache>
                <c:ptCount val="3"/>
                <c:pt idx="0">
                  <c:v>MDD - ZFB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ON2_MEF_v13_GITHUB!$G$47:$W$47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131629.89456754547</c:v>
                </c:pt>
                <c:pt idx="3">
                  <c:v>249570.28010006621</c:v>
                </c:pt>
                <c:pt idx="4">
                  <c:v>307099.79437976074</c:v>
                </c:pt>
                <c:pt idx="5">
                  <c:v>548787.33255663246</c:v>
                </c:pt>
                <c:pt idx="6">
                  <c:v>624067.93082119164</c:v>
                </c:pt>
                <c:pt idx="7">
                  <c:v>1200082.6309691516</c:v>
                </c:pt>
                <c:pt idx="8">
                  <c:v>1624481.6725155925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47-4A6E-9AFF-B6018A8C19D1}"/>
            </c:ext>
          </c:extLst>
        </c:ser>
        <c:ser>
          <c:idx val="8"/>
          <c:order val="8"/>
          <c:tx>
            <c:strRef>
              <c:f>ON2_MEF_v13_GITHUB!$D$48:$F$48</c:f>
              <c:strCache>
                <c:ptCount val="3"/>
                <c:pt idx="0">
                  <c:v>SHARPE (TOASO)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ON2_MEF_v13_GITHUB!$G$48:$W$48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199666</c:v>
                </c:pt>
                <c:pt idx="2">
                  <c:v>150544</c:v>
                </c:pt>
                <c:pt idx="3">
                  <c:v>180776</c:v>
                </c:pt>
                <c:pt idx="4">
                  <c:v>220144</c:v>
                </c:pt>
                <c:pt idx="5">
                  <c:v>395035</c:v>
                </c:pt>
                <c:pt idx="6">
                  <c:v>419571</c:v>
                </c:pt>
                <c:pt idx="7">
                  <c:v>719044</c:v>
                </c:pt>
                <c:pt idx="8">
                  <c:v>488863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47-4A6E-9AFF-B6018A8C19D1}"/>
            </c:ext>
          </c:extLst>
        </c:ser>
        <c:ser>
          <c:idx val="9"/>
          <c:order val="9"/>
          <c:tx>
            <c:strRef>
              <c:f>ON2_MEF_v13_GITHUB!$D$49:$F$49</c:f>
              <c:strCache>
                <c:ptCount val="3"/>
                <c:pt idx="0">
                  <c:v>MDD (ENKA24)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ON2_MEF_v13_GITHUB!$G$49:$W$49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164182</c:v>
                </c:pt>
                <c:pt idx="2">
                  <c:v>134407</c:v>
                </c:pt>
                <c:pt idx="3">
                  <c:v>177277</c:v>
                </c:pt>
                <c:pt idx="4">
                  <c:v>216000</c:v>
                </c:pt>
                <c:pt idx="5">
                  <c:v>335288</c:v>
                </c:pt>
                <c:pt idx="6">
                  <c:v>263397</c:v>
                </c:pt>
                <c:pt idx="7">
                  <c:v>481346</c:v>
                </c:pt>
                <c:pt idx="8">
                  <c:v>430769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7-4A6E-9AFF-B6018A8C19D1}"/>
            </c:ext>
          </c:extLst>
        </c:ser>
        <c:ser>
          <c:idx val="10"/>
          <c:order val="10"/>
          <c:tx>
            <c:strRef>
              <c:f>ON2_MEF_v13_GITHUB!$D$50:$F$50</c:f>
              <c:strCache>
                <c:ptCount val="3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ON2_MEF_v13_GITHUB!$G$50:$W$50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7-4A6E-9AFF-B6018A8C19D1}"/>
            </c:ext>
          </c:extLst>
        </c:ser>
        <c:ser>
          <c:idx val="11"/>
          <c:order val="11"/>
          <c:tx>
            <c:strRef>
              <c:f>ON2_MEF_v13_GITHUB!$D$51:$F$51</c:f>
              <c:strCache>
                <c:ptCount val="3"/>
                <c:pt idx="0">
                  <c:v>ONS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ON2_MEF_v13_GITHUB!$G$51:$W$51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173782.20330007782</c:v>
                </c:pt>
                <c:pt idx="2">
                  <c:v>173716.05927044546</c:v>
                </c:pt>
                <c:pt idx="3">
                  <c:v>195623.74299337767</c:v>
                </c:pt>
                <c:pt idx="4">
                  <c:v>205812.22944281204</c:v>
                </c:pt>
                <c:pt idx="5">
                  <c:v>221068.02713181992</c:v>
                </c:pt>
                <c:pt idx="6">
                  <c:v>258798.31178974765</c:v>
                </c:pt>
                <c:pt idx="7">
                  <c:v>335293.43531250168</c:v>
                </c:pt>
                <c:pt idx="8">
                  <c:v>393896.4113583187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7-4A6E-9AFF-B6018A8C19D1}"/>
            </c:ext>
          </c:extLst>
        </c:ser>
        <c:ser>
          <c:idx val="12"/>
          <c:order val="12"/>
          <c:tx>
            <c:strRef>
              <c:f>ON2_MEF_v13_GITHUB!$D$52:$F$52</c:f>
              <c:strCache>
                <c:ptCount val="3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ON2_MEF_v13_GITHUB!$G$52:$W$52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171800</c:v>
                </c:pt>
                <c:pt idx="2">
                  <c:v>160800</c:v>
                </c:pt>
                <c:pt idx="3">
                  <c:v>199600</c:v>
                </c:pt>
                <c:pt idx="4">
                  <c:v>207600</c:v>
                </c:pt>
                <c:pt idx="5">
                  <c:v>216350</c:v>
                </c:pt>
                <c:pt idx="6">
                  <c:v>226450</c:v>
                </c:pt>
                <c:pt idx="7">
                  <c:v>311680</c:v>
                </c:pt>
                <c:pt idx="8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47-4A6E-9AFF-B6018A8C19D1}"/>
            </c:ext>
          </c:extLst>
        </c:ser>
        <c:ser>
          <c:idx val="13"/>
          <c:order val="13"/>
          <c:tx>
            <c:strRef>
              <c:f>ON2_MEF_v13_GITHUB!$D$53:$F$53</c:f>
              <c:strCache>
                <c:ptCount val="3"/>
                <c:pt idx="0">
                  <c:v>TFF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ON2_MEF_v13_GITHUB!$G$53:$W$53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163975.89051466723</c:v>
                </c:pt>
                <c:pt idx="2">
                  <c:v>136528.16565354745</c:v>
                </c:pt>
                <c:pt idx="3">
                  <c:v>149436.92854741056</c:v>
                </c:pt>
                <c:pt idx="4">
                  <c:v>172368.12167900597</c:v>
                </c:pt>
                <c:pt idx="5">
                  <c:v>143225.32321489335</c:v>
                </c:pt>
                <c:pt idx="6">
                  <c:v>168757.67893349656</c:v>
                </c:pt>
                <c:pt idx="7">
                  <c:v>273765.68254166411</c:v>
                </c:pt>
                <c:pt idx="8">
                  <c:v>324304.18946100993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47-4A6E-9AFF-B6018A8C19D1}"/>
            </c:ext>
          </c:extLst>
        </c:ser>
        <c:ser>
          <c:idx val="14"/>
          <c:order val="14"/>
          <c:tx>
            <c:strRef>
              <c:f>ON2_MEF_v13_GITHUB!$D$54:$F$54</c:f>
              <c:strCache>
                <c:ptCount val="3"/>
                <c:pt idx="0">
                  <c:v>GTY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ON2_MEF_v13_GITHUB!$G$54:$W$54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154808.24849737977</c:v>
                </c:pt>
                <c:pt idx="2">
                  <c:v>142109.05313359539</c:v>
                </c:pt>
                <c:pt idx="3">
                  <c:v>159294.99665378121</c:v>
                </c:pt>
                <c:pt idx="4">
                  <c:v>158317.19248158671</c:v>
                </c:pt>
                <c:pt idx="5">
                  <c:v>146015.09385303699</c:v>
                </c:pt>
                <c:pt idx="6">
                  <c:v>155376.42464015662</c:v>
                </c:pt>
                <c:pt idx="7">
                  <c:v>216714.6578911285</c:v>
                </c:pt>
                <c:pt idx="8">
                  <c:v>261362.38777454206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147-4A6E-9AFF-B6018A8C19D1}"/>
            </c:ext>
          </c:extLst>
        </c:ser>
        <c:ser>
          <c:idx val="15"/>
          <c:order val="15"/>
          <c:tx>
            <c:strRef>
              <c:f>ON2_MEF_v13_GITHUB!$D$55:$F$55</c:f>
              <c:strCache>
                <c:ptCount val="3"/>
                <c:pt idx="0">
                  <c:v>ZFB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4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4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ON2_MEF_v13_GITHUB!$G$39:$W$39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f>ON2_MEF_v13_GITHUB!$G$55:$W$55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133272.33606557376</c:v>
                </c:pt>
                <c:pt idx="2">
                  <c:v>102528.48360655736</c:v>
                </c:pt>
                <c:pt idx="3">
                  <c:v>107086.37295081966</c:v>
                </c:pt>
                <c:pt idx="4">
                  <c:v>131771.31147540981</c:v>
                </c:pt>
                <c:pt idx="5">
                  <c:v>98465.061475409821</c:v>
                </c:pt>
                <c:pt idx="6">
                  <c:v>111972.13114754097</c:v>
                </c:pt>
                <c:pt idx="7">
                  <c:v>173622.43852459016</c:v>
                </c:pt>
                <c:pt idx="8">
                  <c:v>235022.5409836066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147-4A6E-9AFF-B6018A8C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8390752"/>
        <c:axId val="909852032"/>
        <c:axId val="232897440"/>
      </c:bar3DChart>
      <c:catAx>
        <c:axId val="8083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  <c:auto val="0"/>
        <c:lblAlgn val="ctr"/>
        <c:lblOffset val="100"/>
        <c:noMultiLvlLbl val="0"/>
      </c:catAx>
      <c:valAx>
        <c:axId val="9098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08390752"/>
        <c:crosses val="autoZero"/>
        <c:crossBetween val="between"/>
      </c:valAx>
      <c:serAx>
        <c:axId val="232897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098520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36417</xdr:colOff>
      <xdr:row>81</xdr:row>
      <xdr:rowOff>52529</xdr:rowOff>
    </xdr:from>
    <xdr:to>
      <xdr:col>37</xdr:col>
      <xdr:colOff>16409</xdr:colOff>
      <xdr:row>104</xdr:row>
      <xdr:rowOff>68866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4723EA7-2FC6-8ABD-D22D-E48320C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13573" y="9387029"/>
          <a:ext cx="6002854" cy="4397837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54</xdr:row>
      <xdr:rowOff>112058</xdr:rowOff>
    </xdr:from>
    <xdr:to>
      <xdr:col>36</xdr:col>
      <xdr:colOff>997167</xdr:colOff>
      <xdr:row>80</xdr:row>
      <xdr:rowOff>2042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85373F1A-EDDD-B568-4DA4-9CADE340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82177" y="4684058"/>
          <a:ext cx="5982983" cy="4080984"/>
        </a:xfrm>
        <a:prstGeom prst="rect">
          <a:avLst/>
        </a:prstGeom>
      </xdr:spPr>
    </xdr:pic>
    <xdr:clientData/>
  </xdr:twoCellAnchor>
  <xdr:twoCellAnchor editAs="oneCell">
    <xdr:from>
      <xdr:col>39</xdr:col>
      <xdr:colOff>515472</xdr:colOff>
      <xdr:row>54</xdr:row>
      <xdr:rowOff>96440</xdr:rowOff>
    </xdr:from>
    <xdr:to>
      <xdr:col>49</xdr:col>
      <xdr:colOff>40125</xdr:colOff>
      <xdr:row>82</xdr:row>
      <xdr:rowOff>168088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2172DC5B-129A-9D53-9E69-122CD0B93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1" y="4668440"/>
          <a:ext cx="5575830" cy="4643648"/>
        </a:xfrm>
        <a:prstGeom prst="rect">
          <a:avLst/>
        </a:prstGeom>
      </xdr:spPr>
    </xdr:pic>
    <xdr:clientData/>
  </xdr:twoCellAnchor>
  <xdr:twoCellAnchor editAs="oneCell">
    <xdr:from>
      <xdr:col>39</xdr:col>
      <xdr:colOff>537884</xdr:colOff>
      <xdr:row>85</xdr:row>
      <xdr:rowOff>190358</xdr:rowOff>
    </xdr:from>
    <xdr:to>
      <xdr:col>49</xdr:col>
      <xdr:colOff>100853</xdr:colOff>
      <xdr:row>109</xdr:row>
      <xdr:rowOff>33617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323FD-C648-0443-0FF4-56629F5B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54913" y="9334358"/>
          <a:ext cx="5614146" cy="4415259"/>
        </a:xfrm>
        <a:prstGeom prst="rect">
          <a:avLst/>
        </a:prstGeom>
      </xdr:spPr>
    </xdr:pic>
    <xdr:clientData/>
  </xdr:twoCellAnchor>
  <xdr:twoCellAnchor editAs="oneCell">
    <xdr:from>
      <xdr:col>49</xdr:col>
      <xdr:colOff>50183</xdr:colOff>
      <xdr:row>62</xdr:row>
      <xdr:rowOff>123264</xdr:rowOff>
    </xdr:from>
    <xdr:to>
      <xdr:col>56</xdr:col>
      <xdr:colOff>133184</xdr:colOff>
      <xdr:row>75</xdr:row>
      <xdr:rowOff>168088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3927ABE9-C7D5-85C9-7849-32346602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018389" y="5266764"/>
          <a:ext cx="4318824" cy="2521324"/>
        </a:xfrm>
        <a:prstGeom prst="rect">
          <a:avLst/>
        </a:prstGeom>
      </xdr:spPr>
    </xdr:pic>
    <xdr:clientData/>
  </xdr:twoCellAnchor>
  <xdr:twoCellAnchor editAs="oneCell">
    <xdr:from>
      <xdr:col>0</xdr:col>
      <xdr:colOff>154780</xdr:colOff>
      <xdr:row>1</xdr:row>
      <xdr:rowOff>88756</xdr:rowOff>
    </xdr:from>
    <xdr:to>
      <xdr:col>2</xdr:col>
      <xdr:colOff>908787</xdr:colOff>
      <xdr:row>25</xdr:row>
      <xdr:rowOff>142876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9761947F-2FBC-A71B-DC06-9063CE28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780" y="279256"/>
          <a:ext cx="2730445" cy="4626120"/>
        </a:xfrm>
        <a:prstGeom prst="rect">
          <a:avLst/>
        </a:prstGeom>
      </xdr:spPr>
    </xdr:pic>
    <xdr:clientData/>
  </xdr:twoCellAnchor>
  <xdr:twoCellAnchor>
    <xdr:from>
      <xdr:col>2</xdr:col>
      <xdr:colOff>898072</xdr:colOff>
      <xdr:row>55</xdr:row>
      <xdr:rowOff>149679</xdr:rowOff>
    </xdr:from>
    <xdr:to>
      <xdr:col>27</xdr:col>
      <xdr:colOff>489859</xdr:colOff>
      <xdr:row>105</xdr:row>
      <xdr:rowOff>122464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61F9923D-1B56-081B-D511-D034E9E4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28</xdr:col>
      <xdr:colOff>732312</xdr:colOff>
      <xdr:row>74</xdr:row>
      <xdr:rowOff>64325</xdr:rowOff>
    </xdr:from>
    <xdr:to>
      <xdr:col>29</xdr:col>
      <xdr:colOff>411925</xdr:colOff>
      <xdr:row>103</xdr:row>
      <xdr:rowOff>125029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B6F557C5-63ED-20A0-B897-460FEDFA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156383" y="13399325"/>
          <a:ext cx="1543792" cy="5585204"/>
        </a:xfrm>
        <a:prstGeom prst="rect">
          <a:avLst/>
        </a:prstGeom>
      </xdr:spPr>
    </xdr:pic>
    <xdr:clientData/>
  </xdr:twoCellAnchor>
  <xdr:twoCellAnchor>
    <xdr:from>
      <xdr:col>2</xdr:col>
      <xdr:colOff>884465</xdr:colOff>
      <xdr:row>105</xdr:row>
      <xdr:rowOff>176892</xdr:rowOff>
    </xdr:from>
    <xdr:to>
      <xdr:col>27</xdr:col>
      <xdr:colOff>408213</xdr:colOff>
      <xdr:row>148</xdr:row>
      <xdr:rowOff>81643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B13247A-07E5-9B93-0C1C-A0AF3C7C7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0.76684</cdr:x>
      <cdr:y>0.17143</cdr:y>
    </cdr:from>
    <cdr:to>
      <cdr:x>0.92731</cdr:x>
      <cdr:y>0.81786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8A7A2DE-DD7F-CBAA-0B0B-D1A700BFF1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70115" y="1387940"/>
          <a:ext cx="2462955" cy="523364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45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31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319" t="s">
        <v>178</v>
      </c>
      <c r="BU53" s="72"/>
      <c r="CD53" s="73"/>
    </row>
    <row r="54" spans="1:115" ht="23.45" customHeight="1" x14ac:dyDescent="0.3">
      <c r="C54" s="320"/>
      <c r="R54" s="71"/>
      <c r="BL54" s="320"/>
      <c r="BU54" s="72"/>
      <c r="CD54" s="73"/>
    </row>
    <row r="55" spans="1:115" ht="23.45" customHeight="1" x14ac:dyDescent="0.3">
      <c r="C55" s="320"/>
      <c r="R55" s="71"/>
      <c r="BL55" s="320"/>
      <c r="BU55" s="72"/>
      <c r="CD55" s="73"/>
    </row>
    <row r="56" spans="1:115" ht="24" customHeight="1" thickBot="1" x14ac:dyDescent="0.35">
      <c r="C56" s="321"/>
      <c r="R56" s="71"/>
      <c r="BL56" s="32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98 CT80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1:AK112"/>
  <sheetViews>
    <sheetView tabSelected="1" topLeftCell="B1" zoomScale="85" zoomScaleNormal="85" workbookViewId="0">
      <selection activeCell="AA26" sqref="AA26"/>
    </sheetView>
  </sheetViews>
  <sheetFormatPr defaultRowHeight="15" x14ac:dyDescent="0.25"/>
  <cols>
    <col min="1" max="3" width="14.85546875" style="192" customWidth="1"/>
    <col min="4" max="4" width="33.140625" style="195" customWidth="1"/>
    <col min="5" max="6" width="11.42578125" style="195" hidden="1" customWidth="1"/>
    <col min="7" max="7" width="13.5703125" style="195" customWidth="1"/>
    <col min="8" max="8" width="12.140625" style="195" hidden="1" customWidth="1"/>
    <col min="9" max="9" width="13.7109375" style="195" customWidth="1"/>
    <col min="10" max="10" width="13.42578125" style="195" hidden="1" customWidth="1"/>
    <col min="11" max="11" width="13" style="195" bestFit="1" customWidth="1"/>
    <col min="12" max="12" width="10.85546875" style="195" hidden="1" customWidth="1"/>
    <col min="13" max="13" width="12.28515625" style="195" bestFit="1" customWidth="1"/>
    <col min="14" max="14" width="11.7109375" style="195" hidden="1" customWidth="1"/>
    <col min="15" max="15" width="12.28515625" style="197" bestFit="1" customWidth="1"/>
    <col min="16" max="16" width="11.5703125" style="197" hidden="1" customWidth="1"/>
    <col min="17" max="17" width="13.85546875" style="197" bestFit="1" customWidth="1"/>
    <col min="18" max="18" width="10.42578125" style="197" hidden="1" customWidth="1"/>
    <col min="19" max="19" width="13.85546875" style="197" bestFit="1" customWidth="1"/>
    <col min="20" max="20" width="11" style="197" hidden="1" customWidth="1"/>
    <col min="21" max="21" width="15.42578125" style="192" customWidth="1"/>
    <col min="22" max="22" width="9.140625" style="195" hidden="1" customWidth="1"/>
    <col min="23" max="23" width="14.5703125" style="192" bestFit="1" customWidth="1"/>
    <col min="24" max="24" width="13.5703125" style="192" customWidth="1"/>
    <col min="25" max="25" width="14" style="192" customWidth="1"/>
    <col min="26" max="26" width="9.140625" style="195"/>
    <col min="27" max="27" width="29.7109375" style="197" customWidth="1"/>
    <col min="28" max="28" width="9.140625" style="195"/>
    <col min="29" max="29" width="28" style="197" bestFit="1" customWidth="1"/>
    <col min="30" max="30" width="14.28515625" style="195" bestFit="1" customWidth="1"/>
    <col min="31" max="31" width="9.140625" style="192"/>
    <col min="32" max="32" width="29.5703125" style="192" bestFit="1" customWidth="1"/>
    <col min="33" max="33" width="11.140625" style="192" bestFit="1" customWidth="1"/>
    <col min="34" max="34" width="10.7109375" style="192" bestFit="1" customWidth="1"/>
    <col min="35" max="35" width="9.5703125" style="192" bestFit="1" customWidth="1"/>
    <col min="36" max="36" width="5.42578125" style="192" bestFit="1" customWidth="1"/>
    <col min="37" max="37" width="15.140625" style="192" bestFit="1" customWidth="1"/>
    <col min="38" max="16384" width="9.140625" style="192"/>
  </cols>
  <sheetData>
    <row r="1" spans="1:37" x14ac:dyDescent="0.25">
      <c r="A1" s="285" t="s">
        <v>215</v>
      </c>
      <c r="B1" s="286">
        <f ca="1">TODAY()</f>
        <v>45349</v>
      </c>
    </row>
    <row r="2" spans="1:37" s="189" customFormat="1" x14ac:dyDescent="0.25">
      <c r="D2" s="258" t="s">
        <v>221</v>
      </c>
      <c r="E2" s="325" t="s">
        <v>204</v>
      </c>
      <c r="F2" s="326"/>
      <c r="G2" s="258" t="s">
        <v>280</v>
      </c>
      <c r="H2" s="325" t="s">
        <v>205</v>
      </c>
      <c r="I2" s="326"/>
      <c r="J2" s="258" t="s">
        <v>280</v>
      </c>
      <c r="K2" s="190" t="s">
        <v>20</v>
      </c>
      <c r="L2" s="190" t="s">
        <v>215</v>
      </c>
      <c r="M2" s="262" t="s">
        <v>211</v>
      </c>
      <c r="N2" s="262" t="s">
        <v>281</v>
      </c>
      <c r="O2" s="262" t="s">
        <v>210</v>
      </c>
      <c r="P2" s="262" t="s">
        <v>282</v>
      </c>
      <c r="Q2" s="262" t="s">
        <v>214</v>
      </c>
      <c r="R2" s="262" t="s">
        <v>283</v>
      </c>
      <c r="S2" s="190" t="s">
        <v>284</v>
      </c>
      <c r="T2" s="190" t="s">
        <v>285</v>
      </c>
      <c r="U2" s="322" t="s">
        <v>220</v>
      </c>
      <c r="V2" s="323"/>
      <c r="W2" s="323"/>
      <c r="X2" s="324"/>
      <c r="Z2" s="190"/>
      <c r="AA2" s="196"/>
      <c r="AB2" s="190"/>
      <c r="AC2" s="196"/>
      <c r="AD2" s="190"/>
    </row>
    <row r="3" spans="1:37" x14ac:dyDescent="0.25">
      <c r="D3" s="259" t="s">
        <v>209</v>
      </c>
      <c r="E3" s="287">
        <v>44334</v>
      </c>
      <c r="F3" s="287">
        <v>44460</v>
      </c>
      <c r="G3" s="260">
        <f>F3-E3-1</f>
        <v>125</v>
      </c>
      <c r="H3" s="287">
        <f>F3</f>
        <v>44460</v>
      </c>
      <c r="I3" s="287">
        <v>44546</v>
      </c>
      <c r="J3" s="260">
        <f>I3-H3+1</f>
        <v>87</v>
      </c>
      <c r="K3" s="194">
        <f ca="1">L3-H3+1</f>
        <v>890</v>
      </c>
      <c r="L3" s="193">
        <f ca="1">$B$1</f>
        <v>45349</v>
      </c>
      <c r="M3" s="264">
        <v>0.91300000000000003</v>
      </c>
      <c r="N3" s="264">
        <v>0.63100000000000001</v>
      </c>
      <c r="O3" s="264">
        <v>0.71099999999999997</v>
      </c>
      <c r="P3" s="264">
        <v>0.83899999999999997</v>
      </c>
      <c r="Q3" s="264">
        <v>0.63100000000000001</v>
      </c>
      <c r="R3" s="265">
        <f>AVERAGE(M3:P3)</f>
        <v>0.77349999999999997</v>
      </c>
      <c r="S3" s="199">
        <f>MAX(M3:Q3)</f>
        <v>0.91300000000000003</v>
      </c>
      <c r="T3" s="199">
        <f>MIN(M3:Q3)</f>
        <v>0.63100000000000001</v>
      </c>
      <c r="U3" s="200">
        <f t="shared" ref="U3:X6" si="0">M3/$J$3</f>
        <v>1.0494252873563219E-2</v>
      </c>
      <c r="V3" s="229">
        <f t="shared" si="0"/>
        <v>7.2528735632183912E-3</v>
      </c>
      <c r="W3" s="200">
        <f t="shared" si="0"/>
        <v>8.1724137931034474E-3</v>
      </c>
      <c r="X3" s="200">
        <f t="shared" si="0"/>
        <v>9.6436781609195391E-3</v>
      </c>
    </row>
    <row r="4" spans="1:37" x14ac:dyDescent="0.25">
      <c r="D4" s="259" t="s">
        <v>207</v>
      </c>
      <c r="E4" s="287">
        <f>I3</f>
        <v>44546</v>
      </c>
      <c r="F4" s="287">
        <v>44616</v>
      </c>
      <c r="G4" s="260">
        <f t="shared" ref="G4:G7" si="1">F4-E4-1</f>
        <v>69</v>
      </c>
      <c r="H4" s="287">
        <f>F4</f>
        <v>44616</v>
      </c>
      <c r="I4" s="287">
        <v>44719</v>
      </c>
      <c r="J4" s="260">
        <f t="shared" ref="J4:J7" si="2">I4-H4+1</f>
        <v>104</v>
      </c>
      <c r="K4" s="194">
        <f ca="1">L4-H4</f>
        <v>733</v>
      </c>
      <c r="L4" s="193">
        <f t="shared" ref="L4:L7" ca="1" si="3">$B$1</f>
        <v>45349</v>
      </c>
      <c r="M4" s="266">
        <v>0.99</v>
      </c>
      <c r="N4" s="264">
        <v>0.52500000000000002</v>
      </c>
      <c r="O4" s="264">
        <v>0.89600000000000002</v>
      </c>
      <c r="P4" s="264">
        <v>0.1593</v>
      </c>
      <c r="Q4" s="264">
        <v>0.51700000000000002</v>
      </c>
      <c r="R4" s="265">
        <f>AVERAGE(M4:P4)</f>
        <v>0.64257500000000001</v>
      </c>
      <c r="S4" s="199">
        <f t="shared" ref="S4:S7" si="4">MAX(M4:Q4)</f>
        <v>0.99</v>
      </c>
      <c r="T4" s="199">
        <f t="shared" ref="T4:T7" si="5">MIN(M4:Q4)</f>
        <v>0.1593</v>
      </c>
      <c r="U4" s="200">
        <f t="shared" si="0"/>
        <v>1.1379310344827587E-2</v>
      </c>
      <c r="V4" s="229">
        <f t="shared" si="0"/>
        <v>6.0344827586206896E-3</v>
      </c>
      <c r="W4" s="200">
        <f t="shared" si="0"/>
        <v>1.0298850574712644E-2</v>
      </c>
      <c r="X4" s="200">
        <f t="shared" si="0"/>
        <v>1.8310344827586207E-3</v>
      </c>
    </row>
    <row r="5" spans="1:37" x14ac:dyDescent="0.25">
      <c r="D5" s="259" t="s">
        <v>208</v>
      </c>
      <c r="E5" s="287">
        <f>I4</f>
        <v>44719</v>
      </c>
      <c r="F5" s="287">
        <v>44789</v>
      </c>
      <c r="G5" s="260">
        <f t="shared" si="1"/>
        <v>69</v>
      </c>
      <c r="H5" s="287">
        <f>F5</f>
        <v>44789</v>
      </c>
      <c r="I5" s="287">
        <v>44922</v>
      </c>
      <c r="J5" s="260">
        <f t="shared" si="2"/>
        <v>134</v>
      </c>
      <c r="K5" s="194">
        <f ca="1">L5-H5</f>
        <v>560</v>
      </c>
      <c r="L5" s="193">
        <f t="shared" ca="1" si="3"/>
        <v>45349</v>
      </c>
      <c r="M5" s="265">
        <v>1.2</v>
      </c>
      <c r="N5" s="265">
        <v>0.97399999999999998</v>
      </c>
      <c r="O5" s="265">
        <v>0.78700000000000003</v>
      </c>
      <c r="P5" s="265">
        <v>0.73699999999999999</v>
      </c>
      <c r="Q5" s="265">
        <v>0.95499999999999996</v>
      </c>
      <c r="R5" s="265">
        <f>AVERAGE(M5:P5)</f>
        <v>0.92449999999999999</v>
      </c>
      <c r="S5" s="199">
        <f t="shared" si="4"/>
        <v>1.2</v>
      </c>
      <c r="T5" s="199">
        <f t="shared" si="5"/>
        <v>0.73699999999999999</v>
      </c>
      <c r="U5" s="200">
        <f t="shared" si="0"/>
        <v>1.3793103448275862E-2</v>
      </c>
      <c r="V5" s="229">
        <f t="shared" si="0"/>
        <v>1.1195402298850575E-2</v>
      </c>
      <c r="W5" s="200">
        <f t="shared" si="0"/>
        <v>9.0459770114942537E-3</v>
      </c>
      <c r="X5" s="200">
        <f t="shared" si="0"/>
        <v>8.471264367816091E-3</v>
      </c>
      <c r="AA5" s="197" t="s">
        <v>268</v>
      </c>
      <c r="AC5" s="197" t="s">
        <v>267</v>
      </c>
    </row>
    <row r="6" spans="1:37" x14ac:dyDescent="0.25">
      <c r="D6" s="259" t="s">
        <v>206</v>
      </c>
      <c r="E6" s="287">
        <f>I5</f>
        <v>44922</v>
      </c>
      <c r="F6" s="287">
        <v>45055</v>
      </c>
      <c r="G6" s="260">
        <f t="shared" si="1"/>
        <v>132</v>
      </c>
      <c r="H6" s="287">
        <f>F6</f>
        <v>45055</v>
      </c>
      <c r="I6" s="287">
        <v>45180</v>
      </c>
      <c r="J6" s="260">
        <f t="shared" si="2"/>
        <v>126</v>
      </c>
      <c r="K6" s="194">
        <f ca="1">L6-H6</f>
        <v>294</v>
      </c>
      <c r="L6" s="193">
        <f t="shared" ca="1" si="3"/>
        <v>45349</v>
      </c>
      <c r="M6" s="267">
        <v>0.56599999999999995</v>
      </c>
      <c r="N6" s="267">
        <v>0.80400000000000005</v>
      </c>
      <c r="O6" s="265">
        <v>0.92300000000000004</v>
      </c>
      <c r="P6" s="267">
        <v>0.65600000000000003</v>
      </c>
      <c r="Q6" s="267">
        <v>0.64300000000000002</v>
      </c>
      <c r="R6" s="265">
        <f>AVERAGE(M6:P6)</f>
        <v>0.73725000000000007</v>
      </c>
      <c r="S6" s="199">
        <f t="shared" si="4"/>
        <v>0.92300000000000004</v>
      </c>
      <c r="T6" s="199">
        <f t="shared" si="5"/>
        <v>0.56599999999999995</v>
      </c>
      <c r="U6" s="200">
        <f t="shared" si="0"/>
        <v>6.5057471264367813E-3</v>
      </c>
      <c r="V6" s="229">
        <f t="shared" si="0"/>
        <v>9.2413793103448289E-3</v>
      </c>
      <c r="W6" s="200">
        <f t="shared" si="0"/>
        <v>1.0609195402298851E-2</v>
      </c>
      <c r="X6" s="200">
        <f t="shared" si="0"/>
        <v>7.5402298850574716E-3</v>
      </c>
    </row>
    <row r="7" spans="1:37" x14ac:dyDescent="0.25">
      <c r="D7" s="259" t="s">
        <v>256</v>
      </c>
      <c r="E7" s="287">
        <f>I6</f>
        <v>45180</v>
      </c>
      <c r="F7" s="287">
        <v>45286</v>
      </c>
      <c r="G7" s="260">
        <f t="shared" si="1"/>
        <v>105</v>
      </c>
      <c r="H7" s="287">
        <f>F7</f>
        <v>45286</v>
      </c>
      <c r="I7" s="287">
        <v>45346</v>
      </c>
      <c r="J7" s="260">
        <f t="shared" si="2"/>
        <v>61</v>
      </c>
      <c r="K7" s="194">
        <f ca="1">L7-H7</f>
        <v>63</v>
      </c>
      <c r="L7" s="193">
        <f t="shared" ca="1" si="3"/>
        <v>45349</v>
      </c>
      <c r="M7" s="263">
        <f>AVERAGE(M3:M6)</f>
        <v>0.9172499999999999</v>
      </c>
      <c r="N7" s="263">
        <f t="shared" ref="N7:R7" si="6">AVERAGE(N3:N6)</f>
        <v>0.73350000000000004</v>
      </c>
      <c r="O7" s="263">
        <f t="shared" si="6"/>
        <v>0.82925000000000004</v>
      </c>
      <c r="P7" s="263">
        <f t="shared" si="6"/>
        <v>0.59782500000000005</v>
      </c>
      <c r="Q7" s="263">
        <f t="shared" si="6"/>
        <v>0.68650000000000011</v>
      </c>
      <c r="R7" s="263">
        <f t="shared" si="6"/>
        <v>0.76945624999999995</v>
      </c>
      <c r="S7" s="261">
        <f t="shared" si="4"/>
        <v>0.9172499999999999</v>
      </c>
      <c r="T7" s="261">
        <f t="shared" si="5"/>
        <v>0.59782500000000005</v>
      </c>
      <c r="U7" s="201">
        <f>AVERAGE(U3:U6)</f>
        <v>1.0543103448275862E-2</v>
      </c>
      <c r="V7" s="227">
        <f t="shared" ref="V7:X7" si="7">AVERAGE(V3:V6)</f>
        <v>8.43103448275862E-3</v>
      </c>
      <c r="W7" s="201">
        <f t="shared" si="7"/>
        <v>9.5316091954022984E-3</v>
      </c>
      <c r="X7" s="201">
        <f t="shared" si="7"/>
        <v>6.8715517241379302E-3</v>
      </c>
    </row>
    <row r="8" spans="1:37" x14ac:dyDescent="0.25">
      <c r="D8" s="257"/>
      <c r="E8" s="257"/>
      <c r="F8" s="256" t="s">
        <v>203</v>
      </c>
      <c r="G8" s="256">
        <f>AVERAGE(G3:G7)</f>
        <v>100</v>
      </c>
      <c r="H8" s="257"/>
      <c r="I8" s="257"/>
      <c r="J8" s="256">
        <f>AVERAGE(J3:J7)</f>
        <v>102.4</v>
      </c>
      <c r="K8" s="257"/>
    </row>
    <row r="9" spans="1:37" s="268" customFormat="1" x14ac:dyDescent="0.25">
      <c r="D9" s="269"/>
      <c r="E9" s="269"/>
      <c r="F9" s="270"/>
      <c r="G9" s="271"/>
      <c r="H9" s="272"/>
      <c r="I9" s="273"/>
      <c r="J9" s="270"/>
      <c r="K9" s="274"/>
      <c r="L9" s="275"/>
      <c r="M9" s="276"/>
      <c r="N9" s="277"/>
      <c r="O9" s="278"/>
      <c r="P9" s="279"/>
      <c r="Q9" s="280"/>
      <c r="R9" s="281"/>
      <c r="S9" s="278"/>
      <c r="T9" s="279"/>
      <c r="U9" s="282"/>
      <c r="V9" s="277"/>
      <c r="W9" s="283"/>
      <c r="X9" s="284"/>
      <c r="Y9" s="282"/>
      <c r="Z9" s="277"/>
      <c r="AA9" s="281"/>
      <c r="AB9" s="277"/>
      <c r="AC9" s="281"/>
      <c r="AD9" s="277"/>
    </row>
    <row r="10" spans="1:37" x14ac:dyDescent="0.25">
      <c r="G10" s="333" t="s">
        <v>209</v>
      </c>
      <c r="H10" s="334"/>
      <c r="I10" s="335"/>
      <c r="K10" s="333" t="s">
        <v>207</v>
      </c>
      <c r="L10" s="334"/>
      <c r="M10" s="335"/>
      <c r="O10" s="333" t="s">
        <v>208</v>
      </c>
      <c r="P10" s="334"/>
      <c r="Q10" s="335"/>
      <c r="S10" s="333" t="s">
        <v>206</v>
      </c>
      <c r="T10" s="334"/>
      <c r="U10" s="335"/>
      <c r="W10" s="333" t="s">
        <v>256</v>
      </c>
      <c r="X10" s="334"/>
      <c r="Y10" s="335"/>
    </row>
    <row r="11" spans="1:37" x14ac:dyDescent="0.25">
      <c r="E11" s="327" t="s">
        <v>209</v>
      </c>
      <c r="F11" s="328"/>
      <c r="G11" s="329"/>
      <c r="I11" s="327" t="s">
        <v>207</v>
      </c>
      <c r="J11" s="328"/>
      <c r="K11" s="329"/>
      <c r="M11" s="327" t="s">
        <v>208</v>
      </c>
      <c r="N11" s="328"/>
      <c r="O11" s="329"/>
      <c r="Q11" s="330" t="s">
        <v>206</v>
      </c>
      <c r="R11" s="331"/>
      <c r="S11" s="332"/>
      <c r="U11" s="327" t="s">
        <v>256</v>
      </c>
      <c r="V11" s="328"/>
      <c r="W11" s="329"/>
    </row>
    <row r="12" spans="1:37" x14ac:dyDescent="0.25">
      <c r="A12" s="197"/>
      <c r="B12" s="197"/>
      <c r="C12" s="197"/>
      <c r="D12" s="253" t="s">
        <v>289</v>
      </c>
      <c r="E12" s="249" t="s">
        <v>236</v>
      </c>
      <c r="F12" s="249"/>
      <c r="G12" s="249" t="s">
        <v>226</v>
      </c>
      <c r="H12" s="249"/>
      <c r="I12" s="249" t="s">
        <v>225</v>
      </c>
      <c r="J12" s="249"/>
      <c r="K12" s="249" t="s">
        <v>224</v>
      </c>
      <c r="L12" s="249"/>
      <c r="M12" s="249" t="s">
        <v>223</v>
      </c>
      <c r="N12" s="249"/>
      <c r="O12" s="249" t="s">
        <v>222</v>
      </c>
      <c r="P12" s="249"/>
      <c r="Q12" s="249">
        <v>1814.8</v>
      </c>
      <c r="R12" s="249"/>
      <c r="S12" s="249">
        <v>2030.5</v>
      </c>
      <c r="T12" s="249"/>
      <c r="U12" s="249">
        <v>1911.3</v>
      </c>
      <c r="V12" s="249"/>
      <c r="W12" s="249">
        <v>2058.1999999999998</v>
      </c>
      <c r="X12" s="225"/>
      <c r="Y12" s="225">
        <v>2045.8</v>
      </c>
    </row>
    <row r="13" spans="1:37" x14ac:dyDescent="0.25">
      <c r="A13" s="197"/>
      <c r="B13" s="197"/>
      <c r="C13" s="197"/>
      <c r="D13" s="253" t="s">
        <v>286</v>
      </c>
      <c r="E13" s="249"/>
      <c r="F13" s="249"/>
      <c r="G13" s="289">
        <f>1776.7/1805.6-1</f>
        <v>-1.6005759858218838E-2</v>
      </c>
      <c r="H13" s="249"/>
      <c r="I13" s="289">
        <f>1796.6/1776.7-1</f>
        <v>1.1200540327573449E-2</v>
      </c>
      <c r="J13" s="249"/>
      <c r="K13" s="289">
        <f>1925.1/1796.6-1</f>
        <v>7.1523989758432549E-2</v>
      </c>
      <c r="L13" s="250"/>
      <c r="M13" s="250">
        <f>1740.6/1925.1-1</f>
        <v>-9.5839177185600755E-2</v>
      </c>
      <c r="N13" s="250"/>
      <c r="O13" s="289">
        <f>1760.3/1740.6-1</f>
        <v>1.1317936343789414E-2</v>
      </c>
      <c r="P13" s="250"/>
      <c r="Q13" s="289">
        <f>1814.8/1760.3-1</f>
        <v>3.0960631710503783E-2</v>
      </c>
      <c r="R13" s="250"/>
      <c r="S13" s="289">
        <f>2030.5/1814-1</f>
        <v>0.11934950385887544</v>
      </c>
      <c r="T13" s="250"/>
      <c r="U13" s="289">
        <f>1911.3/2030.5-1</f>
        <v>-5.8704752524008863E-2</v>
      </c>
      <c r="V13" s="250"/>
      <c r="W13" s="289">
        <f>2058.2/1911.3-1</f>
        <v>7.6858682572071402E-2</v>
      </c>
      <c r="X13" s="250"/>
      <c r="Y13" s="250">
        <f>2045.8/2058-1</f>
        <v>-5.9280855199222993E-3</v>
      </c>
      <c r="AF13" s="190" t="s">
        <v>247</v>
      </c>
      <c r="AG13" s="190" t="s">
        <v>241</v>
      </c>
      <c r="AH13" s="190" t="s">
        <v>242</v>
      </c>
      <c r="AI13" s="232" t="s">
        <v>239</v>
      </c>
      <c r="AJ13" s="190" t="s">
        <v>240</v>
      </c>
      <c r="AK13" s="232" t="s">
        <v>255</v>
      </c>
    </row>
    <row r="14" spans="1:37" x14ac:dyDescent="0.25">
      <c r="A14" s="197"/>
      <c r="B14" s="197"/>
      <c r="C14" s="197"/>
      <c r="D14" s="253" t="s">
        <v>288</v>
      </c>
      <c r="E14" s="249">
        <f>1805.6*8.425</f>
        <v>15212.18</v>
      </c>
      <c r="F14" s="249"/>
      <c r="G14" s="288">
        <f>1776.7*8.62</f>
        <v>15315.153999999999</v>
      </c>
      <c r="H14" s="249"/>
      <c r="I14" s="288">
        <f>1796.6*14.8141</f>
        <v>26615.012059999997</v>
      </c>
      <c r="J14" s="249"/>
      <c r="K14" s="288">
        <f>1925.1*13.82</f>
        <v>26604.881999999998</v>
      </c>
      <c r="L14" s="288"/>
      <c r="M14" s="288">
        <f>1740.6*17.2125</f>
        <v>29960.077499999996</v>
      </c>
      <c r="N14" s="288"/>
      <c r="O14" s="288">
        <f>1760.3*17.9063</f>
        <v>31520.459890000002</v>
      </c>
      <c r="P14" s="288"/>
      <c r="Q14" s="288">
        <f>1814.8*18.656</f>
        <v>33856.908799999997</v>
      </c>
      <c r="R14" s="288"/>
      <c r="S14" s="288">
        <f>2030.5*19.52</f>
        <v>39635.360000000001</v>
      </c>
      <c r="T14" s="288"/>
      <c r="U14" s="288">
        <f>1911.3*26.8669</f>
        <v>51350.705970000003</v>
      </c>
      <c r="V14" s="288"/>
      <c r="W14" s="288">
        <f>2058.2*29.31</f>
        <v>60325.84199999999</v>
      </c>
      <c r="X14" s="288"/>
      <c r="Y14" s="288">
        <f>2045.82*31.0415</f>
        <v>63505.321529999994</v>
      </c>
      <c r="AD14" s="197"/>
      <c r="AF14" s="190" t="s">
        <v>251</v>
      </c>
      <c r="AG14" s="228">
        <v>44922</v>
      </c>
      <c r="AH14" s="193">
        <v>45286</v>
      </c>
      <c r="AI14" s="227">
        <v>0.49</v>
      </c>
      <c r="AJ14" s="195"/>
      <c r="AK14" s="218"/>
    </row>
    <row r="15" spans="1:37" x14ac:dyDescent="0.25">
      <c r="A15" s="197"/>
      <c r="B15" s="197"/>
      <c r="C15" s="197"/>
      <c r="D15" s="253" t="s">
        <v>287</v>
      </c>
      <c r="E15" s="249"/>
      <c r="F15" s="249"/>
      <c r="G15" s="289">
        <f>G14/E14-1</f>
        <v>6.7691810115313444E-3</v>
      </c>
      <c r="H15" s="249"/>
      <c r="I15" s="289">
        <f>I14/G14-1</f>
        <v>0.73782203300077809</v>
      </c>
      <c r="J15" s="249"/>
      <c r="K15" s="289">
        <f>K14/I14-1</f>
        <v>-3.8061451849669137E-4</v>
      </c>
      <c r="L15" s="250"/>
      <c r="M15" s="289">
        <f>M14/K14-1</f>
        <v>0.12611202334969951</v>
      </c>
      <c r="N15" s="250"/>
      <c r="O15" s="289">
        <f>O14/M14-1</f>
        <v>5.2082054527395893E-2</v>
      </c>
      <c r="P15" s="250"/>
      <c r="Q15" s="289">
        <f>Q14/O14-1</f>
        <v>7.4124835683036627E-2</v>
      </c>
      <c r="R15" s="250"/>
      <c r="S15" s="289">
        <f>S14/Q14-1</f>
        <v>0.17067273430467478</v>
      </c>
      <c r="T15" s="250"/>
      <c r="U15" s="289">
        <f>U14/S14-1</f>
        <v>0.2955781395703232</v>
      </c>
      <c r="V15" s="250"/>
      <c r="W15" s="289">
        <f>W14/U14-1</f>
        <v>0.17478116143609435</v>
      </c>
      <c r="X15" s="250"/>
      <c r="Y15" s="250">
        <f>Y14/W14-1</f>
        <v>5.2705099913897602E-2</v>
      </c>
      <c r="AC15" s="197">
        <f>AA18-AA16</f>
        <v>1371</v>
      </c>
      <c r="AD15" s="197">
        <f ca="1">AC15+AD18</f>
        <v>2260</v>
      </c>
      <c r="AF15" s="190" t="s">
        <v>250</v>
      </c>
      <c r="AG15" s="228">
        <v>44546</v>
      </c>
      <c r="AH15" s="193">
        <v>45286</v>
      </c>
      <c r="AI15" s="227"/>
      <c r="AJ15" s="195"/>
      <c r="AK15" s="218"/>
    </row>
    <row r="16" spans="1:37" x14ac:dyDescent="0.25">
      <c r="A16" s="197"/>
      <c r="B16" s="197"/>
      <c r="C16" s="197"/>
      <c r="D16" s="246" t="s">
        <v>137</v>
      </c>
      <c r="E16" s="249" t="s">
        <v>235</v>
      </c>
      <c r="F16" s="249"/>
      <c r="G16" s="249" t="s">
        <v>234</v>
      </c>
      <c r="H16" s="249"/>
      <c r="I16" s="249" t="s">
        <v>233</v>
      </c>
      <c r="J16" s="249"/>
      <c r="K16" s="249" t="s">
        <v>232</v>
      </c>
      <c r="L16" s="249"/>
      <c r="M16" s="249" t="s">
        <v>231</v>
      </c>
      <c r="N16" s="249"/>
      <c r="O16" s="249" t="s">
        <v>230</v>
      </c>
      <c r="P16" s="249"/>
      <c r="Q16" s="249" t="s">
        <v>229</v>
      </c>
      <c r="R16" s="249"/>
      <c r="S16" s="249" t="s">
        <v>228</v>
      </c>
      <c r="T16" s="249"/>
      <c r="U16" s="249" t="s">
        <v>227</v>
      </c>
      <c r="V16" s="249"/>
      <c r="W16" s="249">
        <v>29.311399999999999</v>
      </c>
      <c r="X16" s="225"/>
      <c r="Y16" s="225">
        <v>31.041499999999999</v>
      </c>
      <c r="AA16" s="228">
        <v>43089</v>
      </c>
      <c r="AC16" s="197">
        <f t="shared" ref="AC16:AC17" si="8">AA17-AA16</f>
        <v>365</v>
      </c>
      <c r="AD16" s="197">
        <f t="shared" ref="AD16:AD17" ca="1" si="9">AC16+AD17</f>
        <v>2260</v>
      </c>
      <c r="AF16" s="190" t="s">
        <v>250</v>
      </c>
      <c r="AG16" s="228">
        <v>44460</v>
      </c>
      <c r="AH16" s="193">
        <v>45286</v>
      </c>
      <c r="AI16" s="227"/>
      <c r="AJ16" s="195"/>
      <c r="AK16" s="218"/>
    </row>
    <row r="17" spans="1:37" x14ac:dyDescent="0.25">
      <c r="A17" s="197"/>
      <c r="B17" s="197"/>
      <c r="C17" s="197"/>
      <c r="D17" s="246" t="s">
        <v>274</v>
      </c>
      <c r="E17" s="249"/>
      <c r="F17" s="249"/>
      <c r="G17" s="289">
        <f>8.62/8.42-1</f>
        <v>2.375296912114E-2</v>
      </c>
      <c r="H17" s="249"/>
      <c r="I17" s="290">
        <f>14.81/8.62-1</f>
        <v>0.71809744779582396</v>
      </c>
      <c r="J17" s="214"/>
      <c r="K17" s="290">
        <f>13.8205/14.8141-1</f>
        <v>-6.7071236187146055E-2</v>
      </c>
      <c r="L17" s="214"/>
      <c r="M17" s="289">
        <f>17.21/13.82-1</f>
        <v>0.24529667149059331</v>
      </c>
      <c r="N17" s="214"/>
      <c r="O17" s="290">
        <f>17.9063/17.2125-1</f>
        <v>4.0307915758896362E-2</v>
      </c>
      <c r="P17" s="214"/>
      <c r="Q17" s="290">
        <f>18.65/17.9-1</f>
        <v>4.1899441340782051E-2</v>
      </c>
      <c r="R17" s="214"/>
      <c r="S17" s="290">
        <f>19.52/18.65-1</f>
        <v>4.6648793565683633E-2</v>
      </c>
      <c r="T17" s="214"/>
      <c r="U17" s="290">
        <f>26.87/19.52-1</f>
        <v>0.37653688524590168</v>
      </c>
      <c r="V17" s="230"/>
      <c r="W17" s="290">
        <f>29.31/26.86-1</f>
        <v>9.1213700670141451E-2</v>
      </c>
      <c r="X17" s="225"/>
      <c r="Y17" s="224">
        <f>31.041/29.31-1</f>
        <v>5.905834186284542E-2</v>
      </c>
      <c r="AA17" s="228">
        <f>AA16+365</f>
        <v>43454</v>
      </c>
      <c r="AC17" s="197">
        <f t="shared" si="8"/>
        <v>1006</v>
      </c>
      <c r="AD17" s="197">
        <f t="shared" ca="1" si="9"/>
        <v>1895</v>
      </c>
      <c r="AF17" s="195"/>
      <c r="AG17" s="190"/>
      <c r="AH17" s="190"/>
      <c r="AI17" s="218"/>
      <c r="AJ17" s="195"/>
      <c r="AK17" s="218"/>
    </row>
    <row r="18" spans="1:37" x14ac:dyDescent="0.25">
      <c r="A18" s="197"/>
      <c r="B18" s="197"/>
      <c r="C18" s="197"/>
      <c r="D18" s="251" t="s">
        <v>271</v>
      </c>
      <c r="E18" s="249">
        <v>1459.6</v>
      </c>
      <c r="F18" s="249"/>
      <c r="G18" s="249">
        <v>1385.6</v>
      </c>
      <c r="H18" s="249"/>
      <c r="I18" s="249">
        <v>2278.6</v>
      </c>
      <c r="J18" s="249"/>
      <c r="K18" s="249">
        <v>1851.4</v>
      </c>
      <c r="L18" s="249"/>
      <c r="M18" s="249">
        <v>2648.2</v>
      </c>
      <c r="N18" s="249"/>
      <c r="O18" s="249">
        <v>2913.3</v>
      </c>
      <c r="P18" s="249"/>
      <c r="Q18" s="249">
        <v>5434.5</v>
      </c>
      <c r="R18" s="249"/>
      <c r="S18" s="249">
        <v>4536.2</v>
      </c>
      <c r="T18" s="249"/>
      <c r="U18" s="249">
        <v>8146</v>
      </c>
      <c r="V18" s="249"/>
      <c r="W18" s="249">
        <v>7299</v>
      </c>
      <c r="X18" s="225"/>
      <c r="Y18" s="225">
        <v>9274.2000000000007</v>
      </c>
      <c r="AA18" s="228">
        <f>G31</f>
        <v>44460</v>
      </c>
      <c r="AC18" s="197">
        <f t="shared" ref="AC16:AC25" si="10">AA19-AA18</f>
        <v>86</v>
      </c>
      <c r="AD18" s="197">
        <f t="shared" ref="AD16:AD24" ca="1" si="11">AC18+AD19</f>
        <v>889</v>
      </c>
      <c r="AF18" s="190" t="s">
        <v>253</v>
      </c>
      <c r="AG18" s="233">
        <f>H6</f>
        <v>45055</v>
      </c>
      <c r="AH18" s="193">
        <f>AH19</f>
        <v>45286</v>
      </c>
      <c r="AI18" s="227">
        <f>W41/S41-1</f>
        <v>0.83980420055643479</v>
      </c>
      <c r="AJ18" s="195">
        <f>AH18-AG18</f>
        <v>231</v>
      </c>
      <c r="AK18" s="229">
        <f>AI18/AJ18</f>
        <v>3.635516019724826E-3</v>
      </c>
    </row>
    <row r="19" spans="1:37" x14ac:dyDescent="0.25">
      <c r="A19" s="197"/>
      <c r="B19" s="197"/>
      <c r="C19" s="197"/>
      <c r="D19" s="251" t="s">
        <v>272</v>
      </c>
      <c r="E19" s="249"/>
      <c r="F19" s="249"/>
      <c r="G19" s="289">
        <f>G18/E18-1</f>
        <v>-5.0698821594957533E-2</v>
      </c>
      <c r="H19" s="249"/>
      <c r="I19" s="289">
        <f>I18/G18-1</f>
        <v>0.64448614318706698</v>
      </c>
      <c r="J19" s="249"/>
      <c r="K19" s="289">
        <f>K18/I18-1</f>
        <v>-0.18748354252611243</v>
      </c>
      <c r="L19" s="249"/>
      <c r="M19" s="289">
        <f>M18/K18-1</f>
        <v>0.4303770119909256</v>
      </c>
      <c r="N19" s="249"/>
      <c r="O19" s="289">
        <f>O18/M18-1</f>
        <v>0.10010573219545371</v>
      </c>
      <c r="P19" s="249"/>
      <c r="Q19" s="289">
        <f>Q18/O18-1</f>
        <v>0.86541035938626298</v>
      </c>
      <c r="R19" s="249"/>
      <c r="S19" s="289">
        <f>S18/Q18-1</f>
        <v>-0.16529579538135986</v>
      </c>
      <c r="T19" s="249"/>
      <c r="U19" s="289">
        <f>U18/S18-1</f>
        <v>0.79577620034390018</v>
      </c>
      <c r="V19" s="249"/>
      <c r="W19" s="289">
        <f>W18/U18-1</f>
        <v>-0.10397741222685986</v>
      </c>
      <c r="X19" s="225"/>
      <c r="Y19" s="250">
        <f>Y18/W18-1</f>
        <v>0.27061241265926839</v>
      </c>
      <c r="AA19" s="228">
        <f>I31</f>
        <v>44546</v>
      </c>
      <c r="AC19" s="197">
        <f t="shared" si="10"/>
        <v>70</v>
      </c>
      <c r="AD19" s="197">
        <f t="shared" ca="1" si="11"/>
        <v>803</v>
      </c>
      <c r="AF19" s="234" t="s">
        <v>253</v>
      </c>
      <c r="AG19" s="235">
        <f>Q31</f>
        <v>44922</v>
      </c>
      <c r="AH19" s="236">
        <f>W31</f>
        <v>45286</v>
      </c>
      <c r="AI19" s="237">
        <f>W41/Q41-1</f>
        <v>1.1544993203623513</v>
      </c>
      <c r="AJ19" s="238">
        <f>AH19-AG19</f>
        <v>364</v>
      </c>
      <c r="AK19" s="239">
        <f>AI19/AJ19</f>
        <v>3.1717014295668988E-3</v>
      </c>
    </row>
    <row r="20" spans="1:37" x14ac:dyDescent="0.25">
      <c r="A20" s="197"/>
      <c r="B20" s="197"/>
      <c r="C20" s="197"/>
      <c r="D20" s="252" t="s">
        <v>139</v>
      </c>
      <c r="E20" s="249">
        <f>1459.6/8.42</f>
        <v>173.34916864608076</v>
      </c>
      <c r="F20" s="249"/>
      <c r="G20" s="249">
        <f>1386.6/8.62</f>
        <v>160.85846867749422</v>
      </c>
      <c r="H20" s="249"/>
      <c r="I20" s="249">
        <f>2278.6/14.81</f>
        <v>153.85550303848748</v>
      </c>
      <c r="J20" s="249"/>
      <c r="K20" s="249">
        <f>1851/13.82</f>
        <v>133.93632416787264</v>
      </c>
      <c r="L20" s="249"/>
      <c r="M20" s="249">
        <f>2648.2/17.21</f>
        <v>153.87565368971525</v>
      </c>
      <c r="N20" s="249"/>
      <c r="O20" s="249">
        <f>2913.3/17.9063</f>
        <v>162.69692789688546</v>
      </c>
      <c r="P20" s="249"/>
      <c r="Q20" s="249">
        <f>5434.5/18.65</f>
        <v>291.39410187667562</v>
      </c>
      <c r="R20" s="249"/>
      <c r="S20" s="249">
        <f>4536.2/19.52</f>
        <v>232.38729508196721</v>
      </c>
      <c r="T20" s="249"/>
      <c r="U20" s="249">
        <f>8146/26.87</f>
        <v>303.16337923334572</v>
      </c>
      <c r="V20" s="249"/>
      <c r="W20" s="249">
        <f>7299/29.31</f>
        <v>249.0276356192426</v>
      </c>
      <c r="X20" s="249"/>
      <c r="Y20" s="249">
        <f>Y18/Y16</f>
        <v>298.76777861894561</v>
      </c>
      <c r="AA20" s="228">
        <f>K31</f>
        <v>44616</v>
      </c>
      <c r="AC20" s="197">
        <f t="shared" si="10"/>
        <v>103</v>
      </c>
      <c r="AD20" s="197">
        <f t="shared" ca="1" si="11"/>
        <v>733</v>
      </c>
      <c r="AF20" s="190" t="s">
        <v>253</v>
      </c>
      <c r="AG20" s="228">
        <f>I31</f>
        <v>44546</v>
      </c>
      <c r="AH20" s="193">
        <f>W31</f>
        <v>45286</v>
      </c>
      <c r="AI20" s="227">
        <f>W41/I41-1</f>
        <v>8.917934935801453</v>
      </c>
      <c r="AJ20" s="195">
        <f>AH20-AG20</f>
        <v>740</v>
      </c>
      <c r="AK20" s="229">
        <f>AI20/AJ20</f>
        <v>1.205126342675872E-2</v>
      </c>
    </row>
    <row r="21" spans="1:37" x14ac:dyDescent="0.25">
      <c r="A21" s="197"/>
      <c r="B21" s="197"/>
      <c r="C21" s="197"/>
      <c r="D21" s="252" t="s">
        <v>273</v>
      </c>
      <c r="E21" s="249"/>
      <c r="F21" s="249"/>
      <c r="G21" s="289">
        <f>G20/E20-1</f>
        <v>-7.2055147804534592E-2</v>
      </c>
      <c r="H21" s="249"/>
      <c r="I21" s="289">
        <f>I20/G20-1</f>
        <v>-4.3534951542072764E-2</v>
      </c>
      <c r="J21" s="249"/>
      <c r="K21" s="289">
        <f>K20/I20-1</f>
        <v>-0.12946679499420954</v>
      </c>
      <c r="L21" s="249"/>
      <c r="M21" s="250">
        <f>M20/K20-1</f>
        <v>0.1488717093419043</v>
      </c>
      <c r="N21" s="249"/>
      <c r="O21" s="289">
        <f>O20/M20-1</f>
        <v>5.7327289897061817E-2</v>
      </c>
      <c r="P21" s="249"/>
      <c r="Q21" s="289">
        <f>Q20/O20-1</f>
        <v>0.79102399561813641</v>
      </c>
      <c r="R21" s="249"/>
      <c r="S21" s="289">
        <f>S20/Q20-1</f>
        <v>-0.20249828810770298</v>
      </c>
      <c r="T21" s="249"/>
      <c r="U21" s="289">
        <f>U20/S20-1</f>
        <v>0.30456090177569517</v>
      </c>
      <c r="V21" s="249"/>
      <c r="W21" s="289">
        <f>W20/U20-1</f>
        <v>-0.17856953485280513</v>
      </c>
      <c r="X21" s="225"/>
      <c r="Y21" s="250">
        <f>Y20/W20-1</f>
        <v>0.19973744229638246</v>
      </c>
      <c r="Z21" s="195">
        <v>6</v>
      </c>
      <c r="AA21" s="228">
        <f>M31</f>
        <v>44719</v>
      </c>
      <c r="AC21" s="197">
        <f t="shared" si="10"/>
        <v>70</v>
      </c>
      <c r="AD21" s="197">
        <f t="shared" ca="1" si="11"/>
        <v>630</v>
      </c>
      <c r="AF21" s="190" t="s">
        <v>253</v>
      </c>
      <c r="AG21" s="228">
        <f>H3</f>
        <v>44460</v>
      </c>
      <c r="AH21" s="193">
        <f>W31</f>
        <v>45286</v>
      </c>
      <c r="AI21" s="227">
        <f>W41/G41-1</f>
        <v>17.973009532188179</v>
      </c>
      <c r="AJ21" s="195">
        <f>AH21-AG21</f>
        <v>826</v>
      </c>
      <c r="AK21" s="229">
        <f>AI21/AJ21</f>
        <v>2.1759091443327095E-2</v>
      </c>
    </row>
    <row r="22" spans="1:37" x14ac:dyDescent="0.25">
      <c r="D22" s="253" t="s">
        <v>237</v>
      </c>
      <c r="E22" s="249">
        <v>489.22</v>
      </c>
      <c r="F22" s="221"/>
      <c r="G22" s="221">
        <v>492.44</v>
      </c>
      <c r="H22" s="221"/>
      <c r="I22" s="221">
        <v>855.78</v>
      </c>
      <c r="J22" s="221"/>
      <c r="K22" s="221">
        <v>855.46</v>
      </c>
      <c r="L22" s="221"/>
      <c r="M22" s="221">
        <v>963.2</v>
      </c>
      <c r="N22" s="221"/>
      <c r="O22" s="221">
        <v>1013.16</v>
      </c>
      <c r="P22" s="221"/>
      <c r="Q22" s="221">
        <v>1088.29</v>
      </c>
      <c r="R22" s="221"/>
      <c r="S22" s="221">
        <v>1274.44</v>
      </c>
      <c r="T22" s="221"/>
      <c r="U22" s="221">
        <v>1651.14</v>
      </c>
      <c r="V22" s="225"/>
      <c r="W22" s="221">
        <f>W16*W12/31.1</f>
        <v>1939.8303369774917</v>
      </c>
      <c r="X22" s="225"/>
      <c r="Y22" s="225">
        <v>2032</v>
      </c>
      <c r="Z22" s="195">
        <v>5</v>
      </c>
      <c r="AA22" s="228">
        <f>O31</f>
        <v>44789</v>
      </c>
      <c r="AC22" s="197">
        <f t="shared" si="10"/>
        <v>133</v>
      </c>
      <c r="AD22" s="197">
        <f t="shared" ca="1" si="11"/>
        <v>560</v>
      </c>
      <c r="AF22" s="190"/>
      <c r="AG22" s="228"/>
      <c r="AH22" s="193"/>
      <c r="AI22" s="227"/>
      <c r="AJ22" s="195"/>
      <c r="AK22" s="229"/>
    </row>
    <row r="23" spans="1:37" x14ac:dyDescent="0.25">
      <c r="D23" s="253" t="s">
        <v>270</v>
      </c>
      <c r="E23" s="225"/>
      <c r="F23" s="225"/>
      <c r="G23" s="290">
        <f>G22/E22-1</f>
        <v>6.5819058910101536E-3</v>
      </c>
      <c r="H23" s="225"/>
      <c r="I23" s="290">
        <f>I22/G22-1</f>
        <v>0.73783608155308267</v>
      </c>
      <c r="J23" s="225"/>
      <c r="K23" s="290">
        <f>K22/I22-1</f>
        <v>-3.739278786603073E-4</v>
      </c>
      <c r="L23" s="225"/>
      <c r="M23" s="224">
        <f>M22/K22-1</f>
        <v>0.12594393659551595</v>
      </c>
      <c r="N23" s="225"/>
      <c r="O23" s="290">
        <f>O22/M22-1</f>
        <v>5.1868770764119443E-2</v>
      </c>
      <c r="P23" s="203"/>
      <c r="Q23" s="290">
        <f>Q22/O22-1</f>
        <v>7.4154131627778508E-2</v>
      </c>
      <c r="R23" s="203"/>
      <c r="S23" s="290">
        <f>S22/Q22-1</f>
        <v>0.17104815811961904</v>
      </c>
      <c r="T23" s="203"/>
      <c r="U23" s="290">
        <f>U22/S22-1</f>
        <v>0.29558080411788712</v>
      </c>
      <c r="V23" s="225"/>
      <c r="W23" s="290">
        <f>W22/U22-1</f>
        <v>0.17484303994663786</v>
      </c>
      <c r="X23" s="225"/>
      <c r="Y23" s="224">
        <f>Y22/W22-1</f>
        <v>4.7514290948826199E-2</v>
      </c>
      <c r="Z23" s="195">
        <v>4</v>
      </c>
      <c r="AA23" s="228">
        <f>Q31</f>
        <v>44922</v>
      </c>
      <c r="AC23" s="197">
        <f t="shared" si="10"/>
        <v>133</v>
      </c>
      <c r="AD23" s="197">
        <f t="shared" ca="1" si="11"/>
        <v>427</v>
      </c>
      <c r="AF23" s="190" t="s">
        <v>269</v>
      </c>
      <c r="AG23" s="228">
        <f>AG18</f>
        <v>45055</v>
      </c>
      <c r="AH23" s="193">
        <f>AH18</f>
        <v>45286</v>
      </c>
      <c r="AI23" s="227"/>
      <c r="AJ23" s="195"/>
      <c r="AK23" s="229"/>
    </row>
    <row r="24" spans="1:37" x14ac:dyDescent="0.25">
      <c r="D24" s="254" t="s">
        <v>275</v>
      </c>
      <c r="E24" s="245"/>
      <c r="F24" s="245"/>
      <c r="G24" s="245">
        <v>0.97599999999999998</v>
      </c>
      <c r="H24" s="245"/>
      <c r="I24" s="245">
        <v>1.3007379999999999</v>
      </c>
      <c r="J24" s="245"/>
      <c r="K24" s="245">
        <v>1.000678</v>
      </c>
      <c r="L24" s="245"/>
      <c r="M24" s="245">
        <v>1.0451630000000001</v>
      </c>
      <c r="N24" s="245"/>
      <c r="O24" s="245">
        <v>1.2860879999999999</v>
      </c>
      <c r="P24" s="245"/>
      <c r="Q24" s="245">
        <v>0.96101899999999996</v>
      </c>
      <c r="R24" s="245"/>
      <c r="S24" s="245">
        <v>1.092848</v>
      </c>
      <c r="T24" s="221"/>
      <c r="U24" s="245">
        <v>1.694555</v>
      </c>
      <c r="V24" s="225"/>
      <c r="W24" s="245">
        <v>2.2938200000000002</v>
      </c>
      <c r="X24" s="225"/>
      <c r="Y24" s="225">
        <v>2.7143999999999999</v>
      </c>
      <c r="Z24" s="195">
        <v>3</v>
      </c>
      <c r="AA24" s="228">
        <f>S31</f>
        <v>45055</v>
      </c>
      <c r="AC24" s="197">
        <f t="shared" si="10"/>
        <v>125</v>
      </c>
      <c r="AD24" s="197">
        <f t="shared" ca="1" si="11"/>
        <v>294</v>
      </c>
      <c r="AF24" s="190"/>
      <c r="AG24" s="195"/>
      <c r="AH24" s="195"/>
      <c r="AI24" s="227"/>
      <c r="AJ24" s="195"/>
      <c r="AK24" s="195"/>
    </row>
    <row r="25" spans="1:37" x14ac:dyDescent="0.25">
      <c r="D25" s="254" t="s">
        <v>276</v>
      </c>
      <c r="E25" s="245"/>
      <c r="F25" s="245"/>
      <c r="G25" s="291"/>
      <c r="H25" s="245"/>
      <c r="I25" s="290">
        <f>I24/G24-1</f>
        <v>0.3327233606557376</v>
      </c>
      <c r="J25" s="224"/>
      <c r="K25" s="290">
        <f>K24/I24-1</f>
        <v>-0.23068442684076274</v>
      </c>
      <c r="L25" s="245"/>
      <c r="M25" s="224">
        <f>M24/K24-1</f>
        <v>4.4454859605187691E-2</v>
      </c>
      <c r="N25" s="245"/>
      <c r="O25" s="290">
        <f>O24/M24-1</f>
        <v>0.23051428341799296</v>
      </c>
      <c r="P25" s="245"/>
      <c r="Q25" s="290">
        <f>Q24/O24-1</f>
        <v>-0.25275797612605044</v>
      </c>
      <c r="R25" s="245"/>
      <c r="S25" s="290">
        <f>S24/Q24-1</f>
        <v>0.13717626810708228</v>
      </c>
      <c r="T25" s="221"/>
      <c r="U25" s="290">
        <f>U24/S24-1</f>
        <v>0.55058617483858696</v>
      </c>
      <c r="V25" s="225"/>
      <c r="W25" s="290">
        <f>W24/U24-1</f>
        <v>0.35364151650433318</v>
      </c>
      <c r="X25" s="225"/>
      <c r="Y25" s="224">
        <f>Y24/W24-1</f>
        <v>0.18335353253524667</v>
      </c>
      <c r="Z25" s="195">
        <v>2</v>
      </c>
      <c r="AA25" s="228">
        <f>U31</f>
        <v>45180</v>
      </c>
      <c r="AC25" s="197">
        <f t="shared" si="10"/>
        <v>106</v>
      </c>
      <c r="AD25" s="197">
        <f ca="1">AC25+AD26</f>
        <v>169</v>
      </c>
      <c r="AF25" s="190" t="s">
        <v>252</v>
      </c>
      <c r="AG25" s="193">
        <f t="shared" ref="AG25:AH28" si="12">AG18</f>
        <v>45055</v>
      </c>
      <c r="AH25" s="193">
        <f t="shared" si="12"/>
        <v>45286</v>
      </c>
      <c r="AI25" s="227">
        <f>W46/S46-1</f>
        <v>1.2592231658173847</v>
      </c>
      <c r="AJ25" s="195">
        <f>AH25-AG25</f>
        <v>231</v>
      </c>
      <c r="AK25" s="229">
        <f>AI25/AJ25</f>
        <v>5.4511825360059945E-3</v>
      </c>
    </row>
    <row r="26" spans="1:37" x14ac:dyDescent="0.25">
      <c r="D26" s="255" t="s">
        <v>277</v>
      </c>
      <c r="G26" s="245">
        <v>1.101243</v>
      </c>
      <c r="I26" s="245">
        <v>1.704815</v>
      </c>
      <c r="J26" s="245"/>
      <c r="K26" s="245">
        <v>1.5649660000000001</v>
      </c>
      <c r="L26" s="245"/>
      <c r="M26" s="245">
        <v>1.7542249999999999</v>
      </c>
      <c r="N26" s="245"/>
      <c r="O26" s="245">
        <v>1.743457</v>
      </c>
      <c r="P26" s="224"/>
      <c r="Q26" s="245">
        <v>1.6079810000000001</v>
      </c>
      <c r="R26" s="245"/>
      <c r="S26" s="245">
        <v>1.7110719999999999</v>
      </c>
      <c r="T26" s="245"/>
      <c r="U26" s="245">
        <v>2.386555</v>
      </c>
      <c r="V26" s="245"/>
      <c r="W26" s="245">
        <v>2.8782350000000001</v>
      </c>
      <c r="X26" s="245"/>
      <c r="Y26" s="245"/>
      <c r="Z26" s="195">
        <v>1</v>
      </c>
      <c r="AA26" s="228">
        <f>W31</f>
        <v>45286</v>
      </c>
      <c r="AC26" s="197">
        <f ca="1">AA27-AA26</f>
        <v>63</v>
      </c>
      <c r="AD26" s="197">
        <f ca="1">AC26</f>
        <v>63</v>
      </c>
      <c r="AF26" s="234" t="s">
        <v>252</v>
      </c>
      <c r="AG26" s="235">
        <f t="shared" si="12"/>
        <v>44922</v>
      </c>
      <c r="AH26" s="235">
        <f t="shared" si="12"/>
        <v>45286</v>
      </c>
      <c r="AI26" s="237">
        <f>W46/Q46-1</f>
        <v>1.6456591271116232</v>
      </c>
      <c r="AJ26" s="238">
        <f t="shared" ref="AJ26:AJ28" si="13">AH26-AG26</f>
        <v>364</v>
      </c>
      <c r="AK26" s="239">
        <f t="shared" ref="AK26:AK28" si="14">AI26/AJ26</f>
        <v>4.5210415579989647E-3</v>
      </c>
    </row>
    <row r="27" spans="1:37" x14ac:dyDescent="0.25">
      <c r="D27" s="255" t="s">
        <v>278</v>
      </c>
      <c r="E27" s="222"/>
      <c r="F27" s="222"/>
      <c r="G27" s="290"/>
      <c r="H27" s="225"/>
      <c r="I27" s="290">
        <f>I26/G26-1</f>
        <v>0.54808248497379775</v>
      </c>
      <c r="J27" s="225"/>
      <c r="K27" s="290">
        <f>K26/I26-1</f>
        <v>-8.2031774708692717E-2</v>
      </c>
      <c r="L27" s="225"/>
      <c r="M27" s="224">
        <f>M26/K26-1</f>
        <v>0.12093489571019433</v>
      </c>
      <c r="N27" s="225"/>
      <c r="O27" s="290">
        <f>O26/M26-1</f>
        <v>-6.1383231911527059E-3</v>
      </c>
      <c r="P27" s="203"/>
      <c r="Q27" s="290">
        <f>Q26/O26-1</f>
        <v>-7.7705386482144312E-2</v>
      </c>
      <c r="R27" s="203"/>
      <c r="S27" s="290">
        <f>S26/Q26-1</f>
        <v>6.4112075951145986E-2</v>
      </c>
      <c r="T27" s="203"/>
      <c r="U27" s="290">
        <f>U26/S26-1</f>
        <v>0.39477181556357666</v>
      </c>
      <c r="V27" s="190"/>
      <c r="W27" s="290">
        <f>W26/U26-1</f>
        <v>0.20602081242627968</v>
      </c>
      <c r="Z27" s="195" t="s">
        <v>305</v>
      </c>
      <c r="AA27" s="228">
        <f ca="1">B1</f>
        <v>45349</v>
      </c>
      <c r="AF27" s="190" t="s">
        <v>252</v>
      </c>
      <c r="AG27" s="228">
        <f t="shared" si="12"/>
        <v>44546</v>
      </c>
      <c r="AH27" s="228">
        <f t="shared" si="12"/>
        <v>45286</v>
      </c>
      <c r="AI27" s="227">
        <f>W46/I46-1</f>
        <v>8.4253157846863029</v>
      </c>
      <c r="AJ27" s="195">
        <f t="shared" si="13"/>
        <v>740</v>
      </c>
      <c r="AK27" s="229">
        <f t="shared" si="14"/>
        <v>1.1385561871197707E-2</v>
      </c>
    </row>
    <row r="28" spans="1:37" x14ac:dyDescent="0.25">
      <c r="D28" s="255" t="s">
        <v>290</v>
      </c>
      <c r="E28" s="245">
        <v>4.1859500000000001</v>
      </c>
      <c r="F28" s="222"/>
      <c r="G28" s="245">
        <v>4.9665100000000004</v>
      </c>
      <c r="H28" s="225"/>
      <c r="I28" s="189">
        <v>8.1438790000000001</v>
      </c>
      <c r="J28" s="225"/>
      <c r="K28" s="189">
        <v>6.7806850000000001</v>
      </c>
      <c r="L28" s="225"/>
      <c r="M28" s="245">
        <v>7.4218000000000002</v>
      </c>
      <c r="N28" s="245"/>
      <c r="O28" s="245">
        <v>8.5606799999999996</v>
      </c>
      <c r="P28" s="245"/>
      <c r="Q28" s="245">
        <v>7.1132999999999997</v>
      </c>
      <c r="R28" s="245"/>
      <c r="S28" s="245">
        <v>8.3813669999999991</v>
      </c>
      <c r="T28" s="245"/>
      <c r="U28" s="245">
        <v>13.5966</v>
      </c>
      <c r="V28" s="245"/>
      <c r="W28" s="245">
        <v>16.1066</v>
      </c>
      <c r="X28" s="245"/>
      <c r="Y28" s="245">
        <v>1.7542249999999999</v>
      </c>
      <c r="AA28" s="228"/>
      <c r="AD28" s="197"/>
      <c r="AF28" s="190" t="s">
        <v>252</v>
      </c>
      <c r="AG28" s="228">
        <f t="shared" si="12"/>
        <v>44460</v>
      </c>
      <c r="AH28" s="228">
        <f t="shared" si="12"/>
        <v>45286</v>
      </c>
      <c r="AI28" s="227">
        <f>W46/G46-1</f>
        <v>15.126715307598261</v>
      </c>
      <c r="AJ28" s="195">
        <f t="shared" si="13"/>
        <v>826</v>
      </c>
      <c r="AK28" s="229">
        <f t="shared" si="14"/>
        <v>1.8313214658109273E-2</v>
      </c>
    </row>
    <row r="29" spans="1:37" x14ac:dyDescent="0.25">
      <c r="E29" s="222"/>
      <c r="F29" s="222"/>
      <c r="G29" s="290">
        <f>G28/E28-1</f>
        <v>0.18647141031307113</v>
      </c>
      <c r="H29" s="225"/>
      <c r="I29" s="290">
        <f>I28/G28-1</f>
        <v>0.63975890514667233</v>
      </c>
      <c r="J29" s="225"/>
      <c r="K29" s="290">
        <f>K28/I28-1</f>
        <v>-0.16738878364965881</v>
      </c>
      <c r="L29" s="225"/>
      <c r="M29" s="290">
        <f>M28/K28-1</f>
        <v>9.4550181876904782E-2</v>
      </c>
      <c r="N29" s="225"/>
      <c r="O29" s="290">
        <f>O28/M28-1</f>
        <v>0.1534506453959954</v>
      </c>
      <c r="P29" s="203"/>
      <c r="Q29" s="290">
        <f>Q28/O28-1</f>
        <v>-0.16907301756402526</v>
      </c>
      <c r="R29" s="203"/>
      <c r="S29" s="290">
        <f>S28/Q28-1</f>
        <v>0.17826704904896462</v>
      </c>
      <c r="T29" s="203"/>
      <c r="U29" s="290">
        <f>U28/S28-1</f>
        <v>0.62224133604935838</v>
      </c>
      <c r="V29" s="190"/>
      <c r="W29" s="290">
        <f>W28/U28-1</f>
        <v>0.18460497477310511</v>
      </c>
      <c r="AA29" s="228"/>
      <c r="AD29" s="197"/>
      <c r="AF29" s="190"/>
      <c r="AG29" s="195"/>
      <c r="AH29" s="195"/>
      <c r="AI29" s="227"/>
      <c r="AJ29" s="195"/>
      <c r="AK29" s="195"/>
    </row>
    <row r="30" spans="1:37" x14ac:dyDescent="0.25">
      <c r="E30" s="222"/>
      <c r="F30" s="222"/>
      <c r="G30" s="290"/>
      <c r="H30" s="225"/>
      <c r="I30" s="290"/>
      <c r="J30" s="225"/>
      <c r="K30" s="224"/>
      <c r="L30" s="225"/>
      <c r="M30" s="224"/>
      <c r="N30" s="225"/>
      <c r="O30" s="224"/>
      <c r="P30" s="203"/>
      <c r="Q30" s="224"/>
      <c r="R30" s="203"/>
      <c r="S30" s="224"/>
      <c r="T30" s="203"/>
      <c r="U30" s="224"/>
      <c r="V30" s="190"/>
      <c r="W30" s="224"/>
      <c r="AA30" s="228"/>
      <c r="AD30" s="197"/>
      <c r="AF30" s="190" t="s">
        <v>249</v>
      </c>
      <c r="AG30" s="193">
        <f>AG25</f>
        <v>45055</v>
      </c>
      <c r="AH30" s="193">
        <f>AH25</f>
        <v>45286</v>
      </c>
      <c r="AI30" s="227">
        <f>W50/S50-1</f>
        <v>0.52210409040636785</v>
      </c>
      <c r="AJ30" s="195">
        <f>AH30-AG30</f>
        <v>231</v>
      </c>
      <c r="AK30" s="229">
        <f>AI30/AJ30</f>
        <v>2.2601908675600338E-3</v>
      </c>
    </row>
    <row r="31" spans="1:37" x14ac:dyDescent="0.25">
      <c r="A31" s="197"/>
      <c r="B31" s="197"/>
      <c r="C31" s="197"/>
      <c r="D31" s="197"/>
      <c r="E31" s="248">
        <f>E3</f>
        <v>44334</v>
      </c>
      <c r="F31" s="242" t="s">
        <v>209</v>
      </c>
      <c r="G31" s="248">
        <f>F3</f>
        <v>44460</v>
      </c>
      <c r="H31" s="216" t="s">
        <v>209</v>
      </c>
      <c r="I31" s="248">
        <f>E4</f>
        <v>44546</v>
      </c>
      <c r="J31" s="242" t="s">
        <v>207</v>
      </c>
      <c r="K31" s="248">
        <f>F4</f>
        <v>44616</v>
      </c>
      <c r="L31" s="216" t="s">
        <v>207</v>
      </c>
      <c r="M31" s="248">
        <f>E5</f>
        <v>44719</v>
      </c>
      <c r="N31" s="242" t="s">
        <v>208</v>
      </c>
      <c r="O31" s="248">
        <f>F5</f>
        <v>44789</v>
      </c>
      <c r="P31" s="216" t="s">
        <v>208</v>
      </c>
      <c r="Q31" s="248">
        <f>E6</f>
        <v>44922</v>
      </c>
      <c r="R31" s="242" t="s">
        <v>206</v>
      </c>
      <c r="S31" s="248">
        <f>F6</f>
        <v>45055</v>
      </c>
      <c r="T31" s="216" t="s">
        <v>206</v>
      </c>
      <c r="U31" s="248">
        <f>E7</f>
        <v>45180</v>
      </c>
      <c r="V31" s="242" t="s">
        <v>256</v>
      </c>
      <c r="W31" s="248">
        <f>F7</f>
        <v>45286</v>
      </c>
      <c r="X31" s="215" t="s">
        <v>256</v>
      </c>
      <c r="Y31" s="248">
        <v>45346</v>
      </c>
      <c r="AF31" s="234" t="s">
        <v>249</v>
      </c>
      <c r="AG31" s="235">
        <f>AG19</f>
        <v>44922</v>
      </c>
      <c r="AH31" s="236">
        <f>AH33</f>
        <v>45286</v>
      </c>
      <c r="AI31" s="237">
        <f>W22/Q22-1</f>
        <v>0.78245719153671511</v>
      </c>
      <c r="AJ31" s="238">
        <f>AH31-AG31</f>
        <v>364</v>
      </c>
      <c r="AK31" s="239">
        <f>AI31/AJ31</f>
        <v>2.1496076690569097E-3</v>
      </c>
    </row>
    <row r="32" spans="1:37" x14ac:dyDescent="0.25">
      <c r="D32" s="195" t="s">
        <v>291</v>
      </c>
      <c r="I32" s="226">
        <f>M3</f>
        <v>0.91300000000000003</v>
      </c>
      <c r="J32" s="190"/>
      <c r="K32" s="190"/>
      <c r="L32" s="190"/>
      <c r="M32" s="231">
        <f>M4</f>
        <v>0.99</v>
      </c>
      <c r="N32" s="190"/>
      <c r="O32" s="196"/>
      <c r="P32" s="196"/>
      <c r="Q32" s="210">
        <f>M5</f>
        <v>1.2</v>
      </c>
      <c r="R32" s="196"/>
      <c r="S32" s="196"/>
      <c r="T32" s="196"/>
      <c r="U32" s="223">
        <f>M6</f>
        <v>0.56599999999999995</v>
      </c>
      <c r="W32" s="240"/>
      <c r="AF32" s="190" t="s">
        <v>249</v>
      </c>
      <c r="AG32" s="228">
        <f>AG20</f>
        <v>44546</v>
      </c>
      <c r="AH32" s="193">
        <f>AH31</f>
        <v>45286</v>
      </c>
      <c r="AI32" s="227">
        <f>W22/I22-1</f>
        <v>1.2667395089596529</v>
      </c>
      <c r="AJ32" s="195">
        <f>AH32-AG32</f>
        <v>740</v>
      </c>
      <c r="AK32" s="229">
        <f>AI32/AJ32</f>
        <v>1.7118101472427742E-3</v>
      </c>
    </row>
    <row r="33" spans="1:37" x14ac:dyDescent="0.25">
      <c r="D33" s="195" t="s">
        <v>292</v>
      </c>
      <c r="E33" s="217"/>
      <c r="G33" s="218"/>
      <c r="I33" s="226">
        <f>O3</f>
        <v>0.71099999999999997</v>
      </c>
      <c r="J33" s="226"/>
      <c r="K33" s="226"/>
      <c r="L33" s="226"/>
      <c r="M33" s="226">
        <f>O4</f>
        <v>0.89600000000000002</v>
      </c>
      <c r="N33" s="226"/>
      <c r="O33" s="226"/>
      <c r="P33" s="226"/>
      <c r="Q33" s="226">
        <f>O5</f>
        <v>0.78700000000000003</v>
      </c>
      <c r="R33" s="226"/>
      <c r="S33" s="226"/>
      <c r="T33" s="226"/>
      <c r="U33" s="226">
        <f>O6</f>
        <v>0.92300000000000004</v>
      </c>
      <c r="W33" s="220"/>
      <c r="AB33" s="190" t="s">
        <v>240</v>
      </c>
      <c r="AD33" s="190" t="s">
        <v>240</v>
      </c>
      <c r="AF33" s="190" t="s">
        <v>249</v>
      </c>
      <c r="AG33" s="228">
        <f>AG21</f>
        <v>44460</v>
      </c>
      <c r="AH33" s="193">
        <f>AH21</f>
        <v>45286</v>
      </c>
      <c r="AI33" s="227">
        <f>W22/G22-1</f>
        <v>2.9392217061520016</v>
      </c>
      <c r="AJ33" s="195">
        <f>AH33-AG33</f>
        <v>826</v>
      </c>
      <c r="AK33" s="229">
        <f>AI33/AJ33</f>
        <v>3.5583797895302684E-3</v>
      </c>
    </row>
    <row r="34" spans="1:37" x14ac:dyDescent="0.25">
      <c r="D34" s="195" t="s">
        <v>248</v>
      </c>
      <c r="E34" s="217"/>
      <c r="G34" s="218"/>
      <c r="I34" s="226">
        <f>I22/$G$22-1</f>
        <v>0.73783608155308267</v>
      </c>
      <c r="J34" s="226"/>
      <c r="K34" s="226">
        <f>K22/$G$22-1</f>
        <v>0.73718625619364797</v>
      </c>
      <c r="L34" s="226"/>
      <c r="M34" s="226">
        <f>M22/$G$22-1</f>
        <v>0.9559743318983025</v>
      </c>
      <c r="N34" s="226"/>
      <c r="O34" s="226">
        <f>O22/$G$22-1</f>
        <v>1.0574283161400375</v>
      </c>
      <c r="P34" s="226"/>
      <c r="Q34" s="226">
        <f>Q22/$G$22-1</f>
        <v>1.2099951263098041</v>
      </c>
      <c r="R34" s="226"/>
      <c r="S34" s="226">
        <f>S22/$G$22-1</f>
        <v>1.588010722118431</v>
      </c>
      <c r="T34" s="226"/>
      <c r="U34" s="226">
        <f>U22/$G$22-1</f>
        <v>2.3529770124279104</v>
      </c>
      <c r="W34" s="226">
        <f>W22/$G$22-1</f>
        <v>2.9392217061520016</v>
      </c>
      <c r="AA34" s="196" t="s">
        <v>257</v>
      </c>
      <c r="AB34" s="195">
        <f>I31-G31</f>
        <v>86</v>
      </c>
      <c r="AC34" s="196" t="s">
        <v>262</v>
      </c>
      <c r="AD34" s="195">
        <f>G31-E31</f>
        <v>126</v>
      </c>
      <c r="AF34" s="190"/>
      <c r="AG34" s="228"/>
      <c r="AH34" s="193"/>
      <c r="AI34" s="227"/>
      <c r="AJ34" s="195"/>
      <c r="AK34" s="195"/>
    </row>
    <row r="35" spans="1:37" x14ac:dyDescent="0.25">
      <c r="D35" s="195" t="s">
        <v>254</v>
      </c>
      <c r="E35" s="217"/>
      <c r="G35" s="218"/>
      <c r="I35" s="226">
        <v>0.71799999999999997</v>
      </c>
      <c r="J35" s="226"/>
      <c r="K35" s="226">
        <v>0.60799999999999998</v>
      </c>
      <c r="L35" s="226"/>
      <c r="M35" s="226">
        <v>0.996</v>
      </c>
      <c r="N35" s="226"/>
      <c r="O35" s="226">
        <v>1.0760000000000001</v>
      </c>
      <c r="P35" s="226"/>
      <c r="Q35" s="226">
        <v>1.1635</v>
      </c>
      <c r="R35" s="226"/>
      <c r="S35" s="226">
        <v>1.2645</v>
      </c>
      <c r="T35" s="226"/>
      <c r="U35" s="226">
        <v>2.1168</v>
      </c>
      <c r="V35" s="226"/>
      <c r="W35" s="226">
        <v>2.4</v>
      </c>
      <c r="AA35" s="196" t="s">
        <v>258</v>
      </c>
      <c r="AB35" s="195">
        <f>M31-K31</f>
        <v>103</v>
      </c>
      <c r="AC35" s="196" t="s">
        <v>262</v>
      </c>
      <c r="AD35" s="195">
        <f>K31-I31</f>
        <v>70</v>
      </c>
      <c r="AF35" s="190" t="s">
        <v>254</v>
      </c>
      <c r="AG35" s="228">
        <f>S31</f>
        <v>45055</v>
      </c>
      <c r="AH35" s="193">
        <f>AH30</f>
        <v>45286</v>
      </c>
      <c r="AI35" s="227">
        <f>W52/S52</f>
        <v>1.5014351954073748</v>
      </c>
      <c r="AJ35" s="195">
        <f>AH35-AG35</f>
        <v>231</v>
      </c>
      <c r="AK35" s="229">
        <f>AI35/AJ35</f>
        <v>6.4997194606379862E-3</v>
      </c>
    </row>
    <row r="36" spans="1:37" x14ac:dyDescent="0.25">
      <c r="D36" s="195" t="s">
        <v>279</v>
      </c>
      <c r="E36" s="217"/>
      <c r="G36" s="218"/>
      <c r="I36" s="226">
        <f>I24/$G$24-1</f>
        <v>0.3327233606557376</v>
      </c>
      <c r="J36" s="226"/>
      <c r="K36" s="226">
        <f>K24/$G$24-1</f>
        <v>2.5284836065573746E-2</v>
      </c>
      <c r="L36" s="226"/>
      <c r="M36" s="226">
        <f>M24/$G$24-1</f>
        <v>7.086372950819686E-2</v>
      </c>
      <c r="N36" s="226"/>
      <c r="O36" s="226">
        <f>O24/$G$24-1</f>
        <v>0.31771311475409836</v>
      </c>
      <c r="P36" s="226"/>
      <c r="Q36" s="226">
        <f>Q24/$G$24-1</f>
        <v>-1.5349385245901681E-2</v>
      </c>
      <c r="R36" s="226"/>
      <c r="S36" s="226">
        <f>S24/$G$24-1</f>
        <v>0.11972131147540988</v>
      </c>
      <c r="T36" s="226"/>
      <c r="U36" s="226">
        <f>U24/$G$24-1</f>
        <v>0.73622438524590161</v>
      </c>
      <c r="W36" s="226">
        <f>W24/$G$24-1</f>
        <v>1.350225409836066</v>
      </c>
      <c r="Y36" s="226"/>
      <c r="AA36" s="196" t="s">
        <v>259</v>
      </c>
      <c r="AB36" s="195">
        <f>Q31-O31</f>
        <v>133</v>
      </c>
      <c r="AC36" s="196" t="s">
        <v>263</v>
      </c>
      <c r="AD36" s="195">
        <f>O31-M31</f>
        <v>70</v>
      </c>
      <c r="AF36" s="234" t="s">
        <v>254</v>
      </c>
      <c r="AG36" s="236">
        <f>Q31</f>
        <v>44922</v>
      </c>
      <c r="AH36" s="236">
        <f>AH33</f>
        <v>45286</v>
      </c>
      <c r="AI36" s="237">
        <v>0.57150000000000001</v>
      </c>
      <c r="AJ36" s="238">
        <f>AH36-AG36</f>
        <v>364</v>
      </c>
      <c r="AK36" s="239">
        <f>AI36/AJ36</f>
        <v>1.5700549450549451E-3</v>
      </c>
    </row>
    <row r="37" spans="1:37" x14ac:dyDescent="0.25">
      <c r="D37" s="195" t="s">
        <v>277</v>
      </c>
      <c r="E37" s="217"/>
      <c r="G37" s="218"/>
      <c r="I37" s="226">
        <f>I26/$G$26-1</f>
        <v>0.54808248497379775</v>
      </c>
      <c r="J37" s="226"/>
      <c r="K37" s="226">
        <f>K26/$G$26-1</f>
        <v>0.42109053133595409</v>
      </c>
      <c r="L37" s="226"/>
      <c r="M37" s="226">
        <f>M26/$G$26-1</f>
        <v>0.59294996653781218</v>
      </c>
      <c r="N37" s="226"/>
      <c r="O37" s="226">
        <f>O26/$G$26-1</f>
        <v>0.58317192481586733</v>
      </c>
      <c r="P37" s="226"/>
      <c r="Q37" s="226">
        <f>Q26/$G$26-1</f>
        <v>0.46015093853036992</v>
      </c>
      <c r="R37" s="226"/>
      <c r="S37" s="226">
        <f>S26/$G$26-1</f>
        <v>0.55376424640156618</v>
      </c>
      <c r="T37" s="226"/>
      <c r="U37" s="226">
        <f>U26/$G$26-1</f>
        <v>1.1671465789112849</v>
      </c>
      <c r="W37" s="226">
        <f>W26/$G$26-1</f>
        <v>1.6136238777454204</v>
      </c>
      <c r="Y37" s="226"/>
      <c r="AA37" s="196" t="s">
        <v>260</v>
      </c>
      <c r="AB37" s="195">
        <f>U31-S31</f>
        <v>125</v>
      </c>
      <c r="AC37" s="196" t="s">
        <v>264</v>
      </c>
      <c r="AD37" s="195">
        <f>S31-Q31</f>
        <v>133</v>
      </c>
      <c r="AF37" s="190" t="s">
        <v>254</v>
      </c>
      <c r="AG37" s="193">
        <f>O31</f>
        <v>44789</v>
      </c>
      <c r="AH37" s="193">
        <f>AH31</f>
        <v>45286</v>
      </c>
      <c r="AI37" s="227">
        <v>0.97899999999999998</v>
      </c>
      <c r="AJ37" s="195">
        <f>AH37-AG37</f>
        <v>497</v>
      </c>
      <c r="AK37" s="229">
        <f>AI37/AJ37</f>
        <v>1.9698189134808855E-3</v>
      </c>
    </row>
    <row r="38" spans="1:37" x14ac:dyDescent="0.25">
      <c r="D38" s="195" t="s">
        <v>290</v>
      </c>
      <c r="E38" s="217"/>
      <c r="G38" s="218"/>
      <c r="I38" s="226">
        <f>I28/$G$28-1</f>
        <v>0.63975890514667233</v>
      </c>
      <c r="J38" s="226"/>
      <c r="K38" s="226">
        <f>K28/$G$28-1</f>
        <v>0.3652816565354744</v>
      </c>
      <c r="L38" s="226"/>
      <c r="M38" s="226">
        <f>M28/$G$28-1</f>
        <v>0.49436928547410552</v>
      </c>
      <c r="N38" s="226"/>
      <c r="O38" s="226">
        <f>O28/$G$28-1</f>
        <v>0.7236812167900597</v>
      </c>
      <c r="P38" s="226"/>
      <c r="Q38" s="226">
        <f>Q28/$G$28-1</f>
        <v>0.43225323214893341</v>
      </c>
      <c r="R38" s="226"/>
      <c r="S38" s="226">
        <f>S28/$G$28-1</f>
        <v>0.68757678933496535</v>
      </c>
      <c r="T38" s="226"/>
      <c r="U38" s="226">
        <f>U28/$G$28-1</f>
        <v>1.7376568254166407</v>
      </c>
      <c r="W38" s="226">
        <f>W28/$G$28-1</f>
        <v>2.2430418946100983</v>
      </c>
      <c r="Y38" s="226"/>
      <c r="AA38" s="196" t="s">
        <v>260</v>
      </c>
      <c r="AB38" s="195">
        <f>Y31-W31</f>
        <v>60</v>
      </c>
      <c r="AC38" s="196" t="s">
        <v>266</v>
      </c>
      <c r="AD38" s="195">
        <f>W31-U31</f>
        <v>106</v>
      </c>
      <c r="AF38" s="190" t="s">
        <v>254</v>
      </c>
      <c r="AG38" s="193">
        <f>G31</f>
        <v>44460</v>
      </c>
      <c r="AH38" s="193">
        <f>AH21</f>
        <v>45286</v>
      </c>
      <c r="AI38" s="227">
        <v>2.4</v>
      </c>
      <c r="AJ38" s="195">
        <f>AH38-AG38</f>
        <v>826</v>
      </c>
      <c r="AK38" s="229">
        <f>AI38/AJ38</f>
        <v>2.9055690072639223E-3</v>
      </c>
    </row>
    <row r="39" spans="1:37" x14ac:dyDescent="0.25">
      <c r="E39" s="217"/>
      <c r="G39" s="300">
        <f>G31</f>
        <v>44460</v>
      </c>
      <c r="H39" s="300"/>
      <c r="I39" s="300">
        <f t="shared" ref="I39:W39" si="15">I31</f>
        <v>44546</v>
      </c>
      <c r="J39" s="300"/>
      <c r="K39" s="300">
        <f t="shared" si="15"/>
        <v>44616</v>
      </c>
      <c r="L39" s="300"/>
      <c r="M39" s="300">
        <f t="shared" si="15"/>
        <v>44719</v>
      </c>
      <c r="N39" s="300"/>
      <c r="O39" s="300">
        <f t="shared" si="15"/>
        <v>44789</v>
      </c>
      <c r="P39" s="300"/>
      <c r="Q39" s="300">
        <f t="shared" si="15"/>
        <v>44922</v>
      </c>
      <c r="R39" s="300"/>
      <c r="S39" s="300">
        <f t="shared" si="15"/>
        <v>45055</v>
      </c>
      <c r="T39" s="300"/>
      <c r="U39" s="300">
        <f t="shared" si="15"/>
        <v>45180</v>
      </c>
      <c r="V39" s="300"/>
      <c r="W39" s="300">
        <f t="shared" si="15"/>
        <v>45286</v>
      </c>
      <c r="X39" s="190" t="s">
        <v>300</v>
      </c>
      <c r="Y39" s="301" t="s">
        <v>280</v>
      </c>
      <c r="Z39" s="195" t="s">
        <v>301</v>
      </c>
      <c r="AA39" s="196" t="s">
        <v>261</v>
      </c>
      <c r="AB39" s="241">
        <f ca="1">SUM(AB34:AB45)/5</f>
        <v>101.4</v>
      </c>
      <c r="AC39" s="196" t="s">
        <v>265</v>
      </c>
      <c r="AD39" s="241">
        <f>(AD34+AD35+AD36+AD37+AD38)/5</f>
        <v>101</v>
      </c>
    </row>
    <row r="40" spans="1:37" x14ac:dyDescent="0.25">
      <c r="A40" s="195"/>
      <c r="B40" s="195"/>
      <c r="C40" s="195"/>
      <c r="D40" s="304" t="s">
        <v>296</v>
      </c>
      <c r="E40" s="293"/>
      <c r="F40" s="293"/>
      <c r="G40" s="294">
        <v>100000</v>
      </c>
      <c r="H40" s="292"/>
      <c r="I40" s="294">
        <f>$G$52*(1+I32)</f>
        <v>191300</v>
      </c>
      <c r="J40" s="292"/>
      <c r="K40" s="294">
        <f>I40*(1+K25)</f>
        <v>147170.0691453621</v>
      </c>
      <c r="L40" s="292"/>
      <c r="M40" s="294">
        <f>K40*(1+M32)</f>
        <v>292868.43759927055</v>
      </c>
      <c r="N40" s="292"/>
      <c r="O40" s="294">
        <f>M40*(1+O25)</f>
        <v>360378.79562821356</v>
      </c>
      <c r="P40" s="295"/>
      <c r="Q40" s="294">
        <f>O40*(1+Q32)</f>
        <v>792833.35038206994</v>
      </c>
      <c r="R40" s="295"/>
      <c r="S40" s="294">
        <f>Q40*(1+S25)</f>
        <v>901591.27061831707</v>
      </c>
      <c r="T40" s="295"/>
      <c r="U40" s="294">
        <f>S40*(1+U32)</f>
        <v>1411891.9297882845</v>
      </c>
      <c r="V40" s="292"/>
      <c r="W40" s="294">
        <f>U40*(1+W25)</f>
        <v>1911195.532978843</v>
      </c>
      <c r="X40" s="302">
        <f t="shared" ref="X40:X55" si="16">(W40/G40-1)</f>
        <v>18.111955329788429</v>
      </c>
      <c r="Y40" s="195">
        <f>W39-G39</f>
        <v>826</v>
      </c>
      <c r="Z40" s="229">
        <f>X40/Y40</f>
        <v>2.1927306694659116E-2</v>
      </c>
    </row>
    <row r="41" spans="1:37" x14ac:dyDescent="0.25">
      <c r="D41" s="305" t="s">
        <v>291</v>
      </c>
      <c r="E41" s="292"/>
      <c r="F41" s="292"/>
      <c r="G41" s="298">
        <v>100000</v>
      </c>
      <c r="H41" s="292"/>
      <c r="I41" s="294">
        <f>G41*(1+I32)</f>
        <v>191300</v>
      </c>
      <c r="J41" s="292"/>
      <c r="K41" s="294">
        <f>I41*(1+K23)</f>
        <v>191228.46759681229</v>
      </c>
      <c r="L41" s="292"/>
      <c r="M41" s="294">
        <f>K41*(1+M32)</f>
        <v>380544.65051765647</v>
      </c>
      <c r="N41" s="292"/>
      <c r="O41" s="294">
        <f>M41*(1+O23)</f>
        <v>400283.03376086871</v>
      </c>
      <c r="P41" s="295"/>
      <c r="Q41" s="294">
        <f>O41*(1+Q32)</f>
        <v>880622.67427391128</v>
      </c>
      <c r="R41" s="295"/>
      <c r="S41" s="294">
        <f>Q41*(1+S23)</f>
        <v>1031251.560706837</v>
      </c>
      <c r="T41" s="295"/>
      <c r="U41" s="294">
        <f>S41*(1+U32)</f>
        <v>1614939.9440669066</v>
      </c>
      <c r="V41" s="292"/>
      <c r="W41" s="297">
        <f>U41*(1+W23)</f>
        <v>1897300.9532188179</v>
      </c>
      <c r="X41" s="302">
        <f t="shared" si="16"/>
        <v>17.973009532188179</v>
      </c>
      <c r="Y41" s="195">
        <f>$W$39-$G$39</f>
        <v>826</v>
      </c>
      <c r="Z41" s="229">
        <f t="shared" ref="Z41:Z55" si="17">X41/Y41</f>
        <v>2.1759091443327095E-2</v>
      </c>
      <c r="AA41" s="192"/>
      <c r="AB41" s="192"/>
      <c r="AC41" s="192"/>
      <c r="AD41" s="192"/>
    </row>
    <row r="42" spans="1:37" x14ac:dyDescent="0.25">
      <c r="D42" s="306" t="s">
        <v>295</v>
      </c>
      <c r="E42" s="298"/>
      <c r="F42" s="292"/>
      <c r="G42" s="298">
        <v>100000</v>
      </c>
      <c r="H42" s="292"/>
      <c r="I42" s="294">
        <f>G42*(1+I32)</f>
        <v>191300</v>
      </c>
      <c r="J42" s="303"/>
      <c r="K42" s="294">
        <f>I42*(1+K15)</f>
        <v>191227.18844261157</v>
      </c>
      <c r="L42" s="303"/>
      <c r="M42" s="294">
        <f>K42*(1+M32)</f>
        <v>380542.10500079702</v>
      </c>
      <c r="N42" s="303"/>
      <c r="O42" s="294">
        <f>M42*(1+O15)</f>
        <v>400361.51966341853</v>
      </c>
      <c r="P42" s="303"/>
      <c r="Q42" s="294">
        <f>O42*(1+Q32)</f>
        <v>880795.34325952083</v>
      </c>
      <c r="R42" s="303"/>
      <c r="S42" s="294">
        <f>Q42*(1+S15)</f>
        <v>1031123.0928564478</v>
      </c>
      <c r="T42" s="303"/>
      <c r="U42" s="294">
        <f>S42*(1+U32)</f>
        <v>1614738.7634131971</v>
      </c>
      <c r="V42" s="292"/>
      <c r="W42" s="294">
        <f>U42*(1+W15)</f>
        <v>1896964.6798984385</v>
      </c>
      <c r="X42" s="302">
        <f t="shared" si="16"/>
        <v>17.969646798984385</v>
      </c>
      <c r="Y42" s="195">
        <f t="shared" ref="Y42:Y55" si="18">$W$39-$G$39</f>
        <v>826</v>
      </c>
      <c r="Z42" s="229">
        <f t="shared" si="17"/>
        <v>2.1755020337753492E-2</v>
      </c>
      <c r="AA42" s="192"/>
      <c r="AB42" s="192"/>
      <c r="AC42" s="192"/>
      <c r="AD42" s="192"/>
    </row>
    <row r="43" spans="1:37" x14ac:dyDescent="0.25">
      <c r="A43" s="195"/>
      <c r="B43" s="195"/>
      <c r="C43" s="195"/>
      <c r="D43" s="308" t="s">
        <v>297</v>
      </c>
      <c r="E43" s="293"/>
      <c r="F43" s="293"/>
      <c r="G43" s="294">
        <v>100000</v>
      </c>
      <c r="H43" s="292"/>
      <c r="I43" s="294">
        <f>$G$52*(1+I32)</f>
        <v>191300</v>
      </c>
      <c r="J43" s="292"/>
      <c r="K43" s="294">
        <f>I43*(1+K29)</f>
        <v>159278.52568782028</v>
      </c>
      <c r="L43" s="292"/>
      <c r="M43" s="294">
        <f>K43*(1+M32)</f>
        <v>316964.26611876237</v>
      </c>
      <c r="N43" s="292"/>
      <c r="O43" s="294">
        <f>M43*(1+O29)</f>
        <v>365602.63732215448</v>
      </c>
      <c r="P43" s="295"/>
      <c r="Q43" s="294">
        <f>O43*(1+Q32)</f>
        <v>804325.80210873997</v>
      </c>
      <c r="R43" s="295"/>
      <c r="S43" s="294">
        <f>Q43*(1+S29)</f>
        <v>947710.58932460658</v>
      </c>
      <c r="T43" s="295"/>
      <c r="U43" s="294">
        <f>S43*(1+U32)</f>
        <v>1484114.7828823337</v>
      </c>
      <c r="V43" s="292"/>
      <c r="W43" s="294">
        <f>U43*(1+W29)</f>
        <v>1758089.7549367193</v>
      </c>
      <c r="X43" s="302">
        <f t="shared" si="16"/>
        <v>16.580897549367194</v>
      </c>
      <c r="Y43" s="195">
        <f t="shared" si="18"/>
        <v>826</v>
      </c>
      <c r="Z43" s="229">
        <f t="shared" si="17"/>
        <v>2.0073725846691516E-2</v>
      </c>
    </row>
    <row r="44" spans="1:37" x14ac:dyDescent="0.25">
      <c r="A44" s="195"/>
      <c r="B44" s="195"/>
      <c r="C44" s="195"/>
      <c r="D44" s="309" t="s">
        <v>298</v>
      </c>
      <c r="E44" s="293"/>
      <c r="F44" s="293"/>
      <c r="G44" s="294">
        <v>100000</v>
      </c>
      <c r="H44" s="292"/>
      <c r="I44" s="294">
        <f>$G$52*(1+I32)</f>
        <v>191300</v>
      </c>
      <c r="J44" s="292"/>
      <c r="K44" s="294">
        <f>I44*(1+K27)</f>
        <v>175607.32149822707</v>
      </c>
      <c r="L44" s="292"/>
      <c r="M44" s="294">
        <f>K44*(1+M32)</f>
        <v>349458.56978147186</v>
      </c>
      <c r="N44" s="292"/>
      <c r="O44" s="294">
        <f>M44*(1+O27)</f>
        <v>347313.4801382352</v>
      </c>
      <c r="P44" s="295"/>
      <c r="Q44" s="294">
        <f>O44*(1+Q32)</f>
        <v>764089.65630411752</v>
      </c>
      <c r="R44" s="295"/>
      <c r="S44" s="294">
        <f>Q44*(1+S27)</f>
        <v>813077.03038257209</v>
      </c>
      <c r="T44" s="295"/>
      <c r="U44" s="294">
        <f>S44*(1+U32)</f>
        <v>1273278.6295791077</v>
      </c>
      <c r="V44" s="292"/>
      <c r="W44" s="294">
        <f>U44*(1+W27)</f>
        <v>1535600.5272900155</v>
      </c>
      <c r="X44" s="302">
        <f t="shared" si="16"/>
        <v>14.356005272900155</v>
      </c>
      <c r="Y44" s="195">
        <f t="shared" si="18"/>
        <v>826</v>
      </c>
      <c r="Z44" s="229">
        <f t="shared" si="17"/>
        <v>1.7380151662106727E-2</v>
      </c>
    </row>
    <row r="45" spans="1:37" x14ac:dyDescent="0.25">
      <c r="D45" s="311" t="s">
        <v>293</v>
      </c>
      <c r="E45" s="298"/>
      <c r="F45" s="292"/>
      <c r="G45" s="298">
        <v>100000</v>
      </c>
      <c r="H45" s="292"/>
      <c r="I45" s="294">
        <f>G45*(1+I33)</f>
        <v>171099.99999999997</v>
      </c>
      <c r="J45" s="292"/>
      <c r="K45" s="294">
        <f>I45*(1+K15)</f>
        <v>171034.87685588517</v>
      </c>
      <c r="L45" s="292"/>
      <c r="M45" s="294">
        <f>K45*(1+M33)</f>
        <v>324282.12651875825</v>
      </c>
      <c r="N45" s="292"/>
      <c r="O45" s="294">
        <f>M45*(1+O15)</f>
        <v>341171.40591436811</v>
      </c>
      <c r="P45" s="295"/>
      <c r="Q45" s="294">
        <f>O45*(1+Q33)</f>
        <v>609673.30236897583</v>
      </c>
      <c r="R45" s="295"/>
      <c r="S45" s="294">
        <f>Q45*(1+S15)</f>
        <v>713727.91191684967</v>
      </c>
      <c r="T45" s="295"/>
      <c r="U45" s="294">
        <f>S45*(1+U33)</f>
        <v>1372498.774616102</v>
      </c>
      <c r="V45" s="292"/>
      <c r="W45" s="297">
        <f>U45*(1+W15)</f>
        <v>1612385.7045131205</v>
      </c>
      <c r="X45" s="302">
        <f t="shared" si="16"/>
        <v>15.123857045131203</v>
      </c>
      <c r="Y45" s="195">
        <f t="shared" si="18"/>
        <v>826</v>
      </c>
      <c r="Z45" s="229">
        <f t="shared" si="17"/>
        <v>1.8309754291926397E-2</v>
      </c>
      <c r="AA45" s="196"/>
      <c r="AC45" s="196"/>
    </row>
    <row r="46" spans="1:37" x14ac:dyDescent="0.25">
      <c r="D46" s="312" t="s">
        <v>292</v>
      </c>
      <c r="E46" s="298"/>
      <c r="F46" s="292"/>
      <c r="G46" s="298">
        <v>100000</v>
      </c>
      <c r="H46" s="292"/>
      <c r="I46" s="294">
        <f>G46*(1+I33)</f>
        <v>171099.99999999997</v>
      </c>
      <c r="J46" s="292"/>
      <c r="K46" s="294">
        <f>I46*(1+K23)</f>
        <v>171036.02093996119</v>
      </c>
      <c r="L46" s="292"/>
      <c r="M46" s="294">
        <f>K46*(1+M33)</f>
        <v>324284.29570216639</v>
      </c>
      <c r="N46" s="292"/>
      <c r="O46" s="299">
        <f>M46*(O23+1)</f>
        <v>341104.52349834598</v>
      </c>
      <c r="P46" s="295"/>
      <c r="Q46" s="299">
        <f>O46*(1+Q33)</f>
        <v>609553.78349154419</v>
      </c>
      <c r="R46" s="295"/>
      <c r="S46" s="299">
        <f>Q46*(1+S23)</f>
        <v>713816.83543261793</v>
      </c>
      <c r="T46" s="295"/>
      <c r="U46" s="294">
        <f>S46*(1+U33)</f>
        <v>1372669.7745369242</v>
      </c>
      <c r="V46" s="292"/>
      <c r="W46" s="297">
        <f>U46*(1+W23)</f>
        <v>1612671.5307598261</v>
      </c>
      <c r="X46" s="302">
        <f t="shared" si="16"/>
        <v>15.126715307598261</v>
      </c>
      <c r="Y46" s="195">
        <f t="shared" si="18"/>
        <v>826</v>
      </c>
      <c r="Z46" s="229">
        <f t="shared" si="17"/>
        <v>1.8313214658109273E-2</v>
      </c>
    </row>
    <row r="47" spans="1:37" x14ac:dyDescent="0.25">
      <c r="D47" s="310" t="s">
        <v>299</v>
      </c>
      <c r="E47" s="298"/>
      <c r="F47" s="292"/>
      <c r="G47" s="298">
        <v>100000</v>
      </c>
      <c r="H47" s="292"/>
      <c r="I47" s="294">
        <f>G47*(1+I33)</f>
        <v>171099.99999999997</v>
      </c>
      <c r="J47" s="292"/>
      <c r="K47" s="294">
        <f>I47*(1+K25)</f>
        <v>131629.89456754547</v>
      </c>
      <c r="L47" s="292"/>
      <c r="M47" s="294">
        <f>K47*(1+M33)</f>
        <v>249570.28010006621</v>
      </c>
      <c r="N47" s="292"/>
      <c r="O47" s="299">
        <f>M47*(O25+1)</f>
        <v>307099.79437976074</v>
      </c>
      <c r="P47" s="295"/>
      <c r="Q47" s="299">
        <f>O47*(1+Q33)</f>
        <v>548787.33255663246</v>
      </c>
      <c r="R47" s="295"/>
      <c r="S47" s="299">
        <f>Q47*(1+S25)</f>
        <v>624067.93082119164</v>
      </c>
      <c r="T47" s="295"/>
      <c r="U47" s="294">
        <f>S47*(1+U33)</f>
        <v>1200082.6309691516</v>
      </c>
      <c r="V47" s="292"/>
      <c r="W47" s="297">
        <f>U47*(1+W25)</f>
        <v>1624481.6725155925</v>
      </c>
      <c r="X47" s="302">
        <f t="shared" si="16"/>
        <v>15.244816725155925</v>
      </c>
      <c r="Y47" s="195">
        <f t="shared" si="18"/>
        <v>826</v>
      </c>
      <c r="Z47" s="229">
        <f t="shared" si="17"/>
        <v>1.8456194582513227E-2</v>
      </c>
    </row>
    <row r="48" spans="1:37" x14ac:dyDescent="0.25">
      <c r="D48" s="313" t="s">
        <v>302</v>
      </c>
      <c r="E48" s="298"/>
      <c r="F48" s="292"/>
      <c r="G48" s="298">
        <v>100000</v>
      </c>
      <c r="H48" s="292"/>
      <c r="I48" s="294">
        <v>199666</v>
      </c>
      <c r="J48" s="292"/>
      <c r="K48" s="294">
        <v>150544</v>
      </c>
      <c r="L48" s="292"/>
      <c r="M48" s="294">
        <v>180776</v>
      </c>
      <c r="N48" s="292"/>
      <c r="O48" s="299">
        <v>220144</v>
      </c>
      <c r="P48" s="295"/>
      <c r="Q48" s="299">
        <v>395035</v>
      </c>
      <c r="R48" s="295"/>
      <c r="S48" s="299">
        <v>419571</v>
      </c>
      <c r="T48" s="295"/>
      <c r="U48" s="294">
        <v>719044</v>
      </c>
      <c r="V48" s="292"/>
      <c r="W48" s="297">
        <v>488863</v>
      </c>
      <c r="X48" s="302">
        <f>(W48/G48-1)</f>
        <v>3.88863</v>
      </c>
      <c r="Y48" s="195">
        <f t="shared" si="18"/>
        <v>826</v>
      </c>
      <c r="Z48" s="229">
        <f t="shared" si="17"/>
        <v>4.7077845036319612E-3</v>
      </c>
    </row>
    <row r="49" spans="1:34" x14ac:dyDescent="0.25">
      <c r="D49" s="307" t="s">
        <v>304</v>
      </c>
      <c r="E49" s="298"/>
      <c r="F49" s="292"/>
      <c r="G49" s="298">
        <v>100000</v>
      </c>
      <c r="H49" s="292"/>
      <c r="I49" s="294">
        <v>164182</v>
      </c>
      <c r="J49" s="292"/>
      <c r="K49" s="294">
        <v>134407</v>
      </c>
      <c r="L49" s="292"/>
      <c r="M49" s="294">
        <v>177277</v>
      </c>
      <c r="N49" s="292"/>
      <c r="O49" s="299">
        <v>216000</v>
      </c>
      <c r="P49" s="295"/>
      <c r="Q49" s="299">
        <v>335288</v>
      </c>
      <c r="R49" s="295"/>
      <c r="S49" s="299">
        <v>263397</v>
      </c>
      <c r="T49" s="295"/>
      <c r="U49" s="294">
        <v>481346</v>
      </c>
      <c r="V49" s="292"/>
      <c r="W49" s="297">
        <v>430769</v>
      </c>
      <c r="X49" s="302">
        <f>(W49/G49-1)</f>
        <v>3.30769</v>
      </c>
      <c r="Y49" s="195">
        <f t="shared" si="18"/>
        <v>826</v>
      </c>
      <c r="Z49" s="229">
        <f t="shared" ref="Z49" si="19">X49/Y49</f>
        <v>4.004467312348668E-3</v>
      </c>
    </row>
    <row r="50" spans="1:34" x14ac:dyDescent="0.25">
      <c r="D50" s="309" t="s">
        <v>248</v>
      </c>
      <c r="E50" s="296"/>
      <c r="F50" s="296"/>
      <c r="G50" s="298">
        <v>100000</v>
      </c>
      <c r="H50" s="292"/>
      <c r="I50" s="294">
        <f>$G$50*(1+I34)</f>
        <v>173783.60815530826</v>
      </c>
      <c r="J50" s="292"/>
      <c r="K50" s="294">
        <f>$G$50*(1+K34)</f>
        <v>173718.62561936479</v>
      </c>
      <c r="L50" s="292"/>
      <c r="M50" s="294">
        <f>$G$50*(1+M34)</f>
        <v>195597.43318983025</v>
      </c>
      <c r="N50" s="292"/>
      <c r="O50" s="294">
        <f>$G$50*(1+O34)</f>
        <v>205742.83161400375</v>
      </c>
      <c r="P50" s="295"/>
      <c r="Q50" s="294">
        <f>$G$50*(1+Q34)</f>
        <v>220999.5126309804</v>
      </c>
      <c r="R50" s="295"/>
      <c r="S50" s="294">
        <f>$G$50*(1+S34)</f>
        <v>258801.0722118431</v>
      </c>
      <c r="T50" s="295"/>
      <c r="U50" s="294">
        <f>$G$50*(1+U34)</f>
        <v>335297.70124279102</v>
      </c>
      <c r="V50" s="292"/>
      <c r="W50" s="297">
        <f>$G$50*(1+W34)</f>
        <v>393922.17061520019</v>
      </c>
      <c r="X50" s="302">
        <f>(W50/G50-1)</f>
        <v>2.9392217061520021</v>
      </c>
      <c r="Y50" s="195">
        <f t="shared" si="18"/>
        <v>826</v>
      </c>
      <c r="Z50" s="229">
        <f t="shared" si="17"/>
        <v>3.5583797895302688E-3</v>
      </c>
      <c r="AA50" s="192"/>
      <c r="AB50" s="192"/>
      <c r="AC50" s="192"/>
      <c r="AD50" s="192"/>
      <c r="AF50" s="247">
        <f ca="1">AB39+AD39</f>
        <v>202.4</v>
      </c>
      <c r="AG50" s="192">
        <f ca="1">AF50*2</f>
        <v>404.8</v>
      </c>
      <c r="AH50" s="192">
        <f ca="1">AG50*2</f>
        <v>809.6</v>
      </c>
    </row>
    <row r="51" spans="1:34" x14ac:dyDescent="0.25">
      <c r="D51" s="314" t="s">
        <v>294</v>
      </c>
      <c r="E51" s="296"/>
      <c r="F51" s="296"/>
      <c r="G51" s="298">
        <v>100000</v>
      </c>
      <c r="H51" s="292"/>
      <c r="I51" s="294">
        <f>$G$51*(1+I15)</f>
        <v>173782.20330007782</v>
      </c>
      <c r="J51" s="292"/>
      <c r="K51" s="294">
        <f>I51*(1+K15)</f>
        <v>173716.05927044546</v>
      </c>
      <c r="L51" s="294"/>
      <c r="M51" s="294">
        <f>K51*(1+M15)</f>
        <v>195623.74299337767</v>
      </c>
      <c r="N51" s="294"/>
      <c r="O51" s="294">
        <f>M51*(1+O15)</f>
        <v>205812.22944281204</v>
      </c>
      <c r="P51" s="294"/>
      <c r="Q51" s="294">
        <f>O51*(1+Q15)</f>
        <v>221068.02713181992</v>
      </c>
      <c r="R51" s="294"/>
      <c r="S51" s="294">
        <f>Q51*(1+S15)</f>
        <v>258798.31178974765</v>
      </c>
      <c r="T51" s="294"/>
      <c r="U51" s="294">
        <f>S51*(1+U15)</f>
        <v>335293.43531250168</v>
      </c>
      <c r="V51" s="294"/>
      <c r="W51" s="294">
        <f>U51*(1+W15)</f>
        <v>393896.4113583187</v>
      </c>
      <c r="X51" s="302">
        <f t="shared" si="16"/>
        <v>2.9389641135831872</v>
      </c>
      <c r="Y51" s="195">
        <f t="shared" si="18"/>
        <v>826</v>
      </c>
      <c r="Z51" s="229">
        <f t="shared" si="17"/>
        <v>3.5580679341200815E-3</v>
      </c>
      <c r="AA51" s="196"/>
      <c r="AB51" s="241"/>
      <c r="AC51" s="196"/>
      <c r="AD51" s="241"/>
      <c r="AF51" s="247"/>
    </row>
    <row r="52" spans="1:34" x14ac:dyDescent="0.25">
      <c r="A52" s="195"/>
      <c r="B52" s="195"/>
      <c r="C52" s="195"/>
      <c r="D52" s="315" t="s">
        <v>254</v>
      </c>
      <c r="E52" s="293"/>
      <c r="F52" s="293"/>
      <c r="G52" s="294">
        <v>100000</v>
      </c>
      <c r="H52" s="292"/>
      <c r="I52" s="294">
        <f>$G$52*(1+I35)</f>
        <v>171800</v>
      </c>
      <c r="J52" s="292"/>
      <c r="K52" s="294">
        <f>$G$50*(1+K35)</f>
        <v>160800</v>
      </c>
      <c r="L52" s="292"/>
      <c r="M52" s="294">
        <f>$G$50*(1+M35)</f>
        <v>199600</v>
      </c>
      <c r="N52" s="292"/>
      <c r="O52" s="294">
        <f>$G$50*(1+O35)</f>
        <v>207600</v>
      </c>
      <c r="P52" s="295"/>
      <c r="Q52" s="294">
        <f>$G$50*(1+Q35)</f>
        <v>216350</v>
      </c>
      <c r="R52" s="295"/>
      <c r="S52" s="294">
        <f>$G$50*(1+S35)</f>
        <v>226450</v>
      </c>
      <c r="T52" s="295"/>
      <c r="U52" s="294">
        <f>$G$50*(1+U35)</f>
        <v>311680</v>
      </c>
      <c r="V52" s="292"/>
      <c r="W52" s="297">
        <f>$G$50*(1+W35)</f>
        <v>340000</v>
      </c>
      <c r="X52" s="302">
        <f t="shared" si="16"/>
        <v>2.4</v>
      </c>
      <c r="Y52" s="195">
        <f t="shared" si="18"/>
        <v>826</v>
      </c>
      <c r="Z52" s="229">
        <f t="shared" si="17"/>
        <v>2.9055690072639223E-3</v>
      </c>
    </row>
    <row r="53" spans="1:34" x14ac:dyDescent="0.25">
      <c r="A53" s="195"/>
      <c r="B53" s="195"/>
      <c r="C53" s="195"/>
      <c r="D53" s="318" t="s">
        <v>290</v>
      </c>
      <c r="E53" s="190"/>
      <c r="F53" s="190"/>
      <c r="G53" s="218">
        <v>100000</v>
      </c>
      <c r="I53" s="218">
        <f>G53*(1+I29)</f>
        <v>163975.89051466723</v>
      </c>
      <c r="K53" s="218">
        <f>I53*(1+K29)</f>
        <v>136528.16565354745</v>
      </c>
      <c r="M53" s="218">
        <f>K53*(1+M29)</f>
        <v>149436.92854741056</v>
      </c>
      <c r="O53" s="218">
        <f>M53*(1+O29)</f>
        <v>172368.12167900597</v>
      </c>
      <c r="Q53" s="218">
        <f>O53*(1+Q29)</f>
        <v>143225.32321489335</v>
      </c>
      <c r="S53" s="218">
        <f>Q53*(1+S29)</f>
        <v>168757.67893349656</v>
      </c>
      <c r="U53" s="218">
        <f>S53*(1+U29)</f>
        <v>273765.68254166411</v>
      </c>
      <c r="W53" s="218">
        <f>U53*(1+W29)</f>
        <v>324304.18946100993</v>
      </c>
      <c r="X53" s="302">
        <f t="shared" si="16"/>
        <v>2.2430418946100992</v>
      </c>
      <c r="Y53" s="195">
        <f t="shared" si="18"/>
        <v>826</v>
      </c>
      <c r="Z53" s="229">
        <f t="shared" si="17"/>
        <v>2.7155470879056893E-3</v>
      </c>
    </row>
    <row r="54" spans="1:34" x14ac:dyDescent="0.25">
      <c r="A54" s="195"/>
      <c r="B54" s="195"/>
      <c r="C54" s="195"/>
      <c r="D54" s="316" t="s">
        <v>277</v>
      </c>
      <c r="E54" s="190"/>
      <c r="F54" s="190"/>
      <c r="G54" s="218">
        <v>100000</v>
      </c>
      <c r="I54" s="218">
        <f>G54*(1+I27)</f>
        <v>154808.24849737977</v>
      </c>
      <c r="K54" s="218">
        <f>I54*(1+K27)</f>
        <v>142109.05313359539</v>
      </c>
      <c r="M54" s="218">
        <f>K54*(1+M27)</f>
        <v>159294.99665378121</v>
      </c>
      <c r="O54" s="218">
        <f>M54*(1+O27)</f>
        <v>158317.19248158671</v>
      </c>
      <c r="Q54" s="218">
        <f>O54*(1+Q27)</f>
        <v>146015.09385303699</v>
      </c>
      <c r="S54" s="218">
        <f>Q54*(1+S27)</f>
        <v>155376.42464015662</v>
      </c>
      <c r="U54" s="218">
        <f>S54*(1+U27)</f>
        <v>216714.6578911285</v>
      </c>
      <c r="W54" s="218">
        <f>U54*(1+W27)</f>
        <v>261362.38777454206</v>
      </c>
      <c r="X54" s="302">
        <f t="shared" si="16"/>
        <v>1.6136238777454208</v>
      </c>
      <c r="Y54" s="195">
        <f t="shared" si="18"/>
        <v>826</v>
      </c>
      <c r="Z54" s="229">
        <f t="shared" si="17"/>
        <v>1.9535398035658846E-3</v>
      </c>
    </row>
    <row r="55" spans="1:34" x14ac:dyDescent="0.25">
      <c r="A55" s="195"/>
      <c r="B55" s="195"/>
      <c r="C55" s="195"/>
      <c r="D55" s="317" t="s">
        <v>279</v>
      </c>
      <c r="E55" s="190"/>
      <c r="F55" s="190"/>
      <c r="G55" s="218">
        <v>100000</v>
      </c>
      <c r="I55" s="218">
        <f>G55*(1+I25)</f>
        <v>133272.33606557376</v>
      </c>
      <c r="K55" s="218">
        <f>I55*(1+K25)</f>
        <v>102528.48360655736</v>
      </c>
      <c r="L55" s="218"/>
      <c r="M55" s="218">
        <f>K55*(1+M25)</f>
        <v>107086.37295081966</v>
      </c>
      <c r="N55" s="218"/>
      <c r="O55" s="218">
        <f>M55*(1+O25)</f>
        <v>131771.31147540981</v>
      </c>
      <c r="P55" s="218"/>
      <c r="Q55" s="218">
        <f>O55*(1+Q25)</f>
        <v>98465.061475409821</v>
      </c>
      <c r="R55" s="218"/>
      <c r="S55" s="218">
        <f>Q55*(1+S25)</f>
        <v>111972.13114754097</v>
      </c>
      <c r="T55" s="218"/>
      <c r="U55" s="218">
        <f>S55*(1+U25)</f>
        <v>173622.43852459016</v>
      </c>
      <c r="V55" s="218"/>
      <c r="W55" s="218">
        <f>U55*(1+W25)</f>
        <v>235022.5409836066</v>
      </c>
      <c r="X55" s="302">
        <f t="shared" si="16"/>
        <v>1.350225409836066</v>
      </c>
      <c r="Y55" s="195">
        <f t="shared" si="18"/>
        <v>826</v>
      </c>
      <c r="Z55" s="229">
        <f t="shared" si="17"/>
        <v>1.6346554598499587E-3</v>
      </c>
    </row>
    <row r="56" spans="1:34" x14ac:dyDescent="0.25">
      <c r="A56" s="195"/>
      <c r="B56" s="195"/>
      <c r="C56" s="195"/>
      <c r="E56" s="190"/>
      <c r="F56" s="190"/>
      <c r="G56" s="218"/>
      <c r="I56" s="218"/>
      <c r="K56" s="218"/>
      <c r="M56" s="218"/>
      <c r="O56" s="218"/>
      <c r="Q56" s="218"/>
      <c r="S56" s="218"/>
      <c r="U56" s="218"/>
      <c r="V56" s="192"/>
      <c r="W56" s="243"/>
      <c r="X56" s="244"/>
      <c r="Y56" s="228"/>
    </row>
    <row r="57" spans="1:34" x14ac:dyDescent="0.25">
      <c r="A57" s="195" t="s">
        <v>240</v>
      </c>
      <c r="B57" s="195"/>
      <c r="C57" s="195"/>
      <c r="D57" s="192"/>
      <c r="E57" s="192"/>
      <c r="F57" s="192"/>
      <c r="G57" s="192"/>
      <c r="H57" s="192"/>
      <c r="I57" s="192"/>
      <c r="K57" s="218"/>
      <c r="M57" s="218"/>
      <c r="O57" s="218"/>
      <c r="Q57" s="218"/>
      <c r="S57" s="218"/>
      <c r="U57" s="218"/>
      <c r="V57" s="192"/>
    </row>
    <row r="58" spans="1:34" hidden="1" x14ac:dyDescent="0.25">
      <c r="A58" s="195">
        <f>AH14-AG14</f>
        <v>364</v>
      </c>
      <c r="B58" s="195"/>
      <c r="C58" s="195"/>
      <c r="D58" s="192"/>
      <c r="E58" s="192"/>
      <c r="F58" s="192"/>
      <c r="G58" s="192"/>
      <c r="H58" s="192"/>
      <c r="I58" s="192"/>
      <c r="K58" s="218"/>
      <c r="M58" s="218"/>
      <c r="O58" s="218"/>
      <c r="Q58" s="218"/>
      <c r="S58" s="218"/>
      <c r="U58" s="218"/>
      <c r="V58" s="192"/>
    </row>
    <row r="59" spans="1:34" hidden="1" x14ac:dyDescent="0.25">
      <c r="A59" s="195">
        <f>AH15-AG15</f>
        <v>740</v>
      </c>
      <c r="B59" s="195"/>
      <c r="C59" s="195"/>
      <c r="D59" s="192"/>
      <c r="E59" s="192"/>
      <c r="F59" s="192"/>
      <c r="G59" s="192"/>
      <c r="H59" s="192"/>
      <c r="I59" s="192"/>
      <c r="K59" s="218"/>
      <c r="M59" s="218"/>
      <c r="O59" s="218"/>
      <c r="Q59" s="218"/>
      <c r="S59" s="218"/>
      <c r="U59" s="218"/>
      <c r="V59" s="192"/>
    </row>
    <row r="60" spans="1:34" hidden="1" x14ac:dyDescent="0.25">
      <c r="A60" s="195">
        <f>AH16-AG16</f>
        <v>826</v>
      </c>
      <c r="B60" s="195"/>
      <c r="C60" s="195"/>
      <c r="D60" s="192"/>
      <c r="E60" s="192"/>
      <c r="F60" s="192"/>
      <c r="G60" s="192"/>
      <c r="H60" s="192"/>
      <c r="I60" s="192"/>
      <c r="K60" s="218"/>
      <c r="M60" s="218"/>
      <c r="O60" s="218"/>
      <c r="Q60" s="218"/>
      <c r="S60" s="218"/>
      <c r="U60" s="218"/>
      <c r="V60" s="192"/>
    </row>
    <row r="61" spans="1:34" hidden="1" x14ac:dyDescent="0.25">
      <c r="A61" s="195"/>
      <c r="B61" s="195"/>
      <c r="C61" s="195"/>
      <c r="D61" s="192"/>
      <c r="E61" s="192"/>
      <c r="F61" s="192"/>
      <c r="G61" s="192"/>
      <c r="H61" s="192"/>
      <c r="I61" s="192"/>
      <c r="K61" s="218"/>
      <c r="M61" s="218"/>
      <c r="O61" s="218"/>
      <c r="Q61" s="218"/>
      <c r="S61" s="218"/>
      <c r="U61" s="218"/>
      <c r="V61" s="192"/>
    </row>
    <row r="62" spans="1:34" x14ac:dyDescent="0.25">
      <c r="A62" s="195"/>
      <c r="B62" s="195"/>
      <c r="C62" s="195"/>
      <c r="D62" s="192"/>
      <c r="E62" s="192"/>
      <c r="F62" s="192"/>
      <c r="G62" s="192"/>
      <c r="H62" s="192"/>
      <c r="I62" s="192"/>
      <c r="K62" s="218"/>
      <c r="M62" s="218"/>
      <c r="O62" s="218"/>
      <c r="Q62" s="218"/>
      <c r="S62" s="218"/>
      <c r="U62" s="218"/>
      <c r="V62" s="192"/>
    </row>
    <row r="63" spans="1:34" x14ac:dyDescent="0.25">
      <c r="A63" s="195">
        <f>AH19-AG19</f>
        <v>364</v>
      </c>
      <c r="B63" s="195"/>
      <c r="C63" s="195"/>
      <c r="D63" s="192"/>
      <c r="E63" s="192"/>
      <c r="F63" s="192"/>
      <c r="G63" s="192"/>
      <c r="H63" s="192"/>
      <c r="I63" s="192"/>
      <c r="V63" s="192"/>
      <c r="X63" s="189"/>
    </row>
    <row r="64" spans="1:34" x14ac:dyDescent="0.25">
      <c r="A64" s="195">
        <f>AH20-AG20</f>
        <v>740</v>
      </c>
      <c r="B64" s="195"/>
      <c r="C64" s="195"/>
      <c r="D64" s="192"/>
      <c r="E64" s="192"/>
      <c r="F64" s="192"/>
      <c r="G64" s="192"/>
      <c r="H64" s="192"/>
      <c r="I64" s="192"/>
      <c r="V64" s="192"/>
    </row>
    <row r="65" spans="1:22" x14ac:dyDescent="0.25">
      <c r="A65" s="195">
        <f>AH21-AG21</f>
        <v>826</v>
      </c>
      <c r="B65" s="195"/>
      <c r="C65" s="195"/>
      <c r="D65" s="192"/>
      <c r="E65" s="192"/>
      <c r="F65" s="192"/>
      <c r="G65" s="192"/>
      <c r="H65" s="192"/>
      <c r="I65" s="192"/>
      <c r="V65" s="192"/>
    </row>
    <row r="66" spans="1:22" x14ac:dyDescent="0.25">
      <c r="A66" s="195"/>
      <c r="B66" s="195"/>
      <c r="C66" s="195"/>
      <c r="D66" s="192"/>
      <c r="E66" s="192"/>
      <c r="F66" s="192"/>
      <c r="G66" s="192"/>
      <c r="H66" s="192"/>
      <c r="I66" s="192"/>
      <c r="V66" s="192"/>
    </row>
    <row r="67" spans="1:22" x14ac:dyDescent="0.25">
      <c r="A67" s="195"/>
      <c r="B67" s="195"/>
      <c r="C67" s="195"/>
      <c r="D67" s="192"/>
      <c r="E67" s="192"/>
      <c r="F67" s="192"/>
      <c r="G67" s="192"/>
      <c r="H67" s="192"/>
      <c r="I67" s="192"/>
      <c r="V67" s="192"/>
    </row>
    <row r="68" spans="1:22" x14ac:dyDescent="0.25">
      <c r="A68" s="195"/>
      <c r="B68" s="195"/>
      <c r="C68" s="195"/>
      <c r="D68" s="192"/>
      <c r="E68" s="192"/>
      <c r="F68" s="192"/>
      <c r="G68" s="192"/>
      <c r="H68" s="192"/>
      <c r="I68" s="192"/>
      <c r="V68" s="192"/>
    </row>
    <row r="69" spans="1:22" x14ac:dyDescent="0.25">
      <c r="A69" s="195"/>
      <c r="B69" s="195"/>
      <c r="C69" s="195"/>
      <c r="D69" s="192"/>
      <c r="E69" s="192"/>
      <c r="F69" s="192"/>
      <c r="G69" s="192"/>
      <c r="H69" s="192"/>
      <c r="I69" s="192"/>
      <c r="V69" s="192"/>
    </row>
    <row r="70" spans="1:22" x14ac:dyDescent="0.25">
      <c r="A70" s="195"/>
      <c r="B70" s="195"/>
      <c r="C70" s="195"/>
      <c r="D70" s="192"/>
      <c r="E70" s="192"/>
      <c r="F70" s="192"/>
      <c r="G70" s="192"/>
      <c r="H70" s="192"/>
      <c r="I70" s="192"/>
      <c r="V70" s="192"/>
    </row>
    <row r="71" spans="1:22" x14ac:dyDescent="0.25">
      <c r="A71" s="195"/>
      <c r="B71" s="195"/>
      <c r="C71" s="195"/>
      <c r="D71" s="192"/>
      <c r="E71" s="192"/>
      <c r="F71" s="192"/>
      <c r="G71" s="192"/>
      <c r="H71" s="192"/>
      <c r="I71" s="192"/>
      <c r="V71" s="192"/>
    </row>
    <row r="72" spans="1:22" x14ac:dyDescent="0.25">
      <c r="A72" s="195"/>
      <c r="B72" s="195"/>
      <c r="C72" s="195"/>
      <c r="D72" s="192"/>
      <c r="E72" s="192"/>
      <c r="F72" s="192"/>
      <c r="G72" s="192"/>
      <c r="H72" s="192"/>
      <c r="I72" s="192"/>
      <c r="V72" s="192"/>
    </row>
    <row r="73" spans="1:22" x14ac:dyDescent="0.25">
      <c r="A73" s="195"/>
      <c r="B73" s="195"/>
      <c r="C73" s="195"/>
      <c r="D73" s="192"/>
      <c r="E73" s="192"/>
      <c r="F73" s="192"/>
      <c r="G73" s="192"/>
      <c r="H73" s="192"/>
      <c r="I73" s="192"/>
      <c r="V73" s="192"/>
    </row>
    <row r="74" spans="1:22" x14ac:dyDescent="0.25">
      <c r="A74" s="195"/>
      <c r="B74" s="195"/>
      <c r="C74" s="195"/>
      <c r="D74" s="192"/>
      <c r="E74" s="192"/>
      <c r="F74" s="192"/>
      <c r="G74" s="192"/>
      <c r="H74" s="192"/>
      <c r="I74" s="192"/>
      <c r="V74" s="192"/>
    </row>
    <row r="75" spans="1:22" x14ac:dyDescent="0.25">
      <c r="A75" s="195">
        <f>AH31-AG31</f>
        <v>364</v>
      </c>
      <c r="B75" s="195"/>
      <c r="C75" s="195"/>
      <c r="D75" s="192"/>
      <c r="E75" s="192"/>
      <c r="F75" s="192"/>
      <c r="G75" s="192"/>
      <c r="H75" s="192"/>
      <c r="I75" s="192"/>
      <c r="V75" s="192"/>
    </row>
    <row r="76" spans="1:22" x14ac:dyDescent="0.25">
      <c r="A76" s="195">
        <f>AH32-AG32</f>
        <v>740</v>
      </c>
      <c r="B76" s="195"/>
      <c r="C76" s="195"/>
      <c r="D76" s="192"/>
      <c r="E76" s="192"/>
      <c r="F76" s="192"/>
      <c r="G76" s="192"/>
      <c r="H76" s="192"/>
      <c r="I76" s="192"/>
      <c r="V76" s="192"/>
    </row>
    <row r="77" spans="1:22" x14ac:dyDescent="0.25">
      <c r="A77" s="195">
        <f>AH33-AG33</f>
        <v>826</v>
      </c>
      <c r="B77" s="195"/>
      <c r="C77" s="195"/>
      <c r="D77" s="192"/>
      <c r="E77" s="192"/>
      <c r="F77" s="192"/>
      <c r="G77" s="192"/>
      <c r="H77" s="192"/>
      <c r="I77" s="192"/>
      <c r="V77" s="192"/>
    </row>
    <row r="78" spans="1:22" x14ac:dyDescent="0.25">
      <c r="A78" s="195"/>
      <c r="B78" s="195"/>
      <c r="C78" s="195"/>
      <c r="D78" s="192"/>
      <c r="E78" s="192"/>
      <c r="F78" s="192"/>
      <c r="G78" s="192"/>
      <c r="H78" s="192"/>
      <c r="I78" s="192"/>
      <c r="V78" s="192"/>
    </row>
    <row r="79" spans="1:22" x14ac:dyDescent="0.25">
      <c r="A79" s="195"/>
      <c r="B79" s="195"/>
      <c r="C79" s="195"/>
      <c r="D79" s="192"/>
      <c r="E79" s="192"/>
      <c r="F79" s="192"/>
      <c r="G79" s="192"/>
      <c r="H79" s="192"/>
      <c r="I79" s="192"/>
      <c r="V79" s="192"/>
    </row>
    <row r="80" spans="1:22" x14ac:dyDescent="0.25">
      <c r="A80" s="195">
        <f>AH36-AG36</f>
        <v>364</v>
      </c>
      <c r="B80" s="195"/>
      <c r="C80" s="195"/>
      <c r="D80" s="192"/>
      <c r="E80" s="192"/>
      <c r="F80" s="192"/>
      <c r="G80" s="192"/>
      <c r="H80" s="192"/>
      <c r="I80" s="192"/>
      <c r="V80" s="192"/>
    </row>
    <row r="81" spans="1:22" x14ac:dyDescent="0.25">
      <c r="A81" s="195">
        <f>AH37-AG37</f>
        <v>497</v>
      </c>
      <c r="B81" s="195"/>
      <c r="C81" s="195"/>
      <c r="D81" s="192"/>
      <c r="E81" s="192"/>
      <c r="F81" s="192"/>
      <c r="G81" s="192"/>
      <c r="H81" s="192"/>
      <c r="I81" s="192"/>
      <c r="V81" s="192"/>
    </row>
    <row r="82" spans="1:22" x14ac:dyDescent="0.25">
      <c r="A82" s="195">
        <f>AH38-AG38</f>
        <v>826</v>
      </c>
      <c r="B82" s="195"/>
      <c r="C82" s="195"/>
      <c r="D82" s="192"/>
      <c r="E82" s="192"/>
      <c r="F82" s="192"/>
      <c r="G82" s="192"/>
      <c r="H82" s="192"/>
      <c r="I82" s="192"/>
      <c r="V82" s="192"/>
    </row>
    <row r="112" spans="11:11" x14ac:dyDescent="0.25">
      <c r="K112" s="195" t="s">
        <v>303</v>
      </c>
    </row>
  </sheetData>
  <mergeCells count="13">
    <mergeCell ref="U2:X2"/>
    <mergeCell ref="E2:F2"/>
    <mergeCell ref="M11:O11"/>
    <mergeCell ref="Q11:S11"/>
    <mergeCell ref="U11:W11"/>
    <mergeCell ref="E11:G11"/>
    <mergeCell ref="I11:K11"/>
    <mergeCell ref="G10:I10"/>
    <mergeCell ref="K10:M10"/>
    <mergeCell ref="O10:Q10"/>
    <mergeCell ref="S10:U10"/>
    <mergeCell ref="W10:Y10"/>
    <mergeCell ref="H2:I2"/>
  </mergeCells>
  <conditionalFormatting sqref="H40:W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X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0:Z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322" t="s">
        <v>204</v>
      </c>
      <c r="D2" s="324"/>
      <c r="E2" s="191" t="s">
        <v>217</v>
      </c>
      <c r="F2" s="322" t="s">
        <v>205</v>
      </c>
      <c r="G2" s="32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322" t="s">
        <v>220</v>
      </c>
      <c r="S2" s="323"/>
      <c r="T2" s="323"/>
      <c r="U2" s="32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327"/>
      <c r="D10" s="328"/>
      <c r="E10" s="329"/>
      <c r="F10" s="327"/>
      <c r="G10" s="328"/>
      <c r="H10" s="329"/>
      <c r="J10" s="327"/>
      <c r="K10" s="328"/>
      <c r="L10" s="329"/>
      <c r="N10" s="330"/>
      <c r="O10" s="331"/>
      <c r="P10" s="332"/>
      <c r="R10" s="327"/>
      <c r="S10" s="328"/>
      <c r="T10" s="329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336" t="s">
        <v>192</v>
      </c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ON2_MEF_v13_GITHUB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2024-02-27T00:00:06Z</dcterms:modified>
</cp:coreProperties>
</file>