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56D60A39-9064-4A05-AA62-CCFACE1AFF8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L3" i="9" s="1"/>
  <c r="T4" i="9"/>
  <c r="T5" i="9"/>
  <c r="T6" i="9"/>
  <c r="T3" i="9"/>
  <c r="S4" i="9"/>
  <c r="S5" i="9"/>
  <c r="S6" i="9"/>
  <c r="S3" i="9"/>
  <c r="G3" i="9"/>
  <c r="I40" i="9"/>
  <c r="L41" i="9"/>
  <c r="N41" i="9"/>
  <c r="P41" i="9"/>
  <c r="R41" i="9" s="1"/>
  <c r="T41" i="9" s="1"/>
  <c r="V41" i="9" s="1"/>
  <c r="I41" i="9"/>
  <c r="I25" i="9"/>
  <c r="K25" i="9"/>
  <c r="M25" i="9"/>
  <c r="O25" i="9"/>
  <c r="Q25" i="9"/>
  <c r="S25" i="9"/>
  <c r="U25" i="9"/>
  <c r="W25" i="9"/>
  <c r="Y23" i="9"/>
  <c r="I23" i="9"/>
  <c r="Y13" i="9"/>
  <c r="W13" i="9"/>
  <c r="U13" i="9"/>
  <c r="S13" i="9"/>
  <c r="Q13" i="9"/>
  <c r="O13" i="9"/>
  <c r="M13" i="9"/>
  <c r="K13" i="9"/>
  <c r="I13" i="9"/>
  <c r="G13" i="9"/>
  <c r="G15" i="9"/>
  <c r="Y15" i="9"/>
  <c r="W15" i="9"/>
  <c r="U15" i="9"/>
  <c r="S15" i="9"/>
  <c r="Q15" i="9"/>
  <c r="O15" i="9"/>
  <c r="M15" i="9"/>
  <c r="K15" i="9"/>
  <c r="I15" i="9"/>
  <c r="L7" i="9" l="1"/>
  <c r="L6" i="9"/>
  <c r="L5" i="9"/>
  <c r="L4" i="9"/>
  <c r="I30" i="9"/>
  <c r="AC22" i="9"/>
  <c r="Y18" i="9"/>
  <c r="W18" i="9"/>
  <c r="U18" i="9"/>
  <c r="S18" i="9"/>
  <c r="Q18" i="9"/>
  <c r="O18" i="9"/>
  <c r="M18" i="9"/>
  <c r="K18" i="9"/>
  <c r="I18" i="9"/>
  <c r="G18" i="9"/>
  <c r="E18" i="9"/>
  <c r="Y17" i="9"/>
  <c r="W17" i="9"/>
  <c r="U17" i="9"/>
  <c r="S17" i="9"/>
  <c r="Q17" i="9"/>
  <c r="O17" i="9"/>
  <c r="M17" i="9"/>
  <c r="K17" i="9"/>
  <c r="I17" i="9"/>
  <c r="G17" i="9"/>
  <c r="G21" i="9"/>
  <c r="Q19" i="9" l="1"/>
  <c r="G19" i="9"/>
  <c r="I19" i="9"/>
  <c r="K19" i="9"/>
  <c r="M19" i="9"/>
  <c r="O19" i="9"/>
  <c r="S19" i="9"/>
  <c r="U19" i="9"/>
  <c r="W19" i="9"/>
  <c r="Y19" i="9"/>
  <c r="AC20" i="9" l="1"/>
  <c r="AC23" i="9"/>
  <c r="K23" i="9"/>
  <c r="K41" i="9" s="1"/>
  <c r="W23" i="9"/>
  <c r="U23" i="9"/>
  <c r="S23" i="9"/>
  <c r="Q23" i="9"/>
  <c r="M23" i="9"/>
  <c r="O23" i="9"/>
  <c r="AC21" i="9"/>
  <c r="AC27" i="9"/>
  <c r="AD22" i="9" s="1"/>
  <c r="AD20" i="9"/>
  <c r="F7" i="11"/>
  <c r="G7" i="11" s="1"/>
  <c r="W40" i="9"/>
  <c r="U40" i="9"/>
  <c r="S40" i="9"/>
  <c r="Q40" i="9"/>
  <c r="O40" i="9"/>
  <c r="M40" i="9"/>
  <c r="K40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47" i="9"/>
  <c r="A46" i="9"/>
  <c r="A45" i="9"/>
  <c r="S30" i="9"/>
  <c r="S39" i="9" s="1"/>
  <c r="O30" i="9"/>
  <c r="O39" i="9" s="1"/>
  <c r="K30" i="9"/>
  <c r="K39" i="9" s="1"/>
  <c r="U30" i="9"/>
  <c r="U39" i="9" s="1"/>
  <c r="Q30" i="9"/>
  <c r="Q39" i="9" s="1"/>
  <c r="M30" i="9"/>
  <c r="M39" i="9" s="1"/>
  <c r="I39" i="9"/>
  <c r="U29" i="9"/>
  <c r="Q29" i="9"/>
  <c r="M29" i="9"/>
  <c r="I29" i="9"/>
  <c r="I21" i="9"/>
  <c r="M21" i="9"/>
  <c r="U21" i="9"/>
  <c r="Q21" i="9"/>
  <c r="U28" i="9"/>
  <c r="Q28" i="9"/>
  <c r="M28" i="9"/>
  <c r="I28" i="9"/>
  <c r="K21" i="9"/>
  <c r="O21" i="9"/>
  <c r="S21" i="9"/>
  <c r="W20" i="9"/>
  <c r="W27" i="9"/>
  <c r="S27" i="9"/>
  <c r="O27" i="9"/>
  <c r="K27" i="9"/>
  <c r="G27" i="9"/>
  <c r="E27" i="9"/>
  <c r="N7" i="9"/>
  <c r="O7" i="9"/>
  <c r="P7" i="9"/>
  <c r="Q7" i="9"/>
  <c r="M7" i="9"/>
  <c r="R3" i="9"/>
  <c r="R4" i="9"/>
  <c r="R5" i="9"/>
  <c r="R6" i="9"/>
  <c r="T7" i="9" l="1"/>
  <c r="S7" i="9"/>
  <c r="M41" i="9"/>
  <c r="O41" i="9" s="1"/>
  <c r="Q41" i="9" s="1"/>
  <c r="S41" i="9" s="1"/>
  <c r="U41" i="9" s="1"/>
  <c r="W41" i="9" s="1"/>
  <c r="I38" i="9"/>
  <c r="I36" i="9"/>
  <c r="K36" i="9" s="1"/>
  <c r="M36" i="9" s="1"/>
  <c r="O36" i="9" s="1"/>
  <c r="Q36" i="9" s="1"/>
  <c r="S36" i="9" s="1"/>
  <c r="U36" i="9" s="1"/>
  <c r="W36" i="9" s="1"/>
  <c r="I37" i="9"/>
  <c r="K37" i="9" s="1"/>
  <c r="M37" i="9" s="1"/>
  <c r="I35" i="9"/>
  <c r="K35" i="9" s="1"/>
  <c r="M35" i="9" s="1"/>
  <c r="O35" i="9" s="1"/>
  <c r="Q35" i="9" s="1"/>
  <c r="S35" i="9" s="1"/>
  <c r="U35" i="9" s="1"/>
  <c r="W35" i="9" s="1"/>
  <c r="W21" i="9"/>
  <c r="Y21" i="9"/>
  <c r="AB37" i="9"/>
  <c r="AD23" i="9"/>
  <c r="AD21" i="9"/>
  <c r="G66" i="9"/>
  <c r="AD30" i="9"/>
  <c r="AD27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0" i="9"/>
  <c r="W39" i="9" s="1"/>
  <c r="G61" i="9" s="1"/>
  <c r="K38" i="9"/>
  <c r="M38" i="9" s="1"/>
  <c r="O38" i="9" s="1"/>
  <c r="Q38" i="9" s="1"/>
  <c r="S38" i="9" s="1"/>
  <c r="U38" i="9" s="1"/>
  <c r="F52" i="9"/>
  <c r="G62" i="9"/>
  <c r="F51" i="9"/>
  <c r="F50" i="9"/>
  <c r="F49" i="9" s="1"/>
  <c r="F54" i="9" s="1"/>
  <c r="G64" i="9"/>
  <c r="G63" i="9"/>
  <c r="R7" i="9"/>
  <c r="O37" i="9" l="1"/>
  <c r="Q37" i="9" s="1"/>
  <c r="S37" i="9" s="1"/>
  <c r="U37" i="9" s="1"/>
  <c r="W37" i="9" s="1"/>
  <c r="W38" i="9"/>
  <c r="G56" i="9" s="1"/>
  <c r="F56" i="9"/>
  <c r="F59" i="9"/>
  <c r="F57" i="9"/>
  <c r="F58" i="9"/>
  <c r="G59" i="9"/>
  <c r="F6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F64" i="9"/>
  <c r="G57" i="9" l="1"/>
  <c r="G58" i="9"/>
  <c r="G52" i="9"/>
  <c r="G51" i="9"/>
  <c r="G49" i="9"/>
  <c r="G50" i="9"/>
  <c r="F61" i="9"/>
  <c r="F67" i="9"/>
  <c r="S7" i="10"/>
  <c r="U7" i="10"/>
  <c r="T7" i="10"/>
  <c r="R7" i="10"/>
  <c r="D39" i="10"/>
  <c r="A39" i="10" s="1"/>
  <c r="A34" i="10"/>
  <c r="D35" i="10"/>
  <c r="A35" i="10" s="1"/>
  <c r="F62" i="9"/>
  <c r="F63" i="9" s="1"/>
  <c r="F68" i="9" l="1"/>
  <c r="F66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G8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3" i="9" l="1"/>
  <c r="J3" i="9"/>
  <c r="K7" i="9"/>
  <c r="J7" i="9"/>
  <c r="I27" i="9"/>
  <c r="AB30" i="9" s="1"/>
  <c r="E52" i="9"/>
  <c r="H52" i="9" s="1"/>
  <c r="I52" i="9" s="1"/>
  <c r="U3" i="9"/>
  <c r="K6" i="9"/>
  <c r="E49" i="9"/>
  <c r="E54" i="9" s="1"/>
  <c r="Q27" i="9"/>
  <c r="U27" i="9"/>
  <c r="AD37" i="9" s="1"/>
  <c r="K5" i="9"/>
  <c r="M27" i="9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J8" i="9" l="1"/>
  <c r="E51" i="9"/>
  <c r="A51" i="9" s="1"/>
  <c r="AD31" i="9"/>
  <c r="E59" i="9"/>
  <c r="H59" i="9" s="1"/>
  <c r="I59" i="9" s="1"/>
  <c r="A52" i="9"/>
  <c r="W4" i="9"/>
  <c r="X4" i="9"/>
  <c r="AB35" i="9"/>
  <c r="AB32" i="9"/>
  <c r="AD35" i="9"/>
  <c r="AB31" i="9"/>
  <c r="AD32" i="9"/>
  <c r="V6" i="9"/>
  <c r="U4" i="9"/>
  <c r="E56" i="9"/>
  <c r="H49" i="9"/>
  <c r="I49" i="9" s="1"/>
  <c r="W5" i="9"/>
  <c r="V5" i="9"/>
  <c r="E69" i="9"/>
  <c r="E64" i="9"/>
  <c r="V4" i="9"/>
  <c r="X3" i="9"/>
  <c r="W3" i="9"/>
  <c r="V3" i="9"/>
  <c r="U6" i="9"/>
  <c r="U5" i="9"/>
  <c r="X6" i="9"/>
  <c r="W6" i="9"/>
  <c r="X5" i="9"/>
  <c r="E50" i="9"/>
  <c r="H50" i="9" s="1"/>
  <c r="I50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E58" i="9" l="1"/>
  <c r="H58" i="9" s="1"/>
  <c r="I58" i="9" s="1"/>
  <c r="E63" i="9"/>
  <c r="H63" i="9" s="1"/>
  <c r="I63" i="9" s="1"/>
  <c r="H51" i="9"/>
  <c r="I51" i="9" s="1"/>
  <c r="AD39" i="9"/>
  <c r="AB39" i="9"/>
  <c r="U7" i="9"/>
  <c r="E61" i="9"/>
  <c r="H56" i="9"/>
  <c r="I56" i="9" s="1"/>
  <c r="A64" i="9"/>
  <c r="H64" i="9"/>
  <c r="I64" i="9" s="1"/>
  <c r="A69" i="9"/>
  <c r="H69" i="9"/>
  <c r="I69" i="9" s="1"/>
  <c r="E68" i="9"/>
  <c r="A63" i="9"/>
  <c r="W7" i="9"/>
  <c r="A50" i="9"/>
  <c r="E57" i="9"/>
  <c r="H57" i="9" s="1"/>
  <c r="I57" i="9" s="1"/>
  <c r="X7" i="9"/>
  <c r="V7" i="9"/>
  <c r="E67" i="9"/>
  <c r="E62" i="9"/>
  <c r="CL108" i="1"/>
  <c r="CL114" i="1"/>
  <c r="CK99" i="1"/>
  <c r="CK100" i="1" s="1"/>
  <c r="CK101" i="1" s="1"/>
  <c r="CK102" i="1"/>
  <c r="CK103" i="1" s="1"/>
  <c r="CK104" i="1" s="1"/>
  <c r="AF39" i="9" l="1"/>
  <c r="AG39" i="9" s="1"/>
  <c r="AH39" i="9" s="1"/>
  <c r="E66" i="9"/>
  <c r="H66" i="9" s="1"/>
  <c r="I66" i="9" s="1"/>
  <c r="H61" i="9"/>
  <c r="I61" i="9" s="1"/>
  <c r="A62" i="9"/>
  <c r="H62" i="9"/>
  <c r="I62" i="9" s="1"/>
  <c r="A67" i="9"/>
  <c r="H67" i="9"/>
  <c r="I67" i="9" s="1"/>
  <c r="H68" i="9"/>
  <c r="I68" i="9" s="1"/>
  <c r="A6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<sst xmlns="http://schemas.openxmlformats.org/spreadsheetml/2006/main" count="689" uniqueCount="291">
  <si>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</si>
  <si>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</si>
  <si>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</si>
  <si>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</si>
  <si>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</si>
  <si>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</si>
  <si>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</si>
  <si>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</si>
  <si>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</si>
  <si>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</si>
  <si>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</si>
  <si>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</si>
  <si>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</si>
  <si>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</si>
  <si>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</si>
  <si>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</si>
  <si>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</si>
  <si>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</si>
  <si>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</si>
  <si>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</si>
  <si>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</si>
  <si>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</si>
  <si>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</si>
  <si>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</si>
  <si>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</si>
  <si>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</si>
  <si>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</si>
  <si>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</si>
  <si>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</si>
  <si>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</si>
  <si>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</si>
  <si>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</si>
  <si>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</si>
  <si>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</si>
  <si>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</si>
  <si>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</si>
  <si>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</si>
  <si>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</si>
  <si>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</si>
  <si>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</si>
  <si>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</si>
  <si>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</si>
  <si>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</si>
  <si>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</si>
  <si>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</si>
  <si>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</si>
  <si>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</si>
  <si>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</si>
  <si>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</si>
  <si>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</si>
  <si>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</si>
  <si>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</si>
  <si>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</si>
  <si>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</si>
  <si>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</si>
  <si>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</si>
  <si>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</si>
  <si>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</si>
  <si>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</si>
  <si>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</si>
  <si>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</si>
  <si>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</si>
  <si>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</si>
  <si>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</si>
  <si>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</si>
  <si>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</si>
  <si>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</si>
  <si>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</si>
  <si>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</si>
  <si>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</si>
  <si>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</si>
  <si>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</si>
  <si>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</si>
  <si>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</si>
  <si>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</si>
  <si>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</si>
  <si>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</si>
  <si>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</si>
  <si>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</si>
  <si>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</si>
  <si>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</si>
  <si>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</si>
  <si>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</si>
  <si>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</si>
  <si>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</si>
  <si>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</si>
  <si>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</si>
  <si>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</si>
  <si>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</si>
  <si>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</si>
  <si>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</si>
  <si>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</si>
  <si>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</si>
  <si>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</si>
  <si>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</si>
  <si>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</si>
  <si>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</si>
  <si>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</si>
  <si>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</si>
  <si>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</si>
  <si>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</si>
  <si>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</si>
  <si>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</si>
  <si>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</si>
  <si>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</si>
  <si>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</si>
  <si>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</si>
  <si>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</si>
  <si>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</si>
  <si>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</si>
  <si>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</si>
  <si>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</si>
  <si>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</si>
  <si>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</si>
  <si>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</si>
  <si>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</si>
  <si>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</si>
  <si>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</si>
  <si>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</si>
  <si>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</si>
  <si>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</si>
  <si>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</si>
  <si>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</si>
  <si>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</si>
  <si>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</si>
  <si>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</si>
  <si>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</si>
  <si>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</si>
  <si>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</si>
  <si>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</si>
  <si>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</si>
  <si>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</si>
  <si>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</si>
  <si>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</si>
  <si>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</si>
  <si>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</si>
  <si>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</si>
  <si>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</si>
  <si>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</si>
  <si>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</si>
  <si>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</si>
  <si>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</si>
  <si>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</si>
  <si>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</si>
  <si>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</si>
  <si>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</si>
  <si>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</si>
  <si>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</si>
  <si>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</si>
  <si>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</si>
  <si>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</si>
  <si>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</si>
  <si>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</si>
  <si>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</si>
  <si>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</si>
  <si>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</si>
  <si>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</si>
  <si>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</si>
  <si>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</si>
  <si>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</si>
  <si>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</si>
  <si>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</si>
  <si>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</si>
  <si>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</si>
  <si>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</si>
  <si>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</si>
  <si>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</si>
  <si>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</si>
  <si>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</si>
  <si>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</si>
  <si>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</si>
  <si>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</si>
  <si>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</si>
  <si>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</si>
  <si>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</si>
  <si>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</si>
  <si>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</si>
  <si>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</si>
  <si>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</si>
  <si>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</si>
  <si>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</si>
  <si>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</si>
  <si>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</si>
  <si>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</si>
  <si>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</si>
  <si>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</si>
  <si>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</si>
  <si>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</si>
  <si>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</si>
  <si>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</si>
  <si>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</si>
  <si>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</si>
  <si>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</si>
  <si>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</si>
  <si>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</si>
  <si>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</si>
  <si>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</si>
  <si>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</si>
  <si>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</si>
  <si>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</si>
  <si>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</si>
  <si>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</si>
  <si>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</si>
  <si>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</si>
  <si>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</si>
  <si>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</si>
  <si>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</si>
  <si>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</si>
  <si>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</si>
  <si>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</si>
  <si>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</si>
  <si>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</si>
  <si>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</si>
  <si>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</si>
  <si>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</si>
  <si>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</si>
  <si>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</si>
  <si>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</si>
  <si>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</si>
  <si>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</si>
  <si>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</si>
  <si>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</si>
  <si>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</si>
  <si>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</si>
  <si>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</si>
  <si>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</si>
  <si>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</si>
  <si>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</si>
  <si>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</si>
  <si>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</si>
  <si>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</si>
  <si>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</si>
  <si>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</si>
  <si>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</si>
  <si>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</si>
  <si>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</si>
  <si>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</si>
  <si>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</si>
  <si>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</si>
  <si>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</si>
  <si>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</si>
  <si>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</si>
  <si>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</si>
  <si>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</si>
  <si>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</si>
  <si>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</si>
  <si>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</si>
  <si>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</si>
  <si>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</si>
  <si>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</si>
  <si>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</si>
  <si>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</si>
  <si>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</si>
  <si>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</si>
  <si>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</si>
  <si>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</si>
  <si>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</si>
  <si>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</si>
  <si>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</si>
  <si>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</si>
  <si>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</si>
  <si>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</si>
  <si>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</si>
  <si>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</si>
  <si>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</si>
  <si>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</si>
  <si>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</si>
  <si>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</si>
  <si>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</si>
  <si>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absolute days</t>
  </si>
  <si>
    <t>absolute date</t>
  </si>
  <si>
    <t>MHI SHARPE-IVY KONSOLİDE</t>
  </si>
  <si>
    <t>GRAM ALTIN KAR</t>
  </si>
  <si>
    <t>BIST100</t>
  </si>
  <si>
    <t>BIST100 KAR</t>
  </si>
  <si>
    <t>XU100 KAR</t>
  </si>
  <si>
    <t>TRY=X KAR</t>
  </si>
  <si>
    <t>GC=F KAR</t>
  </si>
  <si>
    <t xml:space="preserve">ZFB </t>
  </si>
  <si>
    <t>ZFB KAR</t>
  </si>
  <si>
    <t>GTY</t>
  </si>
  <si>
    <t>GTY KAR</t>
  </si>
  <si>
    <t>MHI SHARPE-ONS KONSOLİDE</t>
  </si>
  <si>
    <t>MHI KONSOLİDE  MDD ONS</t>
  </si>
  <si>
    <t>ZFB</t>
  </si>
  <si>
    <t>GÜN SAYISI</t>
  </si>
  <si>
    <t>Neg-Sharpe</t>
  </si>
  <si>
    <t>Neg-MDD</t>
  </si>
  <si>
    <t>Ortalama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</si>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</sst>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06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43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43" fontId="18" fillId="0" borderId="1" xfId="0" applyNumberFormat="1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14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[1]ON2_MEF_v13_GITHUB!$C$19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[1]ON2_MEF_v13_GITHUB!$F$17:$V$17</c15:sqref>
                  </c15:fullRef>
                </c:ext>
              </c:extLst>
              <c:f>([1]ON2_MEF_v13_GITHUB!$F$17:$J$17,[1]ON2_MEF_v13_GITHUB!$L$17,[1]ON2_MEF_v13_GITHUB!$N$17,[1]ON2_MEF_v13_GITHUB!$P$17,[1]ON2_MEF_v13_GITHUB!$R$17,[1]ON2_MEF_v13_GITHUB!$T$17,[1]ON2_MEF_v13_GITHUB!$V$17)</c:f>
              <c:strCache>
                <c:ptCount val="11"/>
                <c:pt idx="0">
                  <c:v>44460</c:v>
                </c:pt>
                <c:pt idx="1">
                  <c:v>I</c:v>
                </c:pt>
                <c:pt idx="2">
                  <c:v>44546</c:v>
                </c:pt>
                <c:pt idx="3">
                  <c:v>II</c:v>
                </c:pt>
                <c:pt idx="4">
                  <c:v>44616</c:v>
                </c:pt>
                <c:pt idx="5">
                  <c:v>44719</c:v>
                </c:pt>
                <c:pt idx="6">
                  <c:v>44789</c:v>
                </c:pt>
                <c:pt idx="7">
                  <c:v>44922</c:v>
                </c:pt>
                <c:pt idx="8">
                  <c:v>45055</c:v>
                </c:pt>
                <c:pt idx="9">
                  <c:v>45180</c:v>
                </c:pt>
                <c:pt idx="10">
                  <c:v>45286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[1]ON2_MEF_v13_GITHUB!$F$25:$V$25</c15:sqref>
                  </c15:fullRef>
                </c:ext>
              </c:extLst>
              <c:f>([1]ON2_MEF_v13_GITHUB!$F$25:$J$25,[1]ON2_MEF_v13_GITHUB!$L$25,[1]ON2_MEF_v13_GITHUB!$N$25,[1]ON2_MEF_v13_GITHUB!$P$25,[1]ON2_MEF_v13_GITHUB!$R$25,[1]ON2_MEF_v13_GITHUB!$T$25,[1]ON2_MEF_v13_GITHUB!$V$25)</c:f>
              <c:numCache>
                <c:formatCode>General</c:formatCode>
                <c:ptCount val="11"/>
                <c:pt idx="0">
                  <c:v>100000</c:v>
                </c:pt>
                <c:pt idx="2">
                  <c:v>171099.99999999997</c:v>
                </c:pt>
                <c:pt idx="4">
                  <c:v>171036.02093996119</c:v>
                </c:pt>
                <c:pt idx="5">
                  <c:v>324284.29570216639</c:v>
                </c:pt>
                <c:pt idx="6">
                  <c:v>341104.52349834598</c:v>
                </c:pt>
                <c:pt idx="7">
                  <c:v>609553.78349154419</c:v>
                </c:pt>
                <c:pt idx="8">
                  <c:v>713816.83543261793</c:v>
                </c:pt>
                <c:pt idx="9">
                  <c:v>1372669.7745369242</c:v>
                </c:pt>
                <c:pt idx="10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4685-829B-A9B3874F2BBB}"/>
            </c:ext>
          </c:extLst>
        </c:ser>
        <c:ser>
          <c:idx val="1"/>
          <c:order val="1"/>
          <c:tx>
            <c:strRef>
              <c:f>[1]ON2_MEF_v13_GITHUB!$C$18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44460</c:v>
              </c:pt>
              <c:pt idx="1">
                <c:v>I</c:v>
              </c:pt>
              <c:pt idx="2">
                <c:v>44546</c:v>
              </c:pt>
              <c:pt idx="3">
                <c:v>II</c:v>
              </c:pt>
              <c:pt idx="4">
                <c:v>44616</c:v>
              </c:pt>
              <c:pt idx="5">
                <c:v>44719</c:v>
              </c:pt>
              <c:pt idx="6">
                <c:v>44789</c:v>
              </c:pt>
              <c:pt idx="7">
                <c:v>44922</c:v>
              </c:pt>
              <c:pt idx="8">
                <c:v>45055</c:v>
              </c:pt>
              <c:pt idx="9">
                <c:v>45180</c:v>
              </c:pt>
              <c:pt idx="10">
                <c:v>45286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[1]ON2_MEF_v13_GITHUB!$F$24:$V$24</c15:sqref>
                  </c15:fullRef>
                </c:ext>
              </c:extLst>
              <c:f>([1]ON2_MEF_v13_GITHUB!$F$24:$J$24,[1]ON2_MEF_v13_GITHUB!$L$24,[1]ON2_MEF_v13_GITHUB!$N$24,[1]ON2_MEF_v13_GITHUB!$P$24,[1]ON2_MEF_v13_GITHUB!$R$24,[1]ON2_MEF_v13_GITHUB!$T$24,[1]ON2_MEF_v13_GITHUB!$V$24)</c:f>
              <c:numCache>
                <c:formatCode>General</c:formatCode>
                <c:ptCount val="11"/>
                <c:pt idx="0">
                  <c:v>100000</c:v>
                </c:pt>
                <c:pt idx="2">
                  <c:v>191300</c:v>
                </c:pt>
                <c:pt idx="4">
                  <c:v>191228.46759681229</c:v>
                </c:pt>
                <c:pt idx="5">
                  <c:v>380544.65051765647</c:v>
                </c:pt>
                <c:pt idx="6">
                  <c:v>400283.03376086871</c:v>
                </c:pt>
                <c:pt idx="7">
                  <c:v>880622.67427391128</c:v>
                </c:pt>
                <c:pt idx="8">
                  <c:v>1031251.560706837</c:v>
                </c:pt>
                <c:pt idx="9">
                  <c:v>1614939.9440669066</c:v>
                </c:pt>
                <c:pt idx="10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C-4685-829B-A9B3874F2BBB}"/>
            </c:ext>
          </c:extLst>
        </c:ser>
        <c:ser>
          <c:idx val="2"/>
          <c:order val="2"/>
          <c:tx>
            <c:strRef>
              <c:f>[1]ON2_MEF_v13_GITHUB!$C$26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44460</c:v>
              </c:pt>
              <c:pt idx="1">
                <c:v>I</c:v>
              </c:pt>
              <c:pt idx="2">
                <c:v>44546</c:v>
              </c:pt>
              <c:pt idx="3">
                <c:v>II</c:v>
              </c:pt>
              <c:pt idx="4">
                <c:v>44616</c:v>
              </c:pt>
              <c:pt idx="5">
                <c:v>44719</c:v>
              </c:pt>
              <c:pt idx="6">
                <c:v>44789</c:v>
              </c:pt>
              <c:pt idx="7">
                <c:v>44922</c:v>
              </c:pt>
              <c:pt idx="8">
                <c:v>45055</c:v>
              </c:pt>
              <c:pt idx="9">
                <c:v>45180</c:v>
              </c:pt>
              <c:pt idx="10">
                <c:v>45286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[1]ON2_MEF_v13_GITHUB!$F$26:$V$26</c15:sqref>
                  </c15:fullRef>
                </c:ext>
              </c:extLst>
              <c:f>([1]ON2_MEF_v13_GITHUB!$F$26:$J$26,[1]ON2_MEF_v13_GITHUB!$L$26,[1]ON2_MEF_v13_GITHUB!$N$26,[1]ON2_MEF_v13_GITHUB!$P$26,[1]ON2_MEF_v13_GITHUB!$R$26,[1]ON2_MEF_v13_GITHUB!$T$26,[1]ON2_MEF_v13_GITHUB!$V$26)</c:f>
              <c:numCache>
                <c:formatCode>General</c:formatCode>
                <c:ptCount val="11"/>
                <c:pt idx="0">
                  <c:v>100000</c:v>
                </c:pt>
                <c:pt idx="2">
                  <c:v>173783.60815530826</c:v>
                </c:pt>
                <c:pt idx="4">
                  <c:v>173718.62561936479</c:v>
                </c:pt>
                <c:pt idx="5">
                  <c:v>195597.43318983025</c:v>
                </c:pt>
                <c:pt idx="6">
                  <c:v>205742.83161400375</c:v>
                </c:pt>
                <c:pt idx="7">
                  <c:v>220999.5126309804</c:v>
                </c:pt>
                <c:pt idx="8">
                  <c:v>258801.0722118431</c:v>
                </c:pt>
                <c:pt idx="9">
                  <c:v>335297.70124279102</c:v>
                </c:pt>
                <c:pt idx="10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C-4685-829B-A9B3874F2BBB}"/>
            </c:ext>
          </c:extLst>
        </c:ser>
        <c:ser>
          <c:idx val="3"/>
          <c:order val="3"/>
          <c:tx>
            <c:strRef>
              <c:f>[1]ON2_MEF_v13_GITHUB!$C$27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44460</c:v>
              </c:pt>
              <c:pt idx="1">
                <c:v>I</c:v>
              </c:pt>
              <c:pt idx="2">
                <c:v>44546</c:v>
              </c:pt>
              <c:pt idx="3">
                <c:v>II</c:v>
              </c:pt>
              <c:pt idx="4">
                <c:v>44616</c:v>
              </c:pt>
              <c:pt idx="5">
                <c:v>44719</c:v>
              </c:pt>
              <c:pt idx="6">
                <c:v>44789</c:v>
              </c:pt>
              <c:pt idx="7">
                <c:v>44922</c:v>
              </c:pt>
              <c:pt idx="8">
                <c:v>45055</c:v>
              </c:pt>
              <c:pt idx="9">
                <c:v>45180</c:v>
              </c:pt>
              <c:pt idx="10">
                <c:v>45286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[1]ON2_MEF_v13_GITHUB!$F$27:$V$27</c15:sqref>
                  </c15:fullRef>
                </c:ext>
              </c:extLst>
              <c:f>([1]ON2_MEF_v13_GITHUB!$F$27:$J$27,[1]ON2_MEF_v13_GITHUB!$L$27,[1]ON2_MEF_v13_GITHUB!$N$27,[1]ON2_MEF_v13_GITHUB!$P$27,[1]ON2_MEF_v13_GITHUB!$R$27,[1]ON2_MEF_v13_GITHUB!$T$27,[1]ON2_MEF_v13_GITHUB!$V$27)</c:f>
              <c:numCache>
                <c:formatCode>General</c:formatCode>
                <c:ptCount val="11"/>
                <c:pt idx="0">
                  <c:v>100000</c:v>
                </c:pt>
                <c:pt idx="2">
                  <c:v>171800</c:v>
                </c:pt>
                <c:pt idx="4">
                  <c:v>160800</c:v>
                </c:pt>
                <c:pt idx="5">
                  <c:v>199600</c:v>
                </c:pt>
                <c:pt idx="6">
                  <c:v>207600</c:v>
                </c:pt>
                <c:pt idx="7">
                  <c:v>216350</c:v>
                </c:pt>
                <c:pt idx="8">
                  <c:v>226450</c:v>
                </c:pt>
                <c:pt idx="9">
                  <c:v>311680</c:v>
                </c:pt>
                <c:pt idx="10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C-4685-829B-A9B3874F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[1]ON2!$B$18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[1]ON2!$E$16:$T$16</c15:sqref>
                  </c15:fullRef>
                </c:ext>
              </c:extLst>
              <c:f>([1]ON2!$E$16:$F$16,[1]ON2!$H$16,[1]ON2!$J$16,[1]ON2!$L$16,[1]ON2!$N$16,[1]ON2!$P$16,[1]ON2!$R$16,[1]ON2!$T$16)</c:f>
              <c:numCache>
                <c:formatCode>General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[1]ON2!$E$21:$T$21</c15:sqref>
                  </c15:fullRef>
                </c:ext>
              </c:extLst>
              <c:f>([1]ON2!$E$21:$F$21,[1]ON2!$H$21,[1]ON2!$J$21,[1]ON2!$L$21,[1]ON2!$N$21,[1]ON2!$P$21,[1]ON2!$R$21,[1]ON2!$T$21)</c:f>
              <c:numCache>
                <c:formatCode>General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F-49B7-90C3-195A52DEFA1D}"/>
            </c:ext>
          </c:extLst>
        </c:ser>
        <c:ser>
          <c:idx val="1"/>
          <c:order val="1"/>
          <c:tx>
            <c:strRef>
              <c:f>[1]ON2!$B$17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44460</c:v>
              </c:pt>
              <c:pt idx="1">
                <c:v>44546</c:v>
              </c:pt>
              <c:pt idx="2">
                <c:v>44616</c:v>
              </c:pt>
              <c:pt idx="3">
                <c:v>44719</c:v>
              </c:pt>
              <c:pt idx="4">
                <c:v>44789</c:v>
              </c:pt>
              <c:pt idx="5">
                <c:v>44922</c:v>
              </c:pt>
              <c:pt idx="6">
                <c:v>45055</c:v>
              </c:pt>
              <c:pt idx="7">
                <c:v>45180</c:v>
              </c:pt>
              <c:pt idx="8">
                <c:v>45286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[1]ON2!$E$22:$T$22</c15:sqref>
                  </c15:fullRef>
                </c:ext>
              </c:extLst>
              <c:f>([1]ON2!$E$22:$F$22,[1]ON2!$H$22,[1]ON2!$J$22,[1]ON2!$L$22,[1]ON2!$N$22,[1]ON2!$P$22,[1]ON2!$R$22,[1]ON2!$T$22)</c:f>
              <c:numCache>
                <c:formatCode>General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F-49B7-90C3-195A52DEFA1D}"/>
            </c:ext>
          </c:extLst>
        </c:ser>
        <c:ser>
          <c:idx val="2"/>
          <c:order val="2"/>
          <c:tx>
            <c:strRef>
              <c:f>[1]ON2!$B$23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44460</c:v>
              </c:pt>
              <c:pt idx="1">
                <c:v>44546</c:v>
              </c:pt>
              <c:pt idx="2">
                <c:v>44616</c:v>
              </c:pt>
              <c:pt idx="3">
                <c:v>44719</c:v>
              </c:pt>
              <c:pt idx="4">
                <c:v>44789</c:v>
              </c:pt>
              <c:pt idx="5">
                <c:v>44922</c:v>
              </c:pt>
              <c:pt idx="6">
                <c:v>45055</c:v>
              </c:pt>
              <c:pt idx="7">
                <c:v>45180</c:v>
              </c:pt>
              <c:pt idx="8">
                <c:v>45286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[1]ON2!$E$23:$T$23</c15:sqref>
                  </c15:fullRef>
                </c:ext>
              </c:extLst>
              <c:f>([1]ON2!$E$23:$F$23,[1]ON2!$H$23,[1]ON2!$J$23,[1]ON2!$L$23,[1]ON2!$N$23,[1]ON2!$P$23,[1]ON2!$R$23,[1]ON2!$T$23)</c:f>
              <c:numCache>
                <c:formatCode>General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F-49B7-90C3-195A52DE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68</xdr:row>
      <xdr:rowOff>52529</xdr:rowOff>
    </xdr:from>
    <xdr:to>
      <xdr:col>39</xdr:col>
      <xdr:colOff>574303</xdr:colOff>
      <xdr:row>91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40</xdr:row>
      <xdr:rowOff>112058</xdr:rowOff>
    </xdr:from>
    <xdr:to>
      <xdr:col>39</xdr:col>
      <xdr:colOff>548132</xdr:colOff>
      <xdr:row>66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40</xdr:row>
      <xdr:rowOff>96440</xdr:rowOff>
    </xdr:from>
    <xdr:to>
      <xdr:col>49</xdr:col>
      <xdr:colOff>40124</xdr:colOff>
      <xdr:row>68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72</xdr:row>
      <xdr:rowOff>190358</xdr:rowOff>
    </xdr:from>
    <xdr:to>
      <xdr:col>49</xdr:col>
      <xdr:colOff>100852</xdr:colOff>
      <xdr:row>96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49</xdr:row>
      <xdr:rowOff>123264</xdr:rowOff>
    </xdr:from>
    <xdr:to>
      <xdr:col>56</xdr:col>
      <xdr:colOff>133184</xdr:colOff>
      <xdr:row>62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 editAs="oneCell">
    <xdr:from>
      <xdr:col>20</xdr:col>
      <xdr:colOff>345281</xdr:colOff>
      <xdr:row>43</xdr:row>
      <xdr:rowOff>35719</xdr:rowOff>
    </xdr:from>
    <xdr:to>
      <xdr:col>28</xdr:col>
      <xdr:colOff>986564</xdr:colOff>
      <xdr:row>70</xdr:row>
      <xdr:rowOff>11907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51EBFFA6-2D2F-3B8B-9D45-C7CCA71F8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02250" y="7465219"/>
          <a:ext cx="8273189" cy="4357688"/>
        </a:xfrm>
        <a:prstGeom prst="rect">
          <a:avLst/>
        </a:prstGeom>
      </xdr:spPr>
    </xdr:pic>
    <xdr:clientData/>
  </xdr:twoCellAnchor>
  <xdr:twoCellAnchor>
    <xdr:from>
      <xdr:col>9</xdr:col>
      <xdr:colOff>107158</xdr:colOff>
      <xdr:row>71</xdr:row>
      <xdr:rowOff>11906</xdr:rowOff>
    </xdr:from>
    <xdr:to>
      <xdr:col>20</xdr:col>
      <xdr:colOff>190500</xdr:colOff>
      <xdr:row>97</xdr:row>
      <xdr:rowOff>90550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DD2AAFD9-3193-43BE-8BB2-AFFA8FC85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71438</xdr:colOff>
      <xdr:row>43</xdr:row>
      <xdr:rowOff>59530</xdr:rowOff>
    </xdr:from>
    <xdr:to>
      <xdr:col>20</xdr:col>
      <xdr:colOff>232522</xdr:colOff>
      <xdr:row>70</xdr:row>
      <xdr:rowOff>23812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D10E20EC-E6FE-4B47-9C15-199A814A6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LL_FILES\CODING\GitHub\MarkovMarkowitz\XLS-CSV\Analysis_LB20_OF10_v9_20.12.2023.xlsx" TargetMode="External"/><Relationship Id="rId1" Type="http://schemas.openxmlformats.org/officeDocument/2006/relationships/externalLinkPath" Target="Analysis_LB20_OF10_v9_20.12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F STATS"/>
      <sheetName val="ON2_MEF_v13_GITHUB"/>
      <sheetName val="ON2"/>
      <sheetName val="Abdallah ile konuşma"/>
      <sheetName val="AÜF FONU"/>
      <sheetName val="BEST PFS"/>
      <sheetName val="PF ASSETS"/>
      <sheetName val="BENİM PORTFÖYÜM"/>
      <sheetName val="BENİM PORTFÖYÜM 2"/>
      <sheetName val="Sayfa1"/>
    </sheetNames>
    <sheetDataSet>
      <sheetData sheetId="0" refreshError="1"/>
      <sheetData sheetId="1">
        <row r="17">
          <cell r="F17">
            <v>44460</v>
          </cell>
          <cell r="G17" t="str">
            <v>I</v>
          </cell>
          <cell r="H17">
            <v>44546</v>
          </cell>
          <cell r="I17" t="str">
            <v>II</v>
          </cell>
          <cell r="J17">
            <v>44616</v>
          </cell>
          <cell r="K17" t="str">
            <v>II</v>
          </cell>
          <cell r="L17">
            <v>44719</v>
          </cell>
          <cell r="M17" t="str">
            <v>III</v>
          </cell>
          <cell r="N17">
            <v>44789</v>
          </cell>
          <cell r="O17" t="str">
            <v>III</v>
          </cell>
          <cell r="P17">
            <v>44922</v>
          </cell>
          <cell r="Q17" t="str">
            <v>IV</v>
          </cell>
          <cell r="R17">
            <v>45055</v>
          </cell>
          <cell r="S17" t="str">
            <v>IV</v>
          </cell>
          <cell r="T17">
            <v>45180</v>
          </cell>
          <cell r="U17" t="str">
            <v>V</v>
          </cell>
          <cell r="V17">
            <v>45286</v>
          </cell>
        </row>
        <row r="18">
          <cell r="C18" t="str">
            <v>MHI KONSOLİDE PORTFÖY SHARPE</v>
          </cell>
        </row>
        <row r="19">
          <cell r="C19" t="str">
            <v>MHI KONSOLİDE PORTFÖY MDD</v>
          </cell>
        </row>
        <row r="24">
          <cell r="F24">
            <v>100000</v>
          </cell>
          <cell r="H24">
            <v>191300</v>
          </cell>
          <cell r="J24">
            <v>191228.46759681229</v>
          </cell>
          <cell r="L24">
            <v>380544.65051765647</v>
          </cell>
          <cell r="N24">
            <v>400283.03376086871</v>
          </cell>
          <cell r="P24">
            <v>880622.67427391128</v>
          </cell>
          <cell r="R24">
            <v>1031251.560706837</v>
          </cell>
          <cell r="T24">
            <v>1614939.9440669066</v>
          </cell>
          <cell r="V24">
            <v>1897300.9532188179</v>
          </cell>
        </row>
        <row r="25">
          <cell r="F25">
            <v>100000</v>
          </cell>
          <cell r="H25">
            <v>171099.99999999997</v>
          </cell>
          <cell r="J25">
            <v>171036.02093996119</v>
          </cell>
          <cell r="L25">
            <v>324284.29570216639</v>
          </cell>
          <cell r="N25">
            <v>341104.52349834598</v>
          </cell>
          <cell r="P25">
            <v>609553.78349154419</v>
          </cell>
          <cell r="R25">
            <v>713816.83543261793</v>
          </cell>
          <cell r="T25">
            <v>1372669.7745369242</v>
          </cell>
          <cell r="V25">
            <v>1612671.5307598261</v>
          </cell>
        </row>
        <row r="26">
          <cell r="C26" t="str">
            <v xml:space="preserve">GR ALTIN </v>
          </cell>
          <cell r="F26">
            <v>100000</v>
          </cell>
          <cell r="H26">
            <v>173783.60815530826</v>
          </cell>
          <cell r="J26">
            <v>173718.62561936479</v>
          </cell>
          <cell r="L26">
            <v>195597.43318983025</v>
          </cell>
          <cell r="N26">
            <v>205742.83161400375</v>
          </cell>
          <cell r="P26">
            <v>220999.5126309804</v>
          </cell>
          <cell r="R26">
            <v>258801.0722118431</v>
          </cell>
          <cell r="T26">
            <v>335297.70124279102</v>
          </cell>
          <cell r="V26">
            <v>393922.17061520019</v>
          </cell>
        </row>
        <row r="27">
          <cell r="C27" t="str">
            <v>USDTRY</v>
          </cell>
          <cell r="F27">
            <v>100000</v>
          </cell>
          <cell r="H27">
            <v>171800</v>
          </cell>
          <cell r="J27">
            <v>160800</v>
          </cell>
          <cell r="L27">
            <v>199600</v>
          </cell>
          <cell r="N27">
            <v>207600</v>
          </cell>
          <cell r="P27">
            <v>216350</v>
          </cell>
          <cell r="R27">
            <v>226450</v>
          </cell>
          <cell r="T27">
            <v>311680</v>
          </cell>
          <cell r="V27">
            <v>340000</v>
          </cell>
        </row>
      </sheetData>
      <sheetData sheetId="2">
        <row r="16">
          <cell r="E16">
            <v>44460</v>
          </cell>
          <cell r="F16">
            <v>44546</v>
          </cell>
          <cell r="H16">
            <v>44616</v>
          </cell>
          <cell r="J16">
            <v>44719</v>
          </cell>
          <cell r="L16">
            <v>44789</v>
          </cell>
          <cell r="N16">
            <v>44922</v>
          </cell>
          <cell r="P16">
            <v>45055</v>
          </cell>
          <cell r="R16">
            <v>45180</v>
          </cell>
          <cell r="T16">
            <v>45286</v>
          </cell>
        </row>
        <row r="17">
          <cell r="B17" t="str">
            <v>MHI KONSOLİDE PORTFÖY SHARPE</v>
          </cell>
        </row>
        <row r="18">
          <cell r="B18" t="str">
            <v>MHI KONSOLİDE PORTFÖY MDD</v>
          </cell>
        </row>
        <row r="21">
          <cell r="E21">
            <v>100000</v>
          </cell>
          <cell r="F21">
            <v>191300</v>
          </cell>
          <cell r="H21">
            <v>191228.46759681229</v>
          </cell>
          <cell r="J21">
            <v>380544.65051765647</v>
          </cell>
          <cell r="L21">
            <v>400283.03376086871</v>
          </cell>
          <cell r="N21">
            <v>880622.67427391128</v>
          </cell>
          <cell r="P21">
            <v>1031251.560706837</v>
          </cell>
          <cell r="R21">
            <v>1614939.9440669066</v>
          </cell>
          <cell r="T21">
            <v>1897300.9532188179</v>
          </cell>
        </row>
        <row r="22">
          <cell r="E22">
            <v>100000</v>
          </cell>
          <cell r="F22">
            <v>171099.99999999997</v>
          </cell>
          <cell r="H22">
            <v>171036.02093996119</v>
          </cell>
          <cell r="J22">
            <v>324284.29570216639</v>
          </cell>
          <cell r="L22">
            <v>341104.52349834598</v>
          </cell>
          <cell r="N22">
            <v>609553.78349154419</v>
          </cell>
          <cell r="P22">
            <v>713816.83543261793</v>
          </cell>
          <cell r="R22">
            <v>1372669.7745369242</v>
          </cell>
          <cell r="T22">
            <v>1612671.5307598261</v>
          </cell>
        </row>
        <row r="23">
          <cell r="B23" t="str">
            <v xml:space="preserve">GR ALTIN </v>
          </cell>
          <cell r="E23">
            <v>100000</v>
          </cell>
          <cell r="F23">
            <v>173783.60815530826</v>
          </cell>
          <cell r="H23">
            <v>173718.62561936479</v>
          </cell>
          <cell r="J23">
            <v>195597.43318983025</v>
          </cell>
          <cell r="L23">
            <v>205742.83161400375</v>
          </cell>
          <cell r="N23">
            <v>220999.5126309804</v>
          </cell>
          <cell r="P23">
            <v>258801.0722118431</v>
          </cell>
          <cell r="R23">
            <v>335297.70124279102</v>
          </cell>
          <cell r="T23">
            <v>393922.17061520019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58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58" t="s">
        <v>178</v>
      </c>
      <c r="BU53" s="72"/>
      <c r="CD53" s="73"/>
    </row>
    <row r="54" spans="1:115" ht="23.45" customHeight="1" x14ac:dyDescent="0.3">
      <c r="C54" s="259"/>
      <c r="R54" s="71"/>
      <c r="BL54" s="259"/>
      <c r="BU54" s="72"/>
      <c r="CD54" s="73"/>
    </row>
    <row r="55" spans="1:115" ht="23.45" customHeight="1" x14ac:dyDescent="0.3">
      <c r="C55" s="259"/>
      <c r="R55" s="71"/>
      <c r="BL55" s="259"/>
      <c r="BU55" s="72"/>
      <c r="CD55" s="73"/>
    </row>
    <row r="56" spans="1:115" ht="24" customHeight="1" thickBot="1" x14ac:dyDescent="0.35">
      <c r="C56" s="260"/>
      <c r="R56" s="71"/>
      <c r="BL56" s="260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H69"/>
  <sheetViews>
    <sheetView tabSelected="1" zoomScale="80" zoomScaleNormal="80" workbookViewId="0">
      <selection activeCell="B30" sqref="B30"/>
    </sheetView>
  </sheetViews>
  <sheetFormatPr defaultRowHeight="15" x14ac:dyDescent="0.25"/>
  <cols>
    <col min="1" max="3" width="14.85546875" style="192" customWidth="1"/>
    <col min="4" max="4" width="21.85546875" style="195" customWidth="1"/>
    <col min="5" max="6" width="11.42578125" style="195" bestFit="1" customWidth="1"/>
    <col min="7" max="7" width="13.5703125" style="195" customWidth="1"/>
    <col min="8" max="8" width="10.85546875" style="195" bestFit="1" customWidth="1"/>
    <col min="9" max="9" width="15.5703125" style="195" bestFit="1" customWidth="1"/>
    <col min="10" max="10" width="13.42578125" style="195" bestFit="1" customWidth="1"/>
    <col min="11" max="11" width="12.28515625" style="195" bestFit="1" customWidth="1"/>
    <col min="12" max="12" width="10.85546875" style="195" bestFit="1" customWidth="1"/>
    <col min="13" max="13" width="12.28515625" style="195" bestFit="1" customWidth="1"/>
    <col min="14" max="14" width="10.85546875" style="195" bestFit="1" customWidth="1"/>
    <col min="15" max="15" width="12.28515625" style="197" bestFit="1" customWidth="1"/>
    <col min="16" max="16" width="11.5703125" style="197" customWidth="1"/>
    <col min="17" max="17" width="12.28515625" style="197" bestFit="1" customWidth="1"/>
    <col min="18" max="18" width="10.42578125" style="197" customWidth="1"/>
    <col min="19" max="19" width="11.28515625" style="197" customWidth="1"/>
    <col min="20" max="20" width="11" style="197" customWidth="1"/>
    <col min="21" max="21" width="15.42578125" style="192" customWidth="1"/>
    <col min="22" max="22" width="9.140625" style="195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2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16384" width="9.140625" style="192"/>
  </cols>
  <sheetData>
    <row r="1" spans="1:30" x14ac:dyDescent="0.25">
      <c r="A1" s="304" t="s">
        <v>215</v>
      </c>
      <c r="B1" s="305">
        <f ca="1">TODAY()</f>
        <v>45347</v>
      </c>
    </row>
    <row r="2" spans="1:30" s="189" customFormat="1" x14ac:dyDescent="0.25">
      <c r="D2" s="277" t="s">
        <v>221</v>
      </c>
      <c r="E2" s="278" t="s">
        <v>204</v>
      </c>
      <c r="F2" s="279"/>
      <c r="G2" s="277" t="s">
        <v>285</v>
      </c>
      <c r="H2" s="278" t="s">
        <v>205</v>
      </c>
      <c r="I2" s="279"/>
      <c r="J2" s="277" t="s">
        <v>285</v>
      </c>
      <c r="K2" s="190" t="s">
        <v>20</v>
      </c>
      <c r="L2" s="190" t="s">
        <v>215</v>
      </c>
      <c r="M2" s="282" t="s">
        <v>211</v>
      </c>
      <c r="N2" s="282" t="s">
        <v>286</v>
      </c>
      <c r="O2" s="282" t="s">
        <v>210</v>
      </c>
      <c r="P2" s="282" t="s">
        <v>287</v>
      </c>
      <c r="Q2" s="282" t="s">
        <v>214</v>
      </c>
      <c r="R2" s="282" t="s">
        <v>288</v>
      </c>
      <c r="S2" s="190" t="s">
        <v>289</v>
      </c>
      <c r="T2" s="190" t="s">
        <v>290</v>
      </c>
      <c r="U2" s="261" t="s">
        <v>220</v>
      </c>
      <c r="V2" s="262"/>
      <c r="W2" s="262"/>
      <c r="X2" s="263"/>
      <c r="AA2" s="196"/>
      <c r="AB2" s="190"/>
      <c r="AC2" s="196"/>
      <c r="AD2" s="190"/>
    </row>
    <row r="3" spans="1:30" x14ac:dyDescent="0.25">
      <c r="D3" s="280" t="s">
        <v>209</v>
      </c>
      <c r="E3" s="276">
        <v>44334</v>
      </c>
      <c r="F3" s="276">
        <v>44460</v>
      </c>
      <c r="G3" s="281">
        <f>F3-E3-1</f>
        <v>125</v>
      </c>
      <c r="H3" s="276">
        <f>F3</f>
        <v>44460</v>
      </c>
      <c r="I3" s="276">
        <v>44546</v>
      </c>
      <c r="J3" s="281">
        <f>I3-H3+1</f>
        <v>87</v>
      </c>
      <c r="K3" s="194">
        <f ca="1">L3-H3+1</f>
        <v>888</v>
      </c>
      <c r="L3" s="193">
        <f ca="1">$B$1</f>
        <v>45347</v>
      </c>
      <c r="M3" s="283">
        <v>0.91300000000000003</v>
      </c>
      <c r="N3" s="283">
        <v>0.63100000000000001</v>
      </c>
      <c r="O3" s="283">
        <v>0.71099999999999997</v>
      </c>
      <c r="P3" s="283">
        <v>0.83899999999999997</v>
      </c>
      <c r="Q3" s="283">
        <v>0.63100000000000001</v>
      </c>
      <c r="R3" s="284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>M3/$J$3</f>
        <v>1.0494252873563219E-2</v>
      </c>
      <c r="V3" s="229">
        <f>N3/$J$3</f>
        <v>7.2528735632183912E-3</v>
      </c>
      <c r="W3" s="200">
        <f>O3/$J$3</f>
        <v>8.1724137931034474E-3</v>
      </c>
      <c r="X3" s="200">
        <f>P3/$J$3</f>
        <v>9.6436781609195391E-3</v>
      </c>
    </row>
    <row r="4" spans="1:30" x14ac:dyDescent="0.25">
      <c r="D4" s="280" t="s">
        <v>207</v>
      </c>
      <c r="E4" s="276">
        <f>I3</f>
        <v>44546</v>
      </c>
      <c r="F4" s="276">
        <v>44616</v>
      </c>
      <c r="G4" s="281">
        <f t="shared" ref="G4:G7" si="0">F4-E4-1</f>
        <v>69</v>
      </c>
      <c r="H4" s="276">
        <f>F4</f>
        <v>44616</v>
      </c>
      <c r="I4" s="276">
        <v>44719</v>
      </c>
      <c r="J4" s="281">
        <f t="shared" ref="J4:J7" si="1">I4-H4+1</f>
        <v>104</v>
      </c>
      <c r="K4" s="194">
        <f ca="1">L4-H4</f>
        <v>731</v>
      </c>
      <c r="L4" s="193">
        <f t="shared" ref="L4:L7" ca="1" si="2">$B$1</f>
        <v>45347</v>
      </c>
      <c r="M4" s="285">
        <v>0.99</v>
      </c>
      <c r="N4" s="283">
        <v>0.52500000000000002</v>
      </c>
      <c r="O4" s="283">
        <v>0.89600000000000002</v>
      </c>
      <c r="P4" s="283">
        <v>0.1593</v>
      </c>
      <c r="Q4" s="283">
        <v>0.51700000000000002</v>
      </c>
      <c r="R4" s="284">
        <f>AVERAGE(M4:P4)</f>
        <v>0.64257500000000001</v>
      </c>
      <c r="S4" s="199">
        <f t="shared" ref="S4:S7" si="3">MAX(M4:Q4)</f>
        <v>0.99</v>
      </c>
      <c r="T4" s="199">
        <f t="shared" ref="T4:T7" si="4">MIN(M4:Q4)</f>
        <v>0.1593</v>
      </c>
      <c r="U4" s="200">
        <f>M4/$J$3</f>
        <v>1.1379310344827587E-2</v>
      </c>
      <c r="V4" s="229">
        <f>N4/$J$3</f>
        <v>6.0344827586206896E-3</v>
      </c>
      <c r="W4" s="200">
        <f>O4/$J$3</f>
        <v>1.0298850574712644E-2</v>
      </c>
      <c r="X4" s="200">
        <f>P4/$J$3</f>
        <v>1.8310344827586207E-3</v>
      </c>
    </row>
    <row r="5" spans="1:30" x14ac:dyDescent="0.25">
      <c r="D5" s="280" t="s">
        <v>208</v>
      </c>
      <c r="E5" s="276">
        <f>I4</f>
        <v>44719</v>
      </c>
      <c r="F5" s="276">
        <v>44789</v>
      </c>
      <c r="G5" s="281">
        <f t="shared" si="0"/>
        <v>69</v>
      </c>
      <c r="H5" s="276">
        <f>F5</f>
        <v>44789</v>
      </c>
      <c r="I5" s="276">
        <v>44922</v>
      </c>
      <c r="J5" s="281">
        <f t="shared" si="1"/>
        <v>134</v>
      </c>
      <c r="K5" s="194">
        <f ca="1">L5-H5</f>
        <v>558</v>
      </c>
      <c r="L5" s="193">
        <f t="shared" ca="1" si="2"/>
        <v>45347</v>
      </c>
      <c r="M5" s="284">
        <v>1.2</v>
      </c>
      <c r="N5" s="284">
        <v>0.97399999999999998</v>
      </c>
      <c r="O5" s="284">
        <v>0.78700000000000003</v>
      </c>
      <c r="P5" s="284">
        <v>0.73699999999999999</v>
      </c>
      <c r="Q5" s="284">
        <v>0.95499999999999996</v>
      </c>
      <c r="R5" s="284">
        <f>AVERAGE(M5:P5)</f>
        <v>0.92449999999999999</v>
      </c>
      <c r="S5" s="199">
        <f t="shared" si="3"/>
        <v>1.2</v>
      </c>
      <c r="T5" s="199">
        <f t="shared" si="4"/>
        <v>0.73699999999999999</v>
      </c>
      <c r="U5" s="200">
        <f>M5/$J$3</f>
        <v>1.3793103448275862E-2</v>
      </c>
      <c r="V5" s="229">
        <f>N5/$J$3</f>
        <v>1.1195402298850575E-2</v>
      </c>
      <c r="W5" s="200">
        <f>O5/$J$3</f>
        <v>9.0459770114942537E-3</v>
      </c>
      <c r="X5" s="200">
        <f>P5/$J$3</f>
        <v>8.471264367816091E-3</v>
      </c>
      <c r="AA5" s="197" t="s">
        <v>268</v>
      </c>
      <c r="AC5" s="197" t="s">
        <v>267</v>
      </c>
    </row>
    <row r="6" spans="1:30" x14ac:dyDescent="0.25">
      <c r="D6" s="280" t="s">
        <v>206</v>
      </c>
      <c r="E6" s="276">
        <f>I5</f>
        <v>44922</v>
      </c>
      <c r="F6" s="276">
        <v>45055</v>
      </c>
      <c r="G6" s="281">
        <f t="shared" si="0"/>
        <v>132</v>
      </c>
      <c r="H6" s="276">
        <f>F6</f>
        <v>45055</v>
      </c>
      <c r="I6" s="276">
        <v>45180</v>
      </c>
      <c r="J6" s="281">
        <f t="shared" si="1"/>
        <v>126</v>
      </c>
      <c r="K6" s="194">
        <f ca="1">L6-H6</f>
        <v>292</v>
      </c>
      <c r="L6" s="193">
        <f t="shared" ca="1" si="2"/>
        <v>45347</v>
      </c>
      <c r="M6" s="286">
        <v>0.56599999999999995</v>
      </c>
      <c r="N6" s="286">
        <v>0.80400000000000005</v>
      </c>
      <c r="O6" s="284">
        <v>0.92300000000000004</v>
      </c>
      <c r="P6" s="286">
        <v>0.65600000000000003</v>
      </c>
      <c r="Q6" s="286">
        <v>0.64300000000000002</v>
      </c>
      <c r="R6" s="284">
        <f>AVERAGE(M6:P6)</f>
        <v>0.73725000000000007</v>
      </c>
      <c r="S6" s="199">
        <f t="shared" si="3"/>
        <v>0.92300000000000004</v>
      </c>
      <c r="T6" s="199">
        <f t="shared" si="4"/>
        <v>0.56599999999999995</v>
      </c>
      <c r="U6" s="200">
        <f>M6/$J$3</f>
        <v>6.5057471264367813E-3</v>
      </c>
      <c r="V6" s="229">
        <f>N6/$J$3</f>
        <v>9.2413793103448289E-3</v>
      </c>
      <c r="W6" s="200">
        <f>O6/$J$3</f>
        <v>1.0609195402298851E-2</v>
      </c>
      <c r="X6" s="200">
        <f>P6/$J$3</f>
        <v>7.5402298850574716E-3</v>
      </c>
    </row>
    <row r="7" spans="1:30" x14ac:dyDescent="0.25">
      <c r="D7" s="280" t="s">
        <v>256</v>
      </c>
      <c r="E7" s="276">
        <f>I6</f>
        <v>45180</v>
      </c>
      <c r="F7" s="276">
        <v>45286</v>
      </c>
      <c r="G7" s="281">
        <f t="shared" si="0"/>
        <v>105</v>
      </c>
      <c r="H7" s="276">
        <f>F7</f>
        <v>45286</v>
      </c>
      <c r="I7" s="276">
        <v>45346</v>
      </c>
      <c r="J7" s="281">
        <f t="shared" si="1"/>
        <v>61</v>
      </c>
      <c r="K7" s="194">
        <f ca="1">L7-H7</f>
        <v>61</v>
      </c>
      <c r="L7" s="193">
        <f t="shared" ca="1" si="2"/>
        <v>45347</v>
      </c>
      <c r="M7" s="283">
        <f>AVERAGE(M3:M6)</f>
        <v>0.9172499999999999</v>
      </c>
      <c r="N7" s="283">
        <f t="shared" ref="N7:R7" si="5">AVERAGE(N3:N6)</f>
        <v>0.73350000000000004</v>
      </c>
      <c r="O7" s="283">
        <f t="shared" si="5"/>
        <v>0.82925000000000004</v>
      </c>
      <c r="P7" s="283">
        <f t="shared" si="5"/>
        <v>0.59782500000000005</v>
      </c>
      <c r="Q7" s="283">
        <f t="shared" si="5"/>
        <v>0.68650000000000011</v>
      </c>
      <c r="R7" s="283">
        <f t="shared" si="5"/>
        <v>0.76945624999999995</v>
      </c>
      <c r="S7" s="199">
        <f t="shared" si="3"/>
        <v>0.9172499999999999</v>
      </c>
      <c r="T7" s="199">
        <f t="shared" si="4"/>
        <v>0.59782500000000005</v>
      </c>
      <c r="U7" s="201">
        <f>AVERAGE(U3:U6)</f>
        <v>1.0543103448275862E-2</v>
      </c>
      <c r="V7" s="227">
        <f t="shared" ref="V7:X7" si="6">AVERAGE(V3:V6)</f>
        <v>8.43103448275862E-3</v>
      </c>
      <c r="W7" s="201">
        <f t="shared" si="6"/>
        <v>9.5316091954022984E-3</v>
      </c>
      <c r="X7" s="201">
        <f t="shared" si="6"/>
        <v>6.8715517241379302E-3</v>
      </c>
    </row>
    <row r="8" spans="1:30" x14ac:dyDescent="0.25">
      <c r="D8" s="275"/>
      <c r="E8" s="275"/>
      <c r="F8" s="274" t="s">
        <v>203</v>
      </c>
      <c r="G8" s="274">
        <f>AVERAGE(G3:G7)</f>
        <v>100</v>
      </c>
      <c r="H8" s="275"/>
      <c r="I8" s="275"/>
      <c r="J8" s="274">
        <f>AVERAGE(J3:J7)</f>
        <v>102.4</v>
      </c>
      <c r="K8" s="275"/>
    </row>
    <row r="9" spans="1:30" s="287" customFormat="1" x14ac:dyDescent="0.25">
      <c r="D9" s="288"/>
      <c r="E9" s="288"/>
      <c r="F9" s="289"/>
      <c r="G9" s="290"/>
      <c r="H9" s="291"/>
      <c r="I9" s="292"/>
      <c r="J9" s="289"/>
      <c r="K9" s="293"/>
      <c r="L9" s="294"/>
      <c r="M9" s="295"/>
      <c r="N9" s="296"/>
      <c r="O9" s="297"/>
      <c r="P9" s="298"/>
      <c r="Q9" s="299"/>
      <c r="R9" s="300"/>
      <c r="S9" s="297"/>
      <c r="T9" s="298"/>
      <c r="U9" s="301"/>
      <c r="V9" s="296"/>
      <c r="W9" s="302"/>
      <c r="X9" s="303"/>
      <c r="Y9" s="301"/>
      <c r="AA9" s="300"/>
      <c r="AB9" s="296"/>
      <c r="AC9" s="300"/>
      <c r="AD9" s="296"/>
    </row>
    <row r="10" spans="1:30" x14ac:dyDescent="0.25">
      <c r="G10" s="270" t="s">
        <v>209</v>
      </c>
      <c r="H10" s="271"/>
      <c r="I10" s="272"/>
      <c r="K10" s="270" t="s">
        <v>207</v>
      </c>
      <c r="L10" s="271"/>
      <c r="M10" s="272"/>
      <c r="O10" s="270" t="s">
        <v>208</v>
      </c>
      <c r="P10" s="271"/>
      <c r="Q10" s="272"/>
      <c r="S10" s="270" t="s">
        <v>206</v>
      </c>
      <c r="T10" s="271"/>
      <c r="U10" s="272"/>
      <c r="W10" s="270" t="s">
        <v>256</v>
      </c>
      <c r="X10" s="271"/>
      <c r="Y10" s="272"/>
    </row>
    <row r="11" spans="1:30" x14ac:dyDescent="0.25">
      <c r="E11" s="264" t="s">
        <v>209</v>
      </c>
      <c r="F11" s="265"/>
      <c r="G11" s="266"/>
      <c r="I11" s="264" t="s">
        <v>207</v>
      </c>
      <c r="J11" s="265"/>
      <c r="K11" s="266"/>
      <c r="M11" s="264" t="s">
        <v>208</v>
      </c>
      <c r="N11" s="265"/>
      <c r="O11" s="266"/>
      <c r="Q11" s="267" t="s">
        <v>206</v>
      </c>
      <c r="R11" s="268"/>
      <c r="S11" s="269"/>
      <c r="U11" s="264" t="s">
        <v>256</v>
      </c>
      <c r="V11" s="265"/>
      <c r="W11" s="266"/>
    </row>
    <row r="12" spans="1:30" x14ac:dyDescent="0.25">
      <c r="A12" s="197"/>
      <c r="B12" s="197"/>
      <c r="C12" s="197"/>
      <c r="D12" s="255" t="s">
        <v>121</v>
      </c>
      <c r="E12" s="251" t="s">
        <v>236</v>
      </c>
      <c r="F12" s="251"/>
      <c r="G12" s="251" t="s">
        <v>226</v>
      </c>
      <c r="H12" s="251"/>
      <c r="I12" s="251" t="s">
        <v>225</v>
      </c>
      <c r="J12" s="251"/>
      <c r="K12" s="251" t="s">
        <v>224</v>
      </c>
      <c r="L12" s="251"/>
      <c r="M12" s="251" t="s">
        <v>223</v>
      </c>
      <c r="N12" s="251"/>
      <c r="O12" s="251" t="s">
        <v>222</v>
      </c>
      <c r="P12" s="251"/>
      <c r="Q12" s="251">
        <v>1814.8</v>
      </c>
      <c r="R12" s="251"/>
      <c r="S12" s="251">
        <v>2030.5</v>
      </c>
      <c r="T12" s="251"/>
      <c r="U12" s="251">
        <v>1911.3</v>
      </c>
      <c r="V12" s="251"/>
      <c r="W12" s="251">
        <v>2058.1999999999998</v>
      </c>
      <c r="X12" s="225"/>
      <c r="Y12" s="225">
        <v>2045.8</v>
      </c>
    </row>
    <row r="13" spans="1:30" x14ac:dyDescent="0.25">
      <c r="A13" s="197"/>
      <c r="B13" s="197"/>
      <c r="C13" s="197"/>
      <c r="D13" s="255" t="s">
        <v>277</v>
      </c>
      <c r="E13" s="251"/>
      <c r="F13" s="251"/>
      <c r="G13" s="252">
        <f>1776.7/1805.6-1</f>
        <v>-1.6005759858218838E-2</v>
      </c>
      <c r="H13" s="251"/>
      <c r="I13" s="252">
        <f>1796.6/1776.7-1</f>
        <v>1.1200540327573449E-2</v>
      </c>
      <c r="J13" s="251"/>
      <c r="K13" s="252">
        <f>1925.1/1796.6-1</f>
        <v>7.1523989758432549E-2</v>
      </c>
      <c r="L13" s="252"/>
      <c r="M13" s="252">
        <f>1740.6/1925.1-1</f>
        <v>-9.5839177185600755E-2</v>
      </c>
      <c r="N13" s="252"/>
      <c r="O13" s="252">
        <f>1760.3/1740.6-1</f>
        <v>1.1317936343789414E-2</v>
      </c>
      <c r="P13" s="252"/>
      <c r="Q13" s="252">
        <f>1814.8/1760.3-1</f>
        <v>3.0960631710503783E-2</v>
      </c>
      <c r="R13" s="252"/>
      <c r="S13" s="252">
        <f>2030.5/1814-1</f>
        <v>0.11934950385887544</v>
      </c>
      <c r="T13" s="252"/>
      <c r="U13" s="252">
        <f>1911.3/2030.5-1</f>
        <v>-5.8704752524008863E-2</v>
      </c>
      <c r="V13" s="252"/>
      <c r="W13" s="252">
        <f>2058.2/1911.3-1</f>
        <v>7.6858682572071402E-2</v>
      </c>
      <c r="X13" s="252"/>
      <c r="Y13" s="252">
        <f>2045.8/2058-1</f>
        <v>-5.9280855199222993E-3</v>
      </c>
    </row>
    <row r="14" spans="1:30" x14ac:dyDescent="0.25">
      <c r="A14" s="197"/>
      <c r="B14" s="197"/>
      <c r="C14" s="197"/>
      <c r="D14" s="248" t="s">
        <v>137</v>
      </c>
      <c r="E14" s="251" t="s">
        <v>235</v>
      </c>
      <c r="F14" s="251"/>
      <c r="G14" s="251" t="s">
        <v>234</v>
      </c>
      <c r="H14" s="251"/>
      <c r="I14" s="251" t="s">
        <v>233</v>
      </c>
      <c r="J14" s="251"/>
      <c r="K14" s="251" t="s">
        <v>232</v>
      </c>
      <c r="L14" s="251"/>
      <c r="M14" s="251" t="s">
        <v>231</v>
      </c>
      <c r="N14" s="251"/>
      <c r="O14" s="251" t="s">
        <v>230</v>
      </c>
      <c r="P14" s="251"/>
      <c r="Q14" s="251" t="s">
        <v>229</v>
      </c>
      <c r="R14" s="251"/>
      <c r="S14" s="251" t="s">
        <v>228</v>
      </c>
      <c r="T14" s="251"/>
      <c r="U14" s="251" t="s">
        <v>227</v>
      </c>
      <c r="V14" s="251"/>
      <c r="W14" s="251">
        <v>29.311399999999999</v>
      </c>
      <c r="X14" s="225"/>
      <c r="Y14" s="225">
        <v>31.041499999999999</v>
      </c>
      <c r="AA14" s="197" t="s">
        <v>270</v>
      </c>
      <c r="AC14" s="197" t="s">
        <v>267</v>
      </c>
      <c r="AD14" s="197" t="s">
        <v>269</v>
      </c>
    </row>
    <row r="15" spans="1:30" x14ac:dyDescent="0.25">
      <c r="A15" s="197"/>
      <c r="B15" s="197"/>
      <c r="C15" s="197"/>
      <c r="D15" s="248" t="s">
        <v>276</v>
      </c>
      <c r="E15" s="251"/>
      <c r="F15" s="251"/>
      <c r="G15" s="252">
        <f>8.62/8.42-1</f>
        <v>2.375296912114E-2</v>
      </c>
      <c r="H15" s="251"/>
      <c r="I15" s="224">
        <f>14.81/8.62-1</f>
        <v>0.71809744779582396</v>
      </c>
      <c r="J15" s="214"/>
      <c r="K15" s="224">
        <f>13.8205/14.8141-1</f>
        <v>-6.7071236187146055E-2</v>
      </c>
      <c r="L15" s="214"/>
      <c r="M15" s="224">
        <f>17.21/13.82-1</f>
        <v>0.24529667149059331</v>
      </c>
      <c r="N15" s="214"/>
      <c r="O15" s="224">
        <f>17.9063/17.2125-1</f>
        <v>4.0307915758896362E-2</v>
      </c>
      <c r="P15" s="214"/>
      <c r="Q15" s="224">
        <f>18.65/17.9-1</f>
        <v>4.1899441340782051E-2</v>
      </c>
      <c r="R15" s="214"/>
      <c r="S15" s="224">
        <f>19.52/18.65-1</f>
        <v>4.6648793565683633E-2</v>
      </c>
      <c r="T15" s="214"/>
      <c r="U15" s="224">
        <f>26.87/19.52-1</f>
        <v>0.37653688524590168</v>
      </c>
      <c r="V15" s="230"/>
      <c r="W15" s="224">
        <f>29.31/26.86-1</f>
        <v>9.1213700670141451E-2</v>
      </c>
      <c r="X15" s="225"/>
      <c r="Y15" s="224">
        <f>31.041/29.31-1</f>
        <v>5.905834186284542E-2</v>
      </c>
      <c r="AD15" s="197"/>
    </row>
    <row r="16" spans="1:30" x14ac:dyDescent="0.25">
      <c r="A16" s="197"/>
      <c r="B16" s="197"/>
      <c r="C16" s="197"/>
      <c r="D16" s="253" t="s">
        <v>273</v>
      </c>
      <c r="E16" s="251">
        <v>1459.6</v>
      </c>
      <c r="F16" s="251"/>
      <c r="G16" s="251">
        <v>1385.6</v>
      </c>
      <c r="H16" s="251"/>
      <c r="I16" s="251">
        <v>2278.6</v>
      </c>
      <c r="J16" s="251"/>
      <c r="K16" s="251">
        <v>1851.4</v>
      </c>
      <c r="L16" s="251"/>
      <c r="M16" s="251">
        <v>2648.2</v>
      </c>
      <c r="N16" s="251"/>
      <c r="O16" s="251">
        <v>2913.3</v>
      </c>
      <c r="P16" s="251"/>
      <c r="Q16" s="251">
        <v>5434.5</v>
      </c>
      <c r="R16" s="251"/>
      <c r="S16" s="251">
        <v>4536.2</v>
      </c>
      <c r="T16" s="251"/>
      <c r="U16" s="251">
        <v>8146</v>
      </c>
      <c r="V16" s="251"/>
      <c r="W16" s="251">
        <v>7299</v>
      </c>
      <c r="X16" s="225"/>
      <c r="Y16" s="225">
        <v>9274.2000000000007</v>
      </c>
      <c r="AD16" s="197"/>
    </row>
    <row r="17" spans="1:30" x14ac:dyDescent="0.25">
      <c r="A17" s="197"/>
      <c r="B17" s="197"/>
      <c r="C17" s="197"/>
      <c r="D17" s="253" t="s">
        <v>274</v>
      </c>
      <c r="E17" s="251"/>
      <c r="F17" s="251"/>
      <c r="G17" s="252">
        <f>G16/E16-1</f>
        <v>-5.0698821594957533E-2</v>
      </c>
      <c r="H17" s="251"/>
      <c r="I17" s="252">
        <f>I16/G16-1</f>
        <v>0.64448614318706698</v>
      </c>
      <c r="J17" s="251"/>
      <c r="K17" s="252">
        <f>K16/I16-1</f>
        <v>-0.18748354252611243</v>
      </c>
      <c r="L17" s="251"/>
      <c r="M17" s="252">
        <f>M16/K16-1</f>
        <v>0.4303770119909256</v>
      </c>
      <c r="N17" s="251"/>
      <c r="O17" s="252">
        <f>O16/M16-1</f>
        <v>0.10010573219545371</v>
      </c>
      <c r="P17" s="251"/>
      <c r="Q17" s="252">
        <f>Q16/O16-1</f>
        <v>0.86541035938626298</v>
      </c>
      <c r="R17" s="251"/>
      <c r="S17" s="252">
        <f>S16/Q16-1</f>
        <v>-0.16529579538135986</v>
      </c>
      <c r="T17" s="251"/>
      <c r="U17" s="252">
        <f>U16/S16-1</f>
        <v>0.79577620034390018</v>
      </c>
      <c r="V17" s="251"/>
      <c r="W17" s="252">
        <f>W16/U16-1</f>
        <v>-0.10397741222685986</v>
      </c>
      <c r="X17" s="225"/>
      <c r="Y17" s="252">
        <f>Y16/W16-1</f>
        <v>0.27061241265926839</v>
      </c>
      <c r="AD17" s="197"/>
    </row>
    <row r="18" spans="1:30" x14ac:dyDescent="0.25">
      <c r="A18" s="197"/>
      <c r="B18" s="197"/>
      <c r="C18" s="197"/>
      <c r="D18" s="254" t="s">
        <v>139</v>
      </c>
      <c r="E18" s="251">
        <f>1459.6/8.42</f>
        <v>173.34916864608076</v>
      </c>
      <c r="F18" s="251"/>
      <c r="G18" s="251">
        <f>1386.6/8.62</f>
        <v>160.85846867749422</v>
      </c>
      <c r="H18" s="251"/>
      <c r="I18" s="251">
        <f>2278.6/14.81</f>
        <v>153.85550303848748</v>
      </c>
      <c r="J18" s="251"/>
      <c r="K18" s="251">
        <f>1851.4/13.82</f>
        <v>133.96526772793055</v>
      </c>
      <c r="L18" s="251"/>
      <c r="M18" s="251">
        <f>2648.2/17.21</f>
        <v>153.87565368971525</v>
      </c>
      <c r="N18" s="251"/>
      <c r="O18" s="251">
        <f>2913.3/17.9063</f>
        <v>162.69692789688546</v>
      </c>
      <c r="P18" s="251"/>
      <c r="Q18" s="251">
        <f>5434.5/18.65</f>
        <v>291.39410187667562</v>
      </c>
      <c r="R18" s="251"/>
      <c r="S18" s="251">
        <f>4536.2/19.52</f>
        <v>232.38729508196721</v>
      </c>
      <c r="T18" s="251"/>
      <c r="U18" s="251">
        <f>8146/26.87</f>
        <v>303.16337923334572</v>
      </c>
      <c r="V18" s="251"/>
      <c r="W18" s="251">
        <f>7299/29.31</f>
        <v>249.0276356192426</v>
      </c>
      <c r="X18" s="251"/>
      <c r="Y18" s="251">
        <f>Y16/Y14</f>
        <v>298.76777861894561</v>
      </c>
      <c r="AD18" s="197"/>
    </row>
    <row r="19" spans="1:30" x14ac:dyDescent="0.25">
      <c r="A19" s="197"/>
      <c r="B19" s="197"/>
      <c r="C19" s="197"/>
      <c r="D19" s="254" t="s">
        <v>275</v>
      </c>
      <c r="E19" s="251"/>
      <c r="F19" s="251"/>
      <c r="G19" s="252">
        <f>G18/E18-1</f>
        <v>-7.2055147804534592E-2</v>
      </c>
      <c r="H19" s="251"/>
      <c r="I19" s="252">
        <f>I18/G18-1</f>
        <v>-4.3534951542072764E-2</v>
      </c>
      <c r="J19" s="251"/>
      <c r="K19" s="252">
        <f>K18/I18-1</f>
        <v>-0.12927867328594234</v>
      </c>
      <c r="L19" s="251"/>
      <c r="M19" s="252">
        <f>M18/K18-1</f>
        <v>0.14862349248777385</v>
      </c>
      <c r="N19" s="251"/>
      <c r="O19" s="252">
        <f>O18/M18-1</f>
        <v>5.7327289897061817E-2</v>
      </c>
      <c r="P19" s="251"/>
      <c r="Q19" s="252">
        <f>Q18/O18-1</f>
        <v>0.79102399561813641</v>
      </c>
      <c r="R19" s="251"/>
      <c r="S19" s="252">
        <f>S18/Q18-1</f>
        <v>-0.20249828810770298</v>
      </c>
      <c r="T19" s="251"/>
      <c r="U19" s="252">
        <f>U18/S18-1</f>
        <v>0.30456090177569517</v>
      </c>
      <c r="V19" s="251"/>
      <c r="W19" s="252">
        <f>W18/U18-1</f>
        <v>-0.17856953485280513</v>
      </c>
      <c r="X19" s="225"/>
      <c r="Y19" s="252">
        <f>Y18/W18-1</f>
        <v>0.19973744229638246</v>
      </c>
      <c r="AD19" s="197"/>
    </row>
    <row r="20" spans="1:30" x14ac:dyDescent="0.25">
      <c r="D20" s="255" t="s">
        <v>237</v>
      </c>
      <c r="E20" s="251">
        <v>489.22</v>
      </c>
      <c r="F20" s="221"/>
      <c r="G20" s="221">
        <v>492.44</v>
      </c>
      <c r="H20" s="221"/>
      <c r="I20" s="221">
        <v>855.78</v>
      </c>
      <c r="J20" s="221"/>
      <c r="K20" s="221">
        <v>855.46</v>
      </c>
      <c r="L20" s="221"/>
      <c r="M20" s="221">
        <v>963.2</v>
      </c>
      <c r="N20" s="221"/>
      <c r="O20" s="221">
        <v>1013.16</v>
      </c>
      <c r="P20" s="221"/>
      <c r="Q20" s="221">
        <v>1088.29</v>
      </c>
      <c r="R20" s="221"/>
      <c r="S20" s="221">
        <v>1274.44</v>
      </c>
      <c r="T20" s="221"/>
      <c r="U20" s="221">
        <v>1651.14</v>
      </c>
      <c r="V20" s="225"/>
      <c r="W20" s="221">
        <f>W14*W12/31.1</f>
        <v>1939.8303369774917</v>
      </c>
      <c r="X20" s="225"/>
      <c r="Y20" s="225">
        <v>2032</v>
      </c>
      <c r="AA20" s="228">
        <v>45286</v>
      </c>
      <c r="AC20" s="197">
        <f>AA28-AA20</f>
        <v>59</v>
      </c>
      <c r="AD20" s="197">
        <f>AA28-AA20</f>
        <v>59</v>
      </c>
    </row>
    <row r="21" spans="1:30" x14ac:dyDescent="0.25">
      <c r="D21" s="255" t="s">
        <v>272</v>
      </c>
      <c r="E21" s="225"/>
      <c r="F21" s="225"/>
      <c r="G21" s="224">
        <f>G20/E20-1</f>
        <v>6.5819058910101536E-3</v>
      </c>
      <c r="H21" s="225"/>
      <c r="I21" s="224">
        <f>I20/G20-1</f>
        <v>0.73783608155308267</v>
      </c>
      <c r="J21" s="225"/>
      <c r="K21" s="224">
        <f>K20/I20-1</f>
        <v>-3.739278786603073E-4</v>
      </c>
      <c r="L21" s="225"/>
      <c r="M21" s="224">
        <f>M20/K20-1</f>
        <v>0.12594393659551595</v>
      </c>
      <c r="N21" s="225"/>
      <c r="O21" s="224">
        <f>O20/M20-1</f>
        <v>5.1868770764119443E-2</v>
      </c>
      <c r="P21" s="203"/>
      <c r="Q21" s="224">
        <f>Q20/O20-1</f>
        <v>7.4154131627778508E-2</v>
      </c>
      <c r="R21" s="203"/>
      <c r="S21" s="224">
        <f>S20/Q20-1</f>
        <v>0.17104815811961904</v>
      </c>
      <c r="T21" s="203"/>
      <c r="U21" s="224">
        <f>U20/S20-1</f>
        <v>0.29558080411788712</v>
      </c>
      <c r="V21" s="225"/>
      <c r="W21" s="224">
        <f>W20/U20-1</f>
        <v>0.17484303994663786</v>
      </c>
      <c r="X21" s="225"/>
      <c r="Y21" s="224">
        <f>Y20/W20-1</f>
        <v>4.7514290948826199E-2</v>
      </c>
      <c r="AA21" s="228">
        <v>45180</v>
      </c>
      <c r="AC21" s="197">
        <f>AA27-AA21</f>
        <v>106</v>
      </c>
      <c r="AD21" s="197">
        <f>AC27+AC21</f>
        <v>165</v>
      </c>
    </row>
    <row r="22" spans="1:30" x14ac:dyDescent="0.25">
      <c r="D22" s="256" t="s">
        <v>278</v>
      </c>
      <c r="E22" s="247"/>
      <c r="F22" s="247"/>
      <c r="G22" s="247">
        <v>0.97599999999999998</v>
      </c>
      <c r="H22" s="247"/>
      <c r="I22" s="247">
        <v>1.3007379999999999</v>
      </c>
      <c r="J22" s="247"/>
      <c r="K22" s="247">
        <v>1.000678</v>
      </c>
      <c r="L22" s="247"/>
      <c r="M22" s="247">
        <v>1.0451630000000001</v>
      </c>
      <c r="N22" s="247"/>
      <c r="O22" s="247">
        <v>1.2860879999999999</v>
      </c>
      <c r="P22" s="247"/>
      <c r="Q22" s="247">
        <v>0.96101899999999996</v>
      </c>
      <c r="R22" s="247"/>
      <c r="S22" s="247">
        <v>1.092848</v>
      </c>
      <c r="T22" s="221"/>
      <c r="U22" s="247">
        <v>1.694555</v>
      </c>
      <c r="V22" s="225"/>
      <c r="W22" s="247">
        <v>2.2938200000000002</v>
      </c>
      <c r="X22" s="225"/>
      <c r="Y22" s="225">
        <v>2.7143999999999999</v>
      </c>
      <c r="AA22" s="228">
        <v>45055</v>
      </c>
      <c r="AC22" s="197">
        <f>AA21-AA22</f>
        <v>125</v>
      </c>
      <c r="AD22" s="197">
        <f>AC27+AC21+AC22</f>
        <v>290</v>
      </c>
    </row>
    <row r="23" spans="1:30" x14ac:dyDescent="0.25">
      <c r="D23" s="256" t="s">
        <v>279</v>
      </c>
      <c r="E23" s="247"/>
      <c r="F23" s="247"/>
      <c r="G23" s="247"/>
      <c r="H23" s="247"/>
      <c r="I23" s="224">
        <f t="shared" ref="I23" si="7">I22/G22-1</f>
        <v>0.3327233606557376</v>
      </c>
      <c r="J23" s="224"/>
      <c r="K23" s="224">
        <f>K22/I22-1</f>
        <v>-0.23068442684076274</v>
      </c>
      <c r="L23" s="247"/>
      <c r="M23" s="224">
        <f>M22/K22-1</f>
        <v>4.4454859605187691E-2</v>
      </c>
      <c r="N23" s="247"/>
      <c r="O23" s="224">
        <f>O22/M22-1</f>
        <v>0.23051428341799296</v>
      </c>
      <c r="P23" s="247"/>
      <c r="Q23" s="224">
        <f>Q22/O22-1</f>
        <v>-0.25275797612605044</v>
      </c>
      <c r="R23" s="247"/>
      <c r="S23" s="224">
        <f>S22/Q22-1</f>
        <v>0.13717626810708228</v>
      </c>
      <c r="T23" s="221"/>
      <c r="U23" s="224">
        <f>U22/S22-1</f>
        <v>0.55058617483858696</v>
      </c>
      <c r="V23" s="225"/>
      <c r="W23" s="224">
        <f>W22/U22-1</f>
        <v>0.35364151650433318</v>
      </c>
      <c r="X23" s="225"/>
      <c r="Y23" s="224">
        <f>Y22/W22-1</f>
        <v>0.18335353253524667</v>
      </c>
      <c r="AA23" s="228">
        <v>45055</v>
      </c>
      <c r="AC23" s="197">
        <f>AA21-AA23</f>
        <v>125</v>
      </c>
      <c r="AD23" s="197">
        <f>AC21+AC23</f>
        <v>231</v>
      </c>
    </row>
    <row r="24" spans="1:30" x14ac:dyDescent="0.25">
      <c r="D24" s="257" t="s">
        <v>280</v>
      </c>
      <c r="G24" s="247">
        <v>1.101243</v>
      </c>
      <c r="I24" s="247">
        <v>1.704815</v>
      </c>
      <c r="J24" s="247"/>
      <c r="K24" s="247">
        <v>1.5649660000000001</v>
      </c>
      <c r="L24" s="247"/>
      <c r="M24" s="247">
        <v>1.7542249999999999</v>
      </c>
      <c r="N24" s="247"/>
      <c r="O24" s="247">
        <v>1.743457</v>
      </c>
      <c r="P24" s="224"/>
      <c r="Q24" s="247">
        <v>1.6079810000000001</v>
      </c>
      <c r="R24" s="247"/>
      <c r="S24" s="247">
        <v>1.7110719999999999</v>
      </c>
      <c r="T24" s="247"/>
      <c r="U24" s="247">
        <v>2.386555</v>
      </c>
      <c r="V24" s="247"/>
      <c r="W24" s="247">
        <v>2.8782350000000001</v>
      </c>
      <c r="X24" s="247"/>
      <c r="Y24" s="247"/>
    </row>
    <row r="25" spans="1:30" x14ac:dyDescent="0.25">
      <c r="D25" s="257" t="s">
        <v>281</v>
      </c>
      <c r="E25" s="222"/>
      <c r="F25" s="222"/>
      <c r="G25" s="224"/>
      <c r="H25" s="225"/>
      <c r="I25" s="224">
        <f>I24/G24-1</f>
        <v>0.54808248497379775</v>
      </c>
      <c r="J25" s="225"/>
      <c r="K25" s="224">
        <f>K24/I24-1</f>
        <v>-8.2031774708692717E-2</v>
      </c>
      <c r="L25" s="225"/>
      <c r="M25" s="224">
        <f>M24/K24-1</f>
        <v>0.12093489571019433</v>
      </c>
      <c r="N25" s="225"/>
      <c r="O25" s="224">
        <f>O24/M24-1</f>
        <v>-6.1383231911527059E-3</v>
      </c>
      <c r="P25" s="203"/>
      <c r="Q25" s="224">
        <f>Q24/O24-1</f>
        <v>-7.7705386482144312E-2</v>
      </c>
      <c r="R25" s="203"/>
      <c r="S25" s="224">
        <f>S24/Q24-1</f>
        <v>6.4112075951145986E-2</v>
      </c>
      <c r="T25" s="203"/>
      <c r="U25" s="224">
        <f>U24/S24-1</f>
        <v>0.39477181556357666</v>
      </c>
      <c r="V25" s="190"/>
      <c r="W25" s="224">
        <f>W24/U24-1</f>
        <v>0.20602081242627968</v>
      </c>
      <c r="AA25" s="228"/>
      <c r="AD25" s="197"/>
    </row>
    <row r="26" spans="1:30" x14ac:dyDescent="0.25">
      <c r="E26" s="222"/>
      <c r="F26" s="222"/>
      <c r="G26" s="224"/>
      <c r="H26" s="225"/>
      <c r="I26" s="224"/>
      <c r="J26" s="225"/>
      <c r="K26" s="224"/>
      <c r="L26" s="225"/>
      <c r="M26" s="224"/>
      <c r="N26" s="225"/>
      <c r="O26" s="224"/>
      <c r="P26" s="203"/>
      <c r="Q26" s="224"/>
      <c r="R26" s="203"/>
      <c r="S26" s="224"/>
      <c r="T26" s="203"/>
      <c r="U26" s="224"/>
      <c r="V26" s="190"/>
      <c r="W26" s="224"/>
      <c r="AA26" s="228"/>
      <c r="AD26" s="197"/>
    </row>
    <row r="27" spans="1:30" x14ac:dyDescent="0.25">
      <c r="A27" s="197"/>
      <c r="B27" s="197"/>
      <c r="C27" s="197"/>
      <c r="D27" s="197"/>
      <c r="E27" s="250">
        <f>E3</f>
        <v>44334</v>
      </c>
      <c r="F27" s="242" t="s">
        <v>209</v>
      </c>
      <c r="G27" s="250">
        <f>F3</f>
        <v>44460</v>
      </c>
      <c r="H27" s="216" t="s">
        <v>209</v>
      </c>
      <c r="I27" s="250">
        <f>E4</f>
        <v>44546</v>
      </c>
      <c r="J27" s="242" t="s">
        <v>207</v>
      </c>
      <c r="K27" s="250">
        <f>F4</f>
        <v>44616</v>
      </c>
      <c r="L27" s="216" t="s">
        <v>207</v>
      </c>
      <c r="M27" s="250">
        <f>E5</f>
        <v>44719</v>
      </c>
      <c r="N27" s="242" t="s">
        <v>208</v>
      </c>
      <c r="O27" s="250">
        <f>F5</f>
        <v>44789</v>
      </c>
      <c r="P27" s="216" t="s">
        <v>208</v>
      </c>
      <c r="Q27" s="250">
        <f>E6</f>
        <v>44922</v>
      </c>
      <c r="R27" s="242" t="s">
        <v>206</v>
      </c>
      <c r="S27" s="250">
        <f>F6</f>
        <v>45055</v>
      </c>
      <c r="T27" s="216" t="s">
        <v>206</v>
      </c>
      <c r="U27" s="250">
        <f>E7</f>
        <v>45180</v>
      </c>
      <c r="V27" s="242" t="s">
        <v>256</v>
      </c>
      <c r="W27" s="250">
        <f>F7</f>
        <v>45286</v>
      </c>
      <c r="X27" s="215" t="s">
        <v>256</v>
      </c>
      <c r="Y27" s="250">
        <v>45346</v>
      </c>
      <c r="AA27" s="228">
        <v>45286</v>
      </c>
      <c r="AC27" s="197">
        <f>AA28-AA27</f>
        <v>59</v>
      </c>
      <c r="AD27" s="197">
        <f>AC27</f>
        <v>59</v>
      </c>
    </row>
    <row r="28" spans="1:30" x14ac:dyDescent="0.25">
      <c r="D28" s="195" t="s">
        <v>245</v>
      </c>
      <c r="I28" s="226">
        <f>M3</f>
        <v>0.91300000000000003</v>
      </c>
      <c r="J28" s="190"/>
      <c r="K28" s="190"/>
      <c r="L28" s="190"/>
      <c r="M28" s="231">
        <f>M4</f>
        <v>0.99</v>
      </c>
      <c r="N28" s="190"/>
      <c r="O28" s="196"/>
      <c r="P28" s="196"/>
      <c r="Q28" s="210">
        <f>M5</f>
        <v>1.2</v>
      </c>
      <c r="R28" s="196"/>
      <c r="S28" s="196"/>
      <c r="T28" s="196"/>
      <c r="U28" s="223">
        <f>M6</f>
        <v>0.56599999999999995</v>
      </c>
      <c r="W28" s="240"/>
      <c r="AA28" s="228">
        <v>45345</v>
      </c>
    </row>
    <row r="29" spans="1:30" x14ac:dyDescent="0.25">
      <c r="D29" s="195" t="s">
        <v>246</v>
      </c>
      <c r="E29" s="217"/>
      <c r="G29" s="218"/>
      <c r="I29" s="226">
        <f>O3</f>
        <v>0.71099999999999997</v>
      </c>
      <c r="J29" s="226"/>
      <c r="K29" s="226"/>
      <c r="L29" s="226"/>
      <c r="M29" s="226">
        <f>O4</f>
        <v>0.89600000000000002</v>
      </c>
      <c r="N29" s="226"/>
      <c r="O29" s="226"/>
      <c r="P29" s="226"/>
      <c r="Q29" s="226">
        <f>O5</f>
        <v>0.78700000000000003</v>
      </c>
      <c r="R29" s="226"/>
      <c r="S29" s="226"/>
      <c r="T29" s="226"/>
      <c r="U29" s="226">
        <f>O6</f>
        <v>0.92300000000000004</v>
      </c>
      <c r="W29" s="220"/>
      <c r="AB29" s="190" t="s">
        <v>240</v>
      </c>
      <c r="AD29" s="190" t="s">
        <v>240</v>
      </c>
    </row>
    <row r="30" spans="1:30" x14ac:dyDescent="0.25">
      <c r="D30" s="195" t="s">
        <v>248</v>
      </c>
      <c r="E30" s="217"/>
      <c r="G30" s="218"/>
      <c r="I30" s="226">
        <f>I20/$G$20-1</f>
        <v>0.73783608155308267</v>
      </c>
      <c r="J30" s="226"/>
      <c r="K30" s="226">
        <f>K20/$G$20-1</f>
        <v>0.73718625619364797</v>
      </c>
      <c r="L30" s="226"/>
      <c r="M30" s="226">
        <f>M20/$G$20-1</f>
        <v>0.9559743318983025</v>
      </c>
      <c r="N30" s="226"/>
      <c r="O30" s="226">
        <f>O20/$G$20-1</f>
        <v>1.0574283161400375</v>
      </c>
      <c r="P30" s="226"/>
      <c r="Q30" s="226">
        <f>Q20/$G$20-1</f>
        <v>1.2099951263098041</v>
      </c>
      <c r="R30" s="226"/>
      <c r="S30" s="226">
        <f>S20/$G$20-1</f>
        <v>1.588010722118431</v>
      </c>
      <c r="T30" s="226"/>
      <c r="U30" s="226">
        <f>U20/$G$20-1</f>
        <v>2.3529770124279104</v>
      </c>
      <c r="W30" s="226">
        <f>W20/$G$20-1</f>
        <v>2.9392217061520016</v>
      </c>
      <c r="AA30" s="196" t="s">
        <v>257</v>
      </c>
      <c r="AB30" s="195">
        <f>I27-G27</f>
        <v>86</v>
      </c>
      <c r="AC30" s="196" t="s">
        <v>262</v>
      </c>
      <c r="AD30" s="195">
        <f>G27-E27</f>
        <v>126</v>
      </c>
    </row>
    <row r="31" spans="1:30" x14ac:dyDescent="0.25">
      <c r="D31" s="195" t="s">
        <v>254</v>
      </c>
      <c r="E31" s="217"/>
      <c r="G31" s="218"/>
      <c r="I31" s="226">
        <v>0.71799999999999997</v>
      </c>
      <c r="J31" s="226"/>
      <c r="K31" s="226">
        <v>0.60799999999999998</v>
      </c>
      <c r="L31" s="226"/>
      <c r="M31" s="226">
        <v>0.996</v>
      </c>
      <c r="N31" s="226"/>
      <c r="O31" s="226">
        <v>1.0760000000000001</v>
      </c>
      <c r="P31" s="226"/>
      <c r="Q31" s="226">
        <v>1.1635</v>
      </c>
      <c r="R31" s="226"/>
      <c r="S31" s="226">
        <v>1.2645</v>
      </c>
      <c r="T31" s="226"/>
      <c r="U31" s="226">
        <v>2.1168</v>
      </c>
      <c r="V31" s="226"/>
      <c r="W31" s="226">
        <v>2.4</v>
      </c>
      <c r="AA31" s="196" t="s">
        <v>258</v>
      </c>
      <c r="AB31" s="195">
        <f>M27-K27</f>
        <v>103</v>
      </c>
      <c r="AC31" s="196" t="s">
        <v>262</v>
      </c>
      <c r="AD31" s="195">
        <f>K27-I27</f>
        <v>70</v>
      </c>
    </row>
    <row r="32" spans="1:30" x14ac:dyDescent="0.25">
      <c r="D32" s="195" t="s">
        <v>284</v>
      </c>
      <c r="E32" s="217"/>
      <c r="G32" s="218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W32" s="226"/>
      <c r="AA32" s="196" t="s">
        <v>259</v>
      </c>
      <c r="AB32" s="195">
        <f>Q27-O27</f>
        <v>133</v>
      </c>
      <c r="AC32" s="196" t="s">
        <v>263</v>
      </c>
      <c r="AD32" s="195">
        <f>O27-M27</f>
        <v>70</v>
      </c>
    </row>
    <row r="33" spans="1:34" x14ac:dyDescent="0.25">
      <c r="D33" s="195" t="s">
        <v>280</v>
      </c>
      <c r="E33" s="217"/>
      <c r="G33" s="218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W33" s="226"/>
      <c r="AA33" s="196"/>
      <c r="AC33" s="196"/>
    </row>
    <row r="34" spans="1:34" x14ac:dyDescent="0.25">
      <c r="E34" s="217"/>
      <c r="G34" s="218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W34" s="226"/>
      <c r="AA34" s="196"/>
      <c r="AC34" s="196"/>
    </row>
    <row r="35" spans="1:34" x14ac:dyDescent="0.25">
      <c r="D35" s="190" t="s">
        <v>282</v>
      </c>
      <c r="E35" s="217"/>
      <c r="G35" s="217">
        <v>100000</v>
      </c>
      <c r="I35" s="218">
        <f>G35*(1+I28)</f>
        <v>191300</v>
      </c>
      <c r="J35" s="226"/>
      <c r="K35" s="218">
        <f>I35*(1+K13)</f>
        <v>204982.53924078814</v>
      </c>
      <c r="L35" s="226"/>
      <c r="M35" s="218">
        <f>K35*(1+M28)</f>
        <v>407915.2530891684</v>
      </c>
      <c r="N35" s="226"/>
      <c r="O35" s="218">
        <f>M35*(1+O13)</f>
        <v>412532.01195729233</v>
      </c>
      <c r="P35" s="226"/>
      <c r="Q35" s="218">
        <f>O35*(1+Q28)</f>
        <v>907570.42630604317</v>
      </c>
      <c r="R35" s="226"/>
      <c r="S35" s="218">
        <f>Q35*(1+S13)</f>
        <v>1015888.5064026575</v>
      </c>
      <c r="T35" s="226"/>
      <c r="U35" s="218">
        <f>S35*(1+U28)</f>
        <v>1590881.4010265614</v>
      </c>
      <c r="W35" s="218">
        <f>U35*(1+W13)</f>
        <v>1713154.449637874</v>
      </c>
      <c r="AA35" s="196" t="s">
        <v>260</v>
      </c>
      <c r="AB35" s="195">
        <f>U27-S27</f>
        <v>125</v>
      </c>
      <c r="AC35" s="196" t="s">
        <v>264</v>
      </c>
      <c r="AD35" s="195">
        <f>S27-Q27</f>
        <v>133</v>
      </c>
    </row>
    <row r="36" spans="1:34" x14ac:dyDescent="0.25">
      <c r="D36" s="195" t="s">
        <v>283</v>
      </c>
      <c r="E36" s="217"/>
      <c r="G36" s="217">
        <v>100000</v>
      </c>
      <c r="I36" s="218">
        <f>G36*(1+I29)</f>
        <v>171099.99999999997</v>
      </c>
      <c r="K36" s="218">
        <f>I36*(1+K13)</f>
        <v>183337.75464766778</v>
      </c>
      <c r="M36" s="218">
        <f>K36*(1+M29)</f>
        <v>347608.38281197811</v>
      </c>
      <c r="O36" s="218">
        <f>M36*(1+O13)</f>
        <v>351542.59236121166</v>
      </c>
      <c r="Q36" s="218">
        <f>O36*(1+Q28)</f>
        <v>773393.70319466572</v>
      </c>
      <c r="S36" s="218">
        <f>Q36*(1+S13)</f>
        <v>865697.8579585274</v>
      </c>
      <c r="U36" s="218">
        <f>S36*(1+U29)</f>
        <v>1664736.9808542482</v>
      </c>
      <c r="W36" s="243">
        <f>U36*(1+W13)</f>
        <v>1792686.4720317132</v>
      </c>
      <c r="AA36" s="196"/>
      <c r="AC36" s="196"/>
    </row>
    <row r="37" spans="1:34" x14ac:dyDescent="0.25">
      <c r="D37" s="195" t="s">
        <v>245</v>
      </c>
      <c r="G37" s="217">
        <v>100000</v>
      </c>
      <c r="I37" s="218">
        <f>G37*(1+I28)</f>
        <v>191300</v>
      </c>
      <c r="K37" s="218">
        <f>I37*(1+K21)</f>
        <v>191228.46759681229</v>
      </c>
      <c r="M37" s="218">
        <f>K37*(1+M28)</f>
        <v>380544.65051765647</v>
      </c>
      <c r="O37" s="218">
        <f>M37*(1+O21)</f>
        <v>400283.03376086871</v>
      </c>
      <c r="Q37" s="218">
        <f>O37*(1+Q28)</f>
        <v>880622.67427391128</v>
      </c>
      <c r="S37" s="218">
        <f>Q37*(1+S21)</f>
        <v>1031251.560706837</v>
      </c>
      <c r="U37" s="218">
        <f>S37*(1+U28)</f>
        <v>1614939.9440669066</v>
      </c>
      <c r="W37" s="243">
        <f>U37*(1+W21)</f>
        <v>1897300.9532188179</v>
      </c>
      <c r="X37" s="244"/>
      <c r="AA37" s="196" t="s">
        <v>260</v>
      </c>
      <c r="AB37" s="195">
        <f>Y27-W27</f>
        <v>60</v>
      </c>
      <c r="AC37" s="196" t="s">
        <v>266</v>
      </c>
      <c r="AD37" s="195">
        <f>W27-U27</f>
        <v>106</v>
      </c>
    </row>
    <row r="38" spans="1:34" x14ac:dyDescent="0.25">
      <c r="D38" s="195" t="s">
        <v>246</v>
      </c>
      <c r="E38" s="217"/>
      <c r="G38" s="217">
        <v>100000</v>
      </c>
      <c r="I38" s="218">
        <f>G38*(1+I29)</f>
        <v>171099.99999999997</v>
      </c>
      <c r="K38" s="218">
        <f>I38*(1+K21)</f>
        <v>171036.02093996119</v>
      </c>
      <c r="M38" s="218">
        <f>K38*(1+M29)</f>
        <v>324284.29570216639</v>
      </c>
      <c r="O38" s="219">
        <f>M38*(O21+1)</f>
        <v>341104.52349834598</v>
      </c>
      <c r="Q38" s="219">
        <f>O38*(1+Q29)</f>
        <v>609553.78349154419</v>
      </c>
      <c r="S38" s="219">
        <f>Q38*(1+S21)</f>
        <v>713816.83543261793</v>
      </c>
      <c r="U38" s="220">
        <f>S38*(1+U29)</f>
        <v>1372669.7745369242</v>
      </c>
      <c r="W38" s="245">
        <f>U38*(1+W21)</f>
        <v>1612671.5307598261</v>
      </c>
      <c r="X38" s="244"/>
    </row>
    <row r="39" spans="1:34" x14ac:dyDescent="0.25">
      <c r="D39" s="195" t="s">
        <v>248</v>
      </c>
      <c r="E39" s="192"/>
      <c r="F39" s="192"/>
      <c r="G39" s="217">
        <v>100000</v>
      </c>
      <c r="I39" s="218">
        <f>$G$39*(1+I30)</f>
        <v>173783.60815530826</v>
      </c>
      <c r="K39" s="218">
        <f>$G$39*(1+K30)</f>
        <v>173718.62561936479</v>
      </c>
      <c r="M39" s="218">
        <f>$G$39*(1+M30)</f>
        <v>195597.43318983025</v>
      </c>
      <c r="O39" s="218">
        <f>$G$39*(1+O30)</f>
        <v>205742.83161400375</v>
      </c>
      <c r="Q39" s="218">
        <f>$G$39*(1+Q30)</f>
        <v>220999.5126309804</v>
      </c>
      <c r="S39" s="218">
        <f>$G$39*(1+S30)</f>
        <v>258801.0722118431</v>
      </c>
      <c r="U39" s="218">
        <f>$G$39*(1+U30)</f>
        <v>335297.70124279102</v>
      </c>
      <c r="V39" s="192"/>
      <c r="W39" s="243">
        <f>$G$39*(1+W30)</f>
        <v>393922.17061520019</v>
      </c>
      <c r="X39" s="244"/>
      <c r="AA39" s="196" t="s">
        <v>261</v>
      </c>
      <c r="AB39" s="241">
        <f>SUM(AB30:AB37)/5</f>
        <v>101.4</v>
      </c>
      <c r="AC39" s="196" t="s">
        <v>265</v>
      </c>
      <c r="AD39" s="241">
        <f>(AD30+AD31+AD32+AD35+AD37)/5</f>
        <v>101</v>
      </c>
      <c r="AF39" s="249">
        <f>AB39+AD39</f>
        <v>202.4</v>
      </c>
      <c r="AG39" s="192">
        <f>AF39*2</f>
        <v>404.8</v>
      </c>
      <c r="AH39" s="192">
        <f>AG39*2</f>
        <v>809.6</v>
      </c>
    </row>
    <row r="40" spans="1:34" x14ac:dyDescent="0.25">
      <c r="A40" s="195"/>
      <c r="B40" s="195"/>
      <c r="C40" s="195"/>
      <c r="D40" s="195" t="s">
        <v>254</v>
      </c>
      <c r="E40" s="190"/>
      <c r="F40" s="190"/>
      <c r="G40" s="218">
        <v>100000</v>
      </c>
      <c r="I40" s="218">
        <f>$G$40*(1+I31)</f>
        <v>171800</v>
      </c>
      <c r="K40" s="218">
        <f>$G$39*(1+K31)</f>
        <v>160800</v>
      </c>
      <c r="M40" s="218">
        <f>$G$39*(1+M31)</f>
        <v>199600</v>
      </c>
      <c r="O40" s="218">
        <f>$G$39*(1+O31)</f>
        <v>207600</v>
      </c>
      <c r="Q40" s="218">
        <f>$G$39*(1+Q31)</f>
        <v>216350</v>
      </c>
      <c r="S40" s="218">
        <f>$G$39*(1+S31)</f>
        <v>226450</v>
      </c>
      <c r="U40" s="218">
        <f>$G$39*(1+U31)</f>
        <v>311680</v>
      </c>
      <c r="V40" s="192"/>
      <c r="W40" s="243">
        <f>$G$39*(1+W31)</f>
        <v>340000</v>
      </c>
      <c r="X40" s="244"/>
    </row>
    <row r="41" spans="1:34" x14ac:dyDescent="0.25">
      <c r="A41" s="195"/>
      <c r="B41" s="195"/>
      <c r="C41" s="195"/>
      <c r="D41" s="195" t="s">
        <v>284</v>
      </c>
      <c r="E41" s="190"/>
      <c r="F41" s="190"/>
      <c r="G41" s="218">
        <v>100000</v>
      </c>
      <c r="I41" s="218">
        <f>$G$41*(1+I23)</f>
        <v>133272.33606557376</v>
      </c>
      <c r="K41" s="218">
        <f>I41*(1+K23)</f>
        <v>102528.48360655736</v>
      </c>
      <c r="L41" s="218">
        <f t="shared" ref="L41:W41" si="8">J41*(1+L23)</f>
        <v>0</v>
      </c>
      <c r="M41" s="218">
        <f>K41*(1+M23)</f>
        <v>107086.37295081966</v>
      </c>
      <c r="N41" s="218">
        <f t="shared" si="8"/>
        <v>0</v>
      </c>
      <c r="O41" s="218">
        <f>M41*(1+O23)</f>
        <v>131771.31147540981</v>
      </c>
      <c r="P41" s="218">
        <f t="shared" si="8"/>
        <v>0</v>
      </c>
      <c r="Q41" s="218">
        <f t="shared" si="8"/>
        <v>98465.061475409821</v>
      </c>
      <c r="R41" s="218">
        <f t="shared" si="8"/>
        <v>0</v>
      </c>
      <c r="S41" s="218">
        <f t="shared" si="8"/>
        <v>111972.13114754097</v>
      </c>
      <c r="T41" s="218">
        <f t="shared" si="8"/>
        <v>0</v>
      </c>
      <c r="U41" s="218">
        <f t="shared" si="8"/>
        <v>173622.43852459016</v>
      </c>
      <c r="V41" s="218">
        <f t="shared" si="8"/>
        <v>0</v>
      </c>
      <c r="W41" s="218">
        <f t="shared" si="8"/>
        <v>235022.5409836066</v>
      </c>
      <c r="X41" s="246" t="s">
        <v>191</v>
      </c>
      <c r="Y41" s="228">
        <v>45328</v>
      </c>
    </row>
    <row r="42" spans="1:34" x14ac:dyDescent="0.25">
      <c r="A42" s="195"/>
      <c r="B42" s="195"/>
      <c r="C42" s="195"/>
      <c r="D42" s="195" t="s">
        <v>280</v>
      </c>
      <c r="E42" s="190"/>
      <c r="F42" s="190"/>
      <c r="G42" s="218">
        <v>100000</v>
      </c>
      <c r="I42" s="218"/>
      <c r="K42" s="218"/>
      <c r="M42" s="218"/>
      <c r="O42" s="218"/>
      <c r="Q42" s="218"/>
      <c r="S42" s="218"/>
      <c r="U42" s="218"/>
      <c r="V42" s="192"/>
      <c r="W42" s="244"/>
      <c r="X42" s="246"/>
      <c r="Y42" s="228"/>
    </row>
    <row r="43" spans="1:34" x14ac:dyDescent="0.25">
      <c r="A43" s="195"/>
      <c r="B43" s="195"/>
      <c r="C43" s="195"/>
      <c r="E43" s="190"/>
      <c r="F43" s="190"/>
      <c r="G43" s="218"/>
      <c r="I43" s="218"/>
      <c r="K43" s="218"/>
      <c r="M43" s="218"/>
      <c r="O43" s="218"/>
      <c r="Q43" s="218"/>
      <c r="S43" s="218"/>
      <c r="U43" s="218"/>
      <c r="V43" s="192"/>
      <c r="W43" s="244"/>
      <c r="X43" s="246"/>
      <c r="Y43" s="228"/>
    </row>
    <row r="44" spans="1:34" x14ac:dyDescent="0.25">
      <c r="A44" s="195" t="s">
        <v>240</v>
      </c>
      <c r="B44" s="195"/>
      <c r="C44" s="195"/>
      <c r="D44" s="190" t="s">
        <v>247</v>
      </c>
      <c r="E44" s="190" t="s">
        <v>241</v>
      </c>
      <c r="F44" s="190" t="s">
        <v>242</v>
      </c>
      <c r="G44" s="232" t="s">
        <v>239</v>
      </c>
      <c r="H44" s="190" t="s">
        <v>240</v>
      </c>
      <c r="I44" s="232" t="s">
        <v>255</v>
      </c>
      <c r="K44" s="218"/>
      <c r="M44" s="218"/>
      <c r="O44" s="218"/>
      <c r="Q44" s="218"/>
      <c r="S44" s="218"/>
      <c r="U44" s="218"/>
      <c r="V44" s="192"/>
    </row>
    <row r="45" spans="1:34" hidden="1" x14ac:dyDescent="0.25">
      <c r="A45" s="195">
        <f>F45-E45</f>
        <v>364</v>
      </c>
      <c r="B45" s="195"/>
      <c r="C45" s="195"/>
      <c r="D45" s="190" t="s">
        <v>251</v>
      </c>
      <c r="E45" s="228">
        <v>44922</v>
      </c>
      <c r="F45" s="193">
        <v>45286</v>
      </c>
      <c r="G45" s="227">
        <v>0.49</v>
      </c>
      <c r="I45" s="218"/>
      <c r="K45" s="218"/>
      <c r="M45" s="218"/>
      <c r="O45" s="218"/>
      <c r="Q45" s="218"/>
      <c r="S45" s="218"/>
      <c r="U45" s="218"/>
      <c r="V45" s="192"/>
    </row>
    <row r="46" spans="1:34" hidden="1" x14ac:dyDescent="0.25">
      <c r="A46" s="195">
        <f>F46-E46</f>
        <v>740</v>
      </c>
      <c r="B46" s="195"/>
      <c r="C46" s="195"/>
      <c r="D46" s="190" t="s">
        <v>250</v>
      </c>
      <c r="E46" s="228">
        <v>44546</v>
      </c>
      <c r="F46" s="193">
        <v>45286</v>
      </c>
      <c r="G46" s="227"/>
      <c r="I46" s="218"/>
      <c r="K46" s="218"/>
      <c r="M46" s="218"/>
      <c r="O46" s="218"/>
      <c r="Q46" s="218"/>
      <c r="S46" s="218"/>
      <c r="U46" s="218"/>
      <c r="V46" s="192"/>
    </row>
    <row r="47" spans="1:34" hidden="1" x14ac:dyDescent="0.25">
      <c r="A47" s="195">
        <f>F47-E47</f>
        <v>826</v>
      </c>
      <c r="B47" s="195"/>
      <c r="C47" s="195"/>
      <c r="D47" s="190" t="s">
        <v>250</v>
      </c>
      <c r="E47" s="228">
        <v>44460</v>
      </c>
      <c r="F47" s="193">
        <v>45286</v>
      </c>
      <c r="G47" s="227"/>
      <c r="I47" s="218"/>
      <c r="K47" s="218"/>
      <c r="M47" s="218"/>
      <c r="O47" s="218"/>
      <c r="Q47" s="218"/>
      <c r="S47" s="218"/>
      <c r="U47" s="218"/>
      <c r="V47" s="192"/>
    </row>
    <row r="48" spans="1:34" hidden="1" x14ac:dyDescent="0.25">
      <c r="A48" s="195"/>
      <c r="B48" s="195"/>
      <c r="C48" s="195"/>
      <c r="E48" s="190"/>
      <c r="F48" s="190"/>
      <c r="G48" s="218"/>
      <c r="I48" s="218"/>
      <c r="K48" s="218"/>
      <c r="M48" s="218"/>
      <c r="O48" s="218"/>
      <c r="Q48" s="218"/>
      <c r="S48" s="218"/>
      <c r="U48" s="218"/>
      <c r="V48" s="192"/>
    </row>
    <row r="49" spans="1:24" x14ac:dyDescent="0.25">
      <c r="A49" s="195"/>
      <c r="B49" s="195"/>
      <c r="C49" s="195"/>
      <c r="D49" s="190" t="s">
        <v>253</v>
      </c>
      <c r="E49" s="233">
        <f>H6</f>
        <v>45055</v>
      </c>
      <c r="F49" s="193">
        <f>F50</f>
        <v>45286</v>
      </c>
      <c r="G49" s="227">
        <f>W37/S37-1</f>
        <v>0.83980420055643479</v>
      </c>
      <c r="H49" s="195">
        <f>F49-E49</f>
        <v>231</v>
      </c>
      <c r="I49" s="229">
        <f>G49/H49</f>
        <v>3.635516019724826E-3</v>
      </c>
      <c r="K49" s="218"/>
      <c r="M49" s="218"/>
      <c r="O49" s="218"/>
      <c r="Q49" s="218"/>
      <c r="S49" s="218"/>
      <c r="U49" s="218"/>
      <c r="V49" s="192"/>
    </row>
    <row r="50" spans="1:24" x14ac:dyDescent="0.25">
      <c r="A50" s="195">
        <f>F50-E50</f>
        <v>364</v>
      </c>
      <c r="B50" s="195"/>
      <c r="C50" s="195"/>
      <c r="D50" s="234" t="s">
        <v>253</v>
      </c>
      <c r="E50" s="235">
        <f>Q27</f>
        <v>44922</v>
      </c>
      <c r="F50" s="236">
        <f>W27</f>
        <v>45286</v>
      </c>
      <c r="G50" s="237">
        <f>W37/Q37-1</f>
        <v>1.1544993203623513</v>
      </c>
      <c r="H50" s="238">
        <f>F50-E50</f>
        <v>364</v>
      </c>
      <c r="I50" s="239">
        <f>G50/H50</f>
        <v>3.1717014295668988E-3</v>
      </c>
      <c r="V50" s="192"/>
      <c r="X50" s="189"/>
    </row>
    <row r="51" spans="1:24" x14ac:dyDescent="0.25">
      <c r="A51" s="195">
        <f>F51-E51</f>
        <v>740</v>
      </c>
      <c r="B51" s="195"/>
      <c r="C51" s="195"/>
      <c r="D51" s="190" t="s">
        <v>253</v>
      </c>
      <c r="E51" s="228">
        <f>I27</f>
        <v>44546</v>
      </c>
      <c r="F51" s="193">
        <f>W27</f>
        <v>45286</v>
      </c>
      <c r="G51" s="227">
        <f>W37/I37-1</f>
        <v>8.917934935801453</v>
      </c>
      <c r="H51" s="195">
        <f>F51-E51</f>
        <v>740</v>
      </c>
      <c r="I51" s="229">
        <f>G51/H51</f>
        <v>1.205126342675872E-2</v>
      </c>
      <c r="V51" s="192"/>
    </row>
    <row r="52" spans="1:24" x14ac:dyDescent="0.25">
      <c r="A52" s="195">
        <f>F52-E52</f>
        <v>826</v>
      </c>
      <c r="B52" s="195"/>
      <c r="C52" s="195"/>
      <c r="D52" s="190" t="s">
        <v>253</v>
      </c>
      <c r="E52" s="228">
        <f>H3</f>
        <v>44460</v>
      </c>
      <c r="F52" s="193">
        <f>W27</f>
        <v>45286</v>
      </c>
      <c r="G52" s="227">
        <f>W37/G37-1</f>
        <v>17.973009532188179</v>
      </c>
      <c r="H52" s="195">
        <f>F52-E52</f>
        <v>826</v>
      </c>
      <c r="I52" s="229">
        <f>G52/H52</f>
        <v>2.1759091443327095E-2</v>
      </c>
      <c r="V52" s="192"/>
    </row>
    <row r="53" spans="1:24" x14ac:dyDescent="0.25">
      <c r="A53" s="195"/>
      <c r="B53" s="195"/>
      <c r="C53" s="195"/>
      <c r="D53" s="190"/>
      <c r="E53" s="228"/>
      <c r="F53" s="193"/>
      <c r="G53" s="227"/>
      <c r="I53" s="229"/>
      <c r="V53" s="192"/>
    </row>
    <row r="54" spans="1:24" x14ac:dyDescent="0.25">
      <c r="A54" s="195"/>
      <c r="B54" s="195"/>
      <c r="C54" s="195"/>
      <c r="D54" s="190" t="s">
        <v>271</v>
      </c>
      <c r="E54" s="228">
        <f>E49</f>
        <v>45055</v>
      </c>
      <c r="F54" s="193">
        <f>F49</f>
        <v>45286</v>
      </c>
      <c r="G54" s="227"/>
      <c r="I54" s="229"/>
      <c r="V54" s="192"/>
    </row>
    <row r="55" spans="1:24" x14ac:dyDescent="0.25">
      <c r="A55" s="195"/>
      <c r="B55" s="195"/>
      <c r="C55" s="195"/>
      <c r="D55" s="190"/>
      <c r="G55" s="227"/>
      <c r="V55" s="192"/>
    </row>
    <row r="56" spans="1:24" x14ac:dyDescent="0.25">
      <c r="A56" s="195"/>
      <c r="B56" s="195"/>
      <c r="C56" s="195"/>
      <c r="D56" s="190" t="s">
        <v>252</v>
      </c>
      <c r="E56" s="193">
        <f t="shared" ref="E56:F59" si="9">E49</f>
        <v>45055</v>
      </c>
      <c r="F56" s="193">
        <f t="shared" si="9"/>
        <v>45286</v>
      </c>
      <c r="G56" s="227">
        <f>W38/S38-1</f>
        <v>1.2592231658173847</v>
      </c>
      <c r="H56" s="195">
        <f>F56-E56</f>
        <v>231</v>
      </c>
      <c r="I56" s="229">
        <f>G56/H56</f>
        <v>5.4511825360059945E-3</v>
      </c>
      <c r="V56" s="192"/>
    </row>
    <row r="57" spans="1:24" x14ac:dyDescent="0.25">
      <c r="A57" s="195"/>
      <c r="B57" s="195"/>
      <c r="C57" s="195"/>
      <c r="D57" s="234" t="s">
        <v>252</v>
      </c>
      <c r="E57" s="235">
        <f t="shared" si="9"/>
        <v>44922</v>
      </c>
      <c r="F57" s="235">
        <f t="shared" si="9"/>
        <v>45286</v>
      </c>
      <c r="G57" s="237">
        <f>W38/Q38-1</f>
        <v>1.6456591271116232</v>
      </c>
      <c r="H57" s="238">
        <f t="shared" ref="H57:H59" si="10">F57-E57</f>
        <v>364</v>
      </c>
      <c r="I57" s="239">
        <f t="shared" ref="I57:I59" si="11">G57/H57</f>
        <v>4.5210415579989647E-3</v>
      </c>
      <c r="V57" s="192"/>
    </row>
    <row r="58" spans="1:24" x14ac:dyDescent="0.25">
      <c r="A58" s="195"/>
      <c r="B58" s="195"/>
      <c r="C58" s="195"/>
      <c r="D58" s="190" t="s">
        <v>252</v>
      </c>
      <c r="E58" s="228">
        <f t="shared" si="9"/>
        <v>44546</v>
      </c>
      <c r="F58" s="228">
        <f t="shared" si="9"/>
        <v>45286</v>
      </c>
      <c r="G58" s="227">
        <f>W38/I38-1</f>
        <v>8.4253157846863029</v>
      </c>
      <c r="H58" s="195">
        <f t="shared" si="10"/>
        <v>740</v>
      </c>
      <c r="I58" s="229">
        <f t="shared" si="11"/>
        <v>1.1385561871197707E-2</v>
      </c>
      <c r="V58" s="192"/>
    </row>
    <row r="59" spans="1:24" x14ac:dyDescent="0.25">
      <c r="A59" s="195"/>
      <c r="B59" s="195"/>
      <c r="C59" s="195"/>
      <c r="D59" s="190" t="s">
        <v>252</v>
      </c>
      <c r="E59" s="228">
        <f t="shared" si="9"/>
        <v>44460</v>
      </c>
      <c r="F59" s="228">
        <f t="shared" si="9"/>
        <v>45286</v>
      </c>
      <c r="G59" s="227">
        <f>W38/G38-1</f>
        <v>15.126715307598261</v>
      </c>
      <c r="H59" s="195">
        <f t="shared" si="10"/>
        <v>826</v>
      </c>
      <c r="I59" s="229">
        <f t="shared" si="11"/>
        <v>1.8313214658109273E-2</v>
      </c>
      <c r="V59" s="192"/>
    </row>
    <row r="60" spans="1:24" x14ac:dyDescent="0.25">
      <c r="A60" s="195"/>
      <c r="B60" s="195"/>
      <c r="C60" s="195"/>
      <c r="D60" s="190"/>
      <c r="G60" s="227"/>
      <c r="V60" s="192"/>
    </row>
    <row r="61" spans="1:24" x14ac:dyDescent="0.25">
      <c r="A61" s="195"/>
      <c r="B61" s="195"/>
      <c r="C61" s="195"/>
      <c r="D61" s="190" t="s">
        <v>249</v>
      </c>
      <c r="E61" s="193">
        <f>E56</f>
        <v>45055</v>
      </c>
      <c r="F61" s="193">
        <f>F56</f>
        <v>45286</v>
      </c>
      <c r="G61" s="227">
        <f>W39/S39-1</f>
        <v>0.52210409040636785</v>
      </c>
      <c r="H61" s="195">
        <f>F61-E61</f>
        <v>231</v>
      </c>
      <c r="I61" s="229">
        <f>G61/H61</f>
        <v>2.2601908675600338E-3</v>
      </c>
      <c r="V61" s="192"/>
    </row>
    <row r="62" spans="1:24" x14ac:dyDescent="0.25">
      <c r="A62" s="195">
        <f>F62-E62</f>
        <v>364</v>
      </c>
      <c r="B62" s="195"/>
      <c r="C62" s="195"/>
      <c r="D62" s="234" t="s">
        <v>249</v>
      </c>
      <c r="E62" s="235">
        <f>E50</f>
        <v>44922</v>
      </c>
      <c r="F62" s="236">
        <f>F64</f>
        <v>45286</v>
      </c>
      <c r="G62" s="237">
        <f>W20/Q20-1</f>
        <v>0.78245719153671511</v>
      </c>
      <c r="H62" s="238">
        <f>F62-E62</f>
        <v>364</v>
      </c>
      <c r="I62" s="239">
        <f>G62/H62</f>
        <v>2.1496076690569097E-3</v>
      </c>
      <c r="V62" s="192"/>
    </row>
    <row r="63" spans="1:24" x14ac:dyDescent="0.25">
      <c r="A63" s="195">
        <f>F63-E63</f>
        <v>740</v>
      </c>
      <c r="B63" s="195"/>
      <c r="C63" s="195"/>
      <c r="D63" s="190" t="s">
        <v>249</v>
      </c>
      <c r="E63" s="228">
        <f>E51</f>
        <v>44546</v>
      </c>
      <c r="F63" s="193">
        <f>F62</f>
        <v>45286</v>
      </c>
      <c r="G63" s="227">
        <f>W20/I20-1</f>
        <v>1.2667395089596529</v>
      </c>
      <c r="H63" s="195">
        <f>F63-E63</f>
        <v>740</v>
      </c>
      <c r="I63" s="229">
        <f>G63/H63</f>
        <v>1.7118101472427742E-3</v>
      </c>
      <c r="V63" s="192"/>
    </row>
    <row r="64" spans="1:24" x14ac:dyDescent="0.25">
      <c r="A64" s="195">
        <f>F64-E64</f>
        <v>826</v>
      </c>
      <c r="B64" s="195"/>
      <c r="C64" s="195"/>
      <c r="D64" s="190" t="s">
        <v>249</v>
      </c>
      <c r="E64" s="228">
        <f>E52</f>
        <v>44460</v>
      </c>
      <c r="F64" s="193">
        <f>F52</f>
        <v>45286</v>
      </c>
      <c r="G64" s="227">
        <f>W20/G20-1</f>
        <v>2.9392217061520016</v>
      </c>
      <c r="H64" s="195">
        <f>F64-E64</f>
        <v>826</v>
      </c>
      <c r="I64" s="229">
        <f>G64/H64</f>
        <v>3.5583797895302684E-3</v>
      </c>
      <c r="V64" s="192"/>
    </row>
    <row r="65" spans="1:22" x14ac:dyDescent="0.25">
      <c r="A65" s="195"/>
      <c r="B65" s="195"/>
      <c r="C65" s="195"/>
      <c r="D65" s="190"/>
      <c r="E65" s="228"/>
      <c r="F65" s="193"/>
      <c r="G65" s="227"/>
      <c r="V65" s="192"/>
    </row>
    <row r="66" spans="1:22" x14ac:dyDescent="0.25">
      <c r="A66" s="195"/>
      <c r="B66" s="195"/>
      <c r="C66" s="195"/>
      <c r="D66" s="190" t="s">
        <v>254</v>
      </c>
      <c r="E66" s="228">
        <f>E61</f>
        <v>45055</v>
      </c>
      <c r="F66" s="193">
        <f>F61</f>
        <v>45286</v>
      </c>
      <c r="G66" s="227">
        <f>W40/S40</f>
        <v>1.5014351954073748</v>
      </c>
      <c r="H66" s="195">
        <f>F66-E66</f>
        <v>231</v>
      </c>
      <c r="I66" s="229">
        <f>G66/H66</f>
        <v>6.4997194606379862E-3</v>
      </c>
      <c r="V66" s="192"/>
    </row>
    <row r="67" spans="1:22" x14ac:dyDescent="0.25">
      <c r="A67" s="195">
        <f>F67-E67</f>
        <v>364</v>
      </c>
      <c r="B67" s="195"/>
      <c r="C67" s="195"/>
      <c r="D67" s="234" t="s">
        <v>254</v>
      </c>
      <c r="E67" s="236">
        <f>E50</f>
        <v>44922</v>
      </c>
      <c r="F67" s="236">
        <f>F64</f>
        <v>45286</v>
      </c>
      <c r="G67" s="237">
        <v>0.57150000000000001</v>
      </c>
      <c r="H67" s="238">
        <f>F67-E67</f>
        <v>364</v>
      </c>
      <c r="I67" s="239">
        <f>G67/H67</f>
        <v>1.5700549450549451E-3</v>
      </c>
      <c r="V67" s="192"/>
    </row>
    <row r="68" spans="1:22" x14ac:dyDescent="0.25">
      <c r="A68" s="195">
        <f>F68-E68</f>
        <v>740</v>
      </c>
      <c r="B68" s="195"/>
      <c r="C68" s="195"/>
      <c r="D68" s="190" t="s">
        <v>254</v>
      </c>
      <c r="E68" s="193">
        <f>E63</f>
        <v>44546</v>
      </c>
      <c r="F68" s="193">
        <f>F62</f>
        <v>45286</v>
      </c>
      <c r="G68" s="227">
        <v>0.97899999999999998</v>
      </c>
      <c r="H68" s="195">
        <f>F68-E68</f>
        <v>740</v>
      </c>
      <c r="I68" s="229">
        <f>G68/H68</f>
        <v>1.322972972972973E-3</v>
      </c>
      <c r="V68" s="192"/>
    </row>
    <row r="69" spans="1:22" x14ac:dyDescent="0.25">
      <c r="A69" s="195">
        <f>F69-E69</f>
        <v>826</v>
      </c>
      <c r="B69" s="195"/>
      <c r="C69" s="195"/>
      <c r="D69" s="190" t="s">
        <v>254</v>
      </c>
      <c r="E69" s="193">
        <f>E52</f>
        <v>44460</v>
      </c>
      <c r="F69" s="193">
        <f>F52</f>
        <v>45286</v>
      </c>
      <c r="G69" s="227">
        <v>2.4</v>
      </c>
      <c r="H69" s="195">
        <f>F69-E69</f>
        <v>826</v>
      </c>
      <c r="I69" s="229">
        <f>G69/H69</f>
        <v>2.9055690072639223E-3</v>
      </c>
      <c r="V69" s="192"/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61" t="s">
        <v>204</v>
      </c>
      <c r="D2" s="263"/>
      <c r="E2" s="191" t="s">
        <v>217</v>
      </c>
      <c r="F2" s="261" t="s">
        <v>205</v>
      </c>
      <c r="G2" s="263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61" t="s">
        <v>220</v>
      </c>
      <c r="S2" s="262"/>
      <c r="T2" s="262"/>
      <c r="U2" s="263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64"/>
      <c r="D10" s="265"/>
      <c r="E10" s="266"/>
      <c r="F10" s="264"/>
      <c r="G10" s="265"/>
      <c r="H10" s="266"/>
      <c r="J10" s="264"/>
      <c r="K10" s="265"/>
      <c r="L10" s="266"/>
      <c r="N10" s="267"/>
      <c r="O10" s="268"/>
      <c r="P10" s="269"/>
      <c r="R10" s="264"/>
      <c r="S10" s="265"/>
      <c r="T10" s="266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73" t="s">
        <v>192</v>
      </c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2024-02-25T16:59:31Z</dcterms:modified>
</cp:coreProperties>
</file>