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FB4B7A6D-A337-4130-8CC5-F5C8CDB280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externalReferences>
    <externalReference r:id="rId11"/>
  </externalReferences>
  <definedNames>
    <definedName name="_xlchart.v1.0" hidden="1">ON2_MEF_v13_GITHUB!$D$40:$F$40</definedName>
    <definedName name="_xlchart.v1.1" hidden="1">ON2_MEF_v13_GITHUB!$D$41:$F$41</definedName>
    <definedName name="_xlchart.v1.10" hidden="1">ON2_MEF_v13_GITHUB!$D$52:$F$52</definedName>
    <definedName name="_xlchart.v1.11" hidden="1">ON2_MEF_v13_GITHUB!$D$53:$F$53</definedName>
    <definedName name="_xlchart.v1.12" hidden="1">ON2_MEF_v13_GITHUB!$D$54:$F$54</definedName>
    <definedName name="_xlchart.v1.13" hidden="1">ON2_MEF_v13_GITHUB!$D$55:$F$55</definedName>
    <definedName name="_xlchart.v1.14" hidden="1">ON2_MEF_v13_GITHUB!$G$39:$W$39</definedName>
    <definedName name="_xlchart.v1.15" hidden="1">ON2_MEF_v13_GITHUB!$G$40:$W$40</definedName>
    <definedName name="_xlchart.v1.16" hidden="1">ON2_MEF_v13_GITHUB!$G$41:$W$41</definedName>
    <definedName name="_xlchart.v1.17" hidden="1">ON2_MEF_v13_GITHUB!$G$42:$W$42</definedName>
    <definedName name="_xlchart.v1.18" hidden="1">ON2_MEF_v13_GITHUB!$G$43:$W$43</definedName>
    <definedName name="_xlchart.v1.19" hidden="1">ON2_MEF_v13_GITHUB!$G$44:$W$44</definedName>
    <definedName name="_xlchart.v1.2" hidden="1">ON2_MEF_v13_GITHUB!$D$42:$F$42</definedName>
    <definedName name="_xlchart.v1.20" hidden="1">ON2_MEF_v13_GITHUB!$G$45:$W$45</definedName>
    <definedName name="_xlchart.v1.21" hidden="1">ON2_MEF_v13_GITHUB!$G$46:$W$46</definedName>
    <definedName name="_xlchart.v1.22" hidden="1">ON2_MEF_v13_GITHUB!$G$47:$W$47</definedName>
    <definedName name="_xlchart.v1.23" hidden="1">ON2_MEF_v13_GITHUB!$G$50:$W$50</definedName>
    <definedName name="_xlchart.v1.24" hidden="1">ON2_MEF_v13_GITHUB!$G$51:$W$51</definedName>
    <definedName name="_xlchart.v1.25" hidden="1">ON2_MEF_v13_GITHUB!$G$52:$W$52</definedName>
    <definedName name="_xlchart.v1.26" hidden="1">ON2_MEF_v13_GITHUB!$G$53:$W$53</definedName>
    <definedName name="_xlchart.v1.27" hidden="1">ON2_MEF_v13_GITHUB!$G$54:$W$54</definedName>
    <definedName name="_xlchart.v1.28" hidden="1">ON2_MEF_v13_GITHUB!$G$55:$W$55</definedName>
    <definedName name="_xlchart.v1.3" hidden="1">ON2_MEF_v13_GITHUB!$D$43:$F$43</definedName>
    <definedName name="_xlchart.v1.4" hidden="1">ON2_MEF_v13_GITHUB!$D$44:$F$44</definedName>
    <definedName name="_xlchart.v1.5" hidden="1">ON2_MEF_v13_GITHUB!$D$45:$F$45</definedName>
    <definedName name="_xlchart.v1.6" hidden="1">ON2_MEF_v13_GITHUB!$D$46:$F$46</definedName>
    <definedName name="_xlchart.v1.7" hidden="1">ON2_MEF_v13_GITHUB!$D$47:$F$47</definedName>
    <definedName name="_xlchart.v1.8" hidden="1">ON2_MEF_v13_GITHUB!$D$50:$F$50</definedName>
    <definedName name="_xlchart.v1.9" hidden="1">ON2_MEF_v13_GITHUB!$D$51:$F$51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9" l="1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K53" i="9" l="1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AC2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Q21" i="9" l="1"/>
  <c r="G21" i="9"/>
  <c r="I21" i="9"/>
  <c r="K21" i="9"/>
  <c r="M21" i="9"/>
  <c r="O21" i="9"/>
  <c r="S21" i="9"/>
  <c r="U21" i="9"/>
  <c r="W21" i="9"/>
  <c r="Y21" i="9"/>
  <c r="AC22" i="9" l="1"/>
  <c r="AC25" i="9"/>
  <c r="K25" i="9"/>
  <c r="K55" i="9" s="1"/>
  <c r="W25" i="9"/>
  <c r="U25" i="9"/>
  <c r="S25" i="9"/>
  <c r="Q25" i="9"/>
  <c r="M25" i="9"/>
  <c r="O25" i="9"/>
  <c r="AC23" i="9"/>
  <c r="AC31" i="9"/>
  <c r="AD22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AD24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D25" i="9"/>
  <c r="AD23" i="9"/>
  <c r="AI35" i="9"/>
  <c r="AD34" i="9"/>
  <c r="AD31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18" i="9" s="1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8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18" i="9"/>
  <c r="AG23" i="9" s="1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AJ18" i="9"/>
  <c r="AK18" i="9" s="1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H50" i="9"/>
  <c r="AG50" i="9"/>
  <c r="AF50" i="9"/>
  <c r="AB39" i="9"/>
</calcChain>
</file>

<file path=xl/sharedStrings.xml><?xml version="1.0" encoding="utf-8"?>
<sst xmlns="http://schemas.openxmlformats.org/spreadsheetml/2006/main" count="704" uniqueCount="307">
  <si>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</si>
  <si>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</si>
  <si>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</si>
  <si>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</si>
  <si>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</si>
  <si>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</si>
  <si>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</si>
  <si>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</si>
  <si>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</si>
  <si>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</si>
  <si>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</si>
  <si>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</si>
  <si>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</si>
  <si>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</si>
  <si>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</si>
  <si>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</si>
  <si>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</si>
  <si>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</si>
  <si>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</si>
  <si>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</si>
  <si>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</si>
  <si>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</si>
  <si>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</si>
  <si>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</si>
  <si>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</si>
  <si>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</si>
  <si>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</si>
  <si>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</si>
  <si>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</si>
  <si>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</si>
  <si>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</si>
  <si>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</si>
  <si>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</si>
  <si>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</si>
  <si>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</si>
  <si>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</si>
  <si>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</si>
  <si>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</si>
  <si>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</si>
  <si>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</si>
  <si>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</si>
  <si>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</si>
  <si>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</si>
  <si>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</si>
  <si>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</si>
  <si>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</si>
  <si>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</si>
  <si>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</si>
  <si>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</si>
  <si>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</si>
  <si>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</si>
  <si>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</si>
  <si>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</si>
  <si>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</si>
  <si>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</si>
  <si>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</si>
  <si>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</si>
  <si>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</si>
  <si>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</si>
  <si>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</si>
  <si>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</si>
  <si>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</si>
  <si>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</si>
  <si>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</si>
  <si>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</si>
  <si>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</si>
  <si>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</si>
  <si>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</si>
  <si>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</si>
  <si>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</si>
  <si>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</si>
  <si>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</si>
  <si>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</si>
  <si>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</si>
  <si>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</si>
  <si>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</si>
  <si>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</si>
  <si>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</si>
  <si>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</si>
  <si>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</si>
  <si>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</si>
  <si>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</si>
  <si>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</si>
  <si>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</si>
  <si>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</si>
  <si>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</si>
  <si>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</si>
  <si>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</si>
  <si>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</si>
  <si>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</si>
  <si>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</si>
  <si>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</si>
  <si>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</si>
  <si>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</si>
  <si>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</si>
  <si>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</si>
  <si>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</si>
  <si>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</si>
  <si>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</si>
  <si>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</si>
  <si>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</si>
  <si>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</si>
  <si>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</si>
  <si>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</si>
  <si>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</si>
  <si>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</si>
  <si>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</si>
  <si>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</si>
  <si>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</si>
  <si>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</si>
  <si>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</si>
  <si>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</si>
  <si>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</si>
  <si>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</si>
  <si>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</si>
  <si>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</si>
  <si>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</si>
  <si>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</si>
  <si>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</si>
  <si>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</si>
  <si>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</si>
  <si>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</si>
  <si>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</si>
  <si>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</si>
  <si>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</si>
  <si>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</si>
  <si>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</si>
  <si>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</si>
  <si>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</si>
  <si>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</si>
  <si>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</si>
  <si>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</si>
  <si>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</si>
  <si>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</si>
  <si>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</si>
  <si>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</si>
  <si>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</si>
  <si>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</si>
  <si>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</si>
  <si>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</si>
  <si>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</si>
  <si>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</si>
  <si>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</si>
  <si>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</si>
  <si>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</si>
  <si>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</si>
  <si>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</si>
  <si>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</si>
  <si>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</si>
  <si>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</si>
  <si>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</si>
  <si>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</si>
  <si>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</si>
  <si>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</si>
  <si>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</si>
  <si>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</si>
  <si>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</si>
  <si>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</si>
  <si>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</si>
  <si>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</si>
  <si>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</si>
  <si>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</si>
  <si>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</si>
  <si>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</si>
  <si>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</si>
  <si>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</si>
  <si>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</si>
  <si>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</si>
  <si>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</si>
  <si>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</si>
  <si>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</si>
  <si>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</si>
  <si>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</si>
  <si>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</si>
  <si>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</si>
  <si>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</si>
  <si>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</si>
  <si>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</si>
  <si>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</si>
  <si>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</si>
  <si>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</si>
  <si>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</si>
  <si>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</si>
  <si>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</si>
  <si>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</si>
  <si>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</si>
  <si>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</si>
  <si>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</si>
  <si>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</si>
  <si>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</si>
  <si>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</si>
  <si>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</si>
  <si>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</si>
  <si>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</si>
  <si>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</si>
  <si>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</si>
  <si>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</si>
  <si>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</si>
  <si>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</si>
  <si>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</si>
  <si>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</si>
  <si>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</si>
  <si>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</si>
  <si>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</si>
  <si>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</si>
  <si>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</si>
  <si>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</si>
  <si>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</si>
  <si>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</si>
  <si>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</si>
  <si>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</si>
  <si>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</si>
  <si>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</si>
  <si>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</si>
  <si>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</si>
  <si>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</si>
  <si>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</si>
  <si>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</si>
  <si>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</si>
  <si>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</si>
  <si>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</si>
  <si>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</si>
  <si>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</si>
  <si>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</si>
  <si>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</si>
  <si>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</si>
  <si>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</si>
  <si>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</si>
  <si>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</si>
  <si>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</si>
  <si>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</si>
  <si>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</si>
  <si>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</si>
  <si>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</si>
  <si>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</si>
  <si>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</si>
  <si>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</si>
  <si>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</si>
  <si>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</si>
  <si>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</si>
  <si>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</si>
  <si>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</si>
  <si>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</si>
  <si>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</si>
  <si>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</si>
  <si>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</si>
  <si>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</si>
  <si>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</si>
  <si>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</si>
  <si>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</si>
  <si>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</si>
  <si>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</si>
  <si>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</si>
  <si>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</si>
  <si>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</si>
  <si>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</si>
  <si>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</si>
  <si>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</si>
  <si>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</si>
  <si>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</si>
  <si>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</si>
  <si>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</si>
  <si>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</si>
  <si>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</si>
  <si>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</si>
  <si>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</si>
  <si>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</si>
  <si>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</si>
  <si>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</si>
  <si>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absolute days</t>
  </si>
  <si>
    <t>absolute date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</si>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</sst>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23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_(* #,##0.00_);_(* \(#,##0.00\);_(* "-"??_);_(@_)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vert="horz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16409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40125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100853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133184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411925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0.91578</cdr:x>
      <cdr:y>0.77143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81" y="1387928"/>
          <a:ext cx="2286000" cy="485775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L_FILES\CODING\GitHub\MarkovMarkowitz\XLS-CSV\Analysis_LB20_OF10_v9_20.12.2023.xlsx" TargetMode="External"/><Relationship Id="rId1" Type="http://schemas.openxmlformats.org/officeDocument/2006/relationships/externalLinkPath" Target="Analysis_LB20_OF10_v9_20.12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 STATS"/>
      <sheetName val="ON2_MEF_v13_GITHUB"/>
      <sheetName val="ON2"/>
      <sheetName val="Abdallah ile konuşma"/>
      <sheetName val="AÜF FONU"/>
      <sheetName val="BEST PFS"/>
      <sheetName val="PF ASSETS"/>
      <sheetName val="BENİM PORTFÖYÜM"/>
      <sheetName val="BENİM PORTFÖYÜM 2"/>
      <sheetName val="Sayfa1"/>
    </sheetNames>
    <sheetDataSet>
      <sheetData sheetId="0" refreshError="1"/>
      <sheetData sheetId="1">
        <row r="17">
          <cell r="F17">
            <v>44460</v>
          </cell>
          <cell r="G17" t="str">
            <v>I</v>
          </cell>
          <cell r="H17">
            <v>44546</v>
          </cell>
          <cell r="I17" t="str">
            <v>II</v>
          </cell>
          <cell r="J17">
            <v>44616</v>
          </cell>
          <cell r="K17" t="str">
            <v>II</v>
          </cell>
          <cell r="L17">
            <v>44719</v>
          </cell>
          <cell r="M17" t="str">
            <v>III</v>
          </cell>
          <cell r="N17">
            <v>44789</v>
          </cell>
          <cell r="O17" t="str">
            <v>III</v>
          </cell>
          <cell r="P17">
            <v>44922</v>
          </cell>
          <cell r="Q17" t="str">
            <v>IV</v>
          </cell>
          <cell r="R17">
            <v>45055</v>
          </cell>
          <cell r="S17" t="str">
            <v>IV</v>
          </cell>
          <cell r="T17">
            <v>45180</v>
          </cell>
          <cell r="U17" t="str">
            <v>V</v>
          </cell>
          <cell r="V17">
            <v>45286</v>
          </cell>
        </row>
        <row r="18">
          <cell r="C18" t="str">
            <v>MHI KONSOLİDE PORTFÖY SHARPE</v>
          </cell>
        </row>
        <row r="19">
          <cell r="C19" t="str">
            <v>MHI KONSOLİDE PORTFÖY MDD</v>
          </cell>
        </row>
        <row r="24">
          <cell r="F24">
            <v>100000</v>
          </cell>
          <cell r="H24">
            <v>191300</v>
          </cell>
          <cell r="J24">
            <v>191228.46759681229</v>
          </cell>
          <cell r="L24">
            <v>380544.65051765647</v>
          </cell>
          <cell r="N24">
            <v>400283.03376086871</v>
          </cell>
          <cell r="P24">
            <v>880622.67427391128</v>
          </cell>
          <cell r="R24">
            <v>1031251.560706837</v>
          </cell>
          <cell r="T24">
            <v>1614939.9440669066</v>
          </cell>
          <cell r="V24">
            <v>1897300.9532188179</v>
          </cell>
        </row>
        <row r="25">
          <cell r="F25">
            <v>100000</v>
          </cell>
          <cell r="H25">
            <v>171099.99999999997</v>
          </cell>
          <cell r="J25">
            <v>171036.02093996119</v>
          </cell>
          <cell r="L25">
            <v>324284.29570216639</v>
          </cell>
          <cell r="N25">
            <v>341104.52349834598</v>
          </cell>
          <cell r="P25">
            <v>609553.78349154419</v>
          </cell>
          <cell r="R25">
            <v>713816.83543261793</v>
          </cell>
          <cell r="T25">
            <v>1372669.7745369242</v>
          </cell>
          <cell r="V25">
            <v>1612671.5307598261</v>
          </cell>
        </row>
        <row r="26">
          <cell r="C26" t="str">
            <v xml:space="preserve">GR ALTIN </v>
          </cell>
          <cell r="F26">
            <v>100000</v>
          </cell>
          <cell r="H26">
            <v>173783.60815530826</v>
          </cell>
          <cell r="J26">
            <v>173718.62561936479</v>
          </cell>
          <cell r="L26">
            <v>195597.43318983025</v>
          </cell>
          <cell r="N26">
            <v>205742.83161400375</v>
          </cell>
          <cell r="P26">
            <v>220999.5126309804</v>
          </cell>
          <cell r="R26">
            <v>258801.0722118431</v>
          </cell>
          <cell r="T26">
            <v>335297.70124279102</v>
          </cell>
          <cell r="V26">
            <v>393922.17061520019</v>
          </cell>
        </row>
        <row r="27">
          <cell r="C27" t="str">
            <v>USDTRY</v>
          </cell>
          <cell r="F27">
            <v>100000</v>
          </cell>
          <cell r="H27">
            <v>171800</v>
          </cell>
          <cell r="J27">
            <v>160800</v>
          </cell>
          <cell r="L27">
            <v>199600</v>
          </cell>
          <cell r="N27">
            <v>207600</v>
          </cell>
          <cell r="P27">
            <v>216350</v>
          </cell>
          <cell r="R27">
            <v>226450</v>
          </cell>
          <cell r="T27">
            <v>311680</v>
          </cell>
          <cell r="V27">
            <v>340000</v>
          </cell>
        </row>
      </sheetData>
      <sheetData sheetId="2">
        <row r="16">
          <cell r="E16">
            <v>44460</v>
          </cell>
          <cell r="F16">
            <v>44546</v>
          </cell>
          <cell r="H16">
            <v>44616</v>
          </cell>
          <cell r="J16">
            <v>44719</v>
          </cell>
          <cell r="L16">
            <v>44789</v>
          </cell>
          <cell r="N16">
            <v>44922</v>
          </cell>
          <cell r="P16">
            <v>45055</v>
          </cell>
          <cell r="R16">
            <v>45180</v>
          </cell>
          <cell r="T16">
            <v>45286</v>
          </cell>
        </row>
        <row r="17">
          <cell r="B17" t="str">
            <v>MHI KONSOLİDE PORTFÖY SHARPE</v>
          </cell>
        </row>
        <row r="18">
          <cell r="B18" t="str">
            <v>MHI KONSOLİDE PORTFÖY MDD</v>
          </cell>
        </row>
        <row r="21">
          <cell r="E21">
            <v>100000</v>
          </cell>
          <cell r="F21">
            <v>191300</v>
          </cell>
          <cell r="H21">
            <v>191228.46759681229</v>
          </cell>
          <cell r="J21">
            <v>380544.65051765647</v>
          </cell>
          <cell r="L21">
            <v>400283.03376086871</v>
          </cell>
          <cell r="N21">
            <v>880622.67427391128</v>
          </cell>
          <cell r="P21">
            <v>1031251.560706837</v>
          </cell>
          <cell r="R21">
            <v>1614939.9440669066</v>
          </cell>
          <cell r="T21">
            <v>1897300.9532188179</v>
          </cell>
        </row>
        <row r="22">
          <cell r="E22">
            <v>100000</v>
          </cell>
          <cell r="F22">
            <v>171099.99999999997</v>
          </cell>
          <cell r="H22">
            <v>171036.02093996119</v>
          </cell>
          <cell r="J22">
            <v>324284.29570216639</v>
          </cell>
          <cell r="L22">
            <v>341104.52349834598</v>
          </cell>
          <cell r="N22">
            <v>609553.78349154419</v>
          </cell>
          <cell r="P22">
            <v>713816.83543261793</v>
          </cell>
          <cell r="R22">
            <v>1372669.7745369242</v>
          </cell>
          <cell r="T22">
            <v>1612671.5307598261</v>
          </cell>
        </row>
        <row r="23">
          <cell r="B23" t="str">
            <v xml:space="preserve">GR ALTIN </v>
          </cell>
          <cell r="E23">
            <v>100000</v>
          </cell>
          <cell r="F23">
            <v>173783.60815530826</v>
          </cell>
          <cell r="H23">
            <v>173718.62561936479</v>
          </cell>
          <cell r="J23">
            <v>195597.43318983025</v>
          </cell>
          <cell r="L23">
            <v>205742.83161400375</v>
          </cell>
          <cell r="N23">
            <v>220999.5126309804</v>
          </cell>
          <cell r="P23">
            <v>258801.0722118431</v>
          </cell>
          <cell r="R23">
            <v>335297.70124279102</v>
          </cell>
          <cell r="T23">
            <v>393922.17061520019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6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6" t="s">
        <v>178</v>
      </c>
      <c r="BU53" s="72"/>
      <c r="CD53" s="73"/>
    </row>
    <row r="54" spans="1:115" ht="23.45" customHeight="1" x14ac:dyDescent="0.3">
      <c r="C54" s="257"/>
      <c r="R54" s="71"/>
      <c r="BL54" s="257"/>
      <c r="BU54" s="72"/>
      <c r="CD54" s="73"/>
    </row>
    <row r="55" spans="1:115" ht="23.45" customHeight="1" x14ac:dyDescent="0.3">
      <c r="C55" s="257"/>
      <c r="R55" s="71"/>
      <c r="BL55" s="257"/>
      <c r="BU55" s="72"/>
      <c r="CD55" s="73"/>
    </row>
    <row r="56" spans="1:115" ht="24" customHeight="1" thickBot="1" x14ac:dyDescent="0.35">
      <c r="C56" s="258"/>
      <c r="R56" s="71"/>
      <c r="BL56" s="258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C1" zoomScale="70" zoomScaleNormal="70" workbookViewId="0">
      <selection activeCell="AD120" sqref="AD120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hidden="1" customWidth="1"/>
    <col min="7" max="7" width="13.5703125" style="195" customWidth="1"/>
    <col min="8" max="8" width="12.140625" style="195" hidden="1" customWidth="1"/>
    <col min="9" max="9" width="13.7109375" style="195" customWidth="1"/>
    <col min="10" max="10" width="13.42578125" style="195" hidden="1" customWidth="1"/>
    <col min="11" max="11" width="13" style="195" bestFit="1" customWidth="1"/>
    <col min="12" max="12" width="10.85546875" style="195" hidden="1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2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303" t="s">
        <v>215</v>
      </c>
      <c r="B1" s="304">
        <f ca="1">TODAY()</f>
        <v>45348</v>
      </c>
    </row>
    <row r="2" spans="1:37" s="189" customFormat="1" x14ac:dyDescent="0.25">
      <c r="D2" s="274" t="s">
        <v>221</v>
      </c>
      <c r="E2" s="275" t="s">
        <v>204</v>
      </c>
      <c r="F2" s="276"/>
      <c r="G2" s="274" t="s">
        <v>282</v>
      </c>
      <c r="H2" s="275" t="s">
        <v>205</v>
      </c>
      <c r="I2" s="276"/>
      <c r="J2" s="274" t="s">
        <v>282</v>
      </c>
      <c r="K2" s="190" t="s">
        <v>20</v>
      </c>
      <c r="L2" s="190" t="s">
        <v>215</v>
      </c>
      <c r="M2" s="280" t="s">
        <v>211</v>
      </c>
      <c r="N2" s="280" t="s">
        <v>283</v>
      </c>
      <c r="O2" s="280" t="s">
        <v>210</v>
      </c>
      <c r="P2" s="280" t="s">
        <v>284</v>
      </c>
      <c r="Q2" s="280" t="s">
        <v>214</v>
      </c>
      <c r="R2" s="280" t="s">
        <v>285</v>
      </c>
      <c r="S2" s="190" t="s">
        <v>286</v>
      </c>
      <c r="T2" s="190" t="s">
        <v>287</v>
      </c>
      <c r="U2" s="259" t="s">
        <v>220</v>
      </c>
      <c r="V2" s="260"/>
      <c r="W2" s="260"/>
      <c r="X2" s="261"/>
      <c r="AA2" s="196"/>
      <c r="AB2" s="190"/>
      <c r="AC2" s="196"/>
      <c r="AD2" s="190"/>
    </row>
    <row r="3" spans="1:37" x14ac:dyDescent="0.25">
      <c r="D3" s="277" t="s">
        <v>209</v>
      </c>
      <c r="E3" s="305">
        <v>44334</v>
      </c>
      <c r="F3" s="305">
        <v>44460</v>
      </c>
      <c r="G3" s="278">
        <f>F3-E3-1</f>
        <v>125</v>
      </c>
      <c r="H3" s="305">
        <f>F3</f>
        <v>44460</v>
      </c>
      <c r="I3" s="305">
        <v>44546</v>
      </c>
      <c r="J3" s="278">
        <f>I3-H3+1</f>
        <v>87</v>
      </c>
      <c r="K3" s="194">
        <f ca="1">L3-H3+1</f>
        <v>889</v>
      </c>
      <c r="L3" s="193">
        <f ca="1">$B$1</f>
        <v>45348</v>
      </c>
      <c r="M3" s="282">
        <v>0.91300000000000003</v>
      </c>
      <c r="N3" s="282">
        <v>0.63100000000000001</v>
      </c>
      <c r="O3" s="282">
        <v>0.71099999999999997</v>
      </c>
      <c r="P3" s="282">
        <v>0.83899999999999997</v>
      </c>
      <c r="Q3" s="282">
        <v>0.63100000000000001</v>
      </c>
      <c r="R3" s="283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>M3/$J$3</f>
        <v>1.0494252873563219E-2</v>
      </c>
      <c r="V3" s="229">
        <f>N3/$J$3</f>
        <v>7.2528735632183912E-3</v>
      </c>
      <c r="W3" s="200">
        <f>O3/$J$3</f>
        <v>8.1724137931034474E-3</v>
      </c>
      <c r="X3" s="200">
        <f>P3/$J$3</f>
        <v>9.6436781609195391E-3</v>
      </c>
    </row>
    <row r="4" spans="1:37" x14ac:dyDescent="0.25">
      <c r="D4" s="277" t="s">
        <v>207</v>
      </c>
      <c r="E4" s="305">
        <f>I3</f>
        <v>44546</v>
      </c>
      <c r="F4" s="305">
        <v>44616</v>
      </c>
      <c r="G4" s="278">
        <f t="shared" ref="G4:G7" si="0">F4-E4-1</f>
        <v>69</v>
      </c>
      <c r="H4" s="305">
        <f>F4</f>
        <v>44616</v>
      </c>
      <c r="I4" s="305">
        <v>44719</v>
      </c>
      <c r="J4" s="278">
        <f t="shared" ref="J4:J7" si="1">I4-H4+1</f>
        <v>104</v>
      </c>
      <c r="K4" s="194">
        <f ca="1">L4-H4</f>
        <v>732</v>
      </c>
      <c r="L4" s="193">
        <f t="shared" ref="L4:L7" ca="1" si="2">$B$1</f>
        <v>45348</v>
      </c>
      <c r="M4" s="284">
        <v>0.99</v>
      </c>
      <c r="N4" s="282">
        <v>0.52500000000000002</v>
      </c>
      <c r="O4" s="282">
        <v>0.89600000000000002</v>
      </c>
      <c r="P4" s="282">
        <v>0.1593</v>
      </c>
      <c r="Q4" s="282">
        <v>0.51700000000000002</v>
      </c>
      <c r="R4" s="283">
        <f>AVERAGE(M4:P4)</f>
        <v>0.64257500000000001</v>
      </c>
      <c r="S4" s="199">
        <f t="shared" ref="S4:S7" si="3">MAX(M4:Q4)</f>
        <v>0.99</v>
      </c>
      <c r="T4" s="199">
        <f t="shared" ref="T4:T7" si="4">MIN(M4:Q4)</f>
        <v>0.1593</v>
      </c>
      <c r="U4" s="200">
        <f>M4/$J$3</f>
        <v>1.1379310344827587E-2</v>
      </c>
      <c r="V4" s="229">
        <f>N4/$J$3</f>
        <v>6.0344827586206896E-3</v>
      </c>
      <c r="W4" s="200">
        <f>O4/$J$3</f>
        <v>1.0298850574712644E-2</v>
      </c>
      <c r="X4" s="200">
        <f>P4/$J$3</f>
        <v>1.8310344827586207E-3</v>
      </c>
    </row>
    <row r="5" spans="1:37" x14ac:dyDescent="0.25">
      <c r="D5" s="277" t="s">
        <v>208</v>
      </c>
      <c r="E5" s="305">
        <f>I4</f>
        <v>44719</v>
      </c>
      <c r="F5" s="305">
        <v>44789</v>
      </c>
      <c r="G5" s="278">
        <f t="shared" si="0"/>
        <v>69</v>
      </c>
      <c r="H5" s="305">
        <f>F5</f>
        <v>44789</v>
      </c>
      <c r="I5" s="305">
        <v>44922</v>
      </c>
      <c r="J5" s="278">
        <f t="shared" si="1"/>
        <v>134</v>
      </c>
      <c r="K5" s="194">
        <f ca="1">L5-H5</f>
        <v>559</v>
      </c>
      <c r="L5" s="193">
        <f t="shared" ca="1" si="2"/>
        <v>45348</v>
      </c>
      <c r="M5" s="283">
        <v>1.2</v>
      </c>
      <c r="N5" s="283">
        <v>0.97399999999999998</v>
      </c>
      <c r="O5" s="283">
        <v>0.78700000000000003</v>
      </c>
      <c r="P5" s="283">
        <v>0.73699999999999999</v>
      </c>
      <c r="Q5" s="283">
        <v>0.95499999999999996</v>
      </c>
      <c r="R5" s="283">
        <f>AVERAGE(M5:P5)</f>
        <v>0.92449999999999999</v>
      </c>
      <c r="S5" s="199">
        <f t="shared" si="3"/>
        <v>1.2</v>
      </c>
      <c r="T5" s="199">
        <f t="shared" si="4"/>
        <v>0.73699999999999999</v>
      </c>
      <c r="U5" s="200">
        <f>M5/$J$3</f>
        <v>1.3793103448275862E-2</v>
      </c>
      <c r="V5" s="229">
        <f>N5/$J$3</f>
        <v>1.1195402298850575E-2</v>
      </c>
      <c r="W5" s="200">
        <f>O5/$J$3</f>
        <v>9.0459770114942537E-3</v>
      </c>
      <c r="X5" s="200">
        <f>P5/$J$3</f>
        <v>8.471264367816091E-3</v>
      </c>
      <c r="AA5" s="197" t="s">
        <v>268</v>
      </c>
      <c r="AC5" s="197" t="s">
        <v>267</v>
      </c>
    </row>
    <row r="6" spans="1:37" x14ac:dyDescent="0.25">
      <c r="D6" s="277" t="s">
        <v>206</v>
      </c>
      <c r="E6" s="305">
        <f>I5</f>
        <v>44922</v>
      </c>
      <c r="F6" s="305">
        <v>45055</v>
      </c>
      <c r="G6" s="278">
        <f t="shared" si="0"/>
        <v>132</v>
      </c>
      <c r="H6" s="305">
        <f>F6</f>
        <v>45055</v>
      </c>
      <c r="I6" s="305">
        <v>45180</v>
      </c>
      <c r="J6" s="278">
        <f t="shared" si="1"/>
        <v>126</v>
      </c>
      <c r="K6" s="194">
        <f ca="1">L6-H6</f>
        <v>293</v>
      </c>
      <c r="L6" s="193">
        <f t="shared" ca="1" si="2"/>
        <v>45348</v>
      </c>
      <c r="M6" s="285">
        <v>0.56599999999999995</v>
      </c>
      <c r="N6" s="285">
        <v>0.80400000000000005</v>
      </c>
      <c r="O6" s="283">
        <v>0.92300000000000004</v>
      </c>
      <c r="P6" s="285">
        <v>0.65600000000000003</v>
      </c>
      <c r="Q6" s="285">
        <v>0.64300000000000002</v>
      </c>
      <c r="R6" s="283">
        <f>AVERAGE(M6:P6)</f>
        <v>0.73725000000000007</v>
      </c>
      <c r="S6" s="199">
        <f t="shared" si="3"/>
        <v>0.92300000000000004</v>
      </c>
      <c r="T6" s="199">
        <f t="shared" si="4"/>
        <v>0.56599999999999995</v>
      </c>
      <c r="U6" s="200">
        <f>M6/$J$3</f>
        <v>6.5057471264367813E-3</v>
      </c>
      <c r="V6" s="229">
        <f>N6/$J$3</f>
        <v>9.2413793103448289E-3</v>
      </c>
      <c r="W6" s="200">
        <f>O6/$J$3</f>
        <v>1.0609195402298851E-2</v>
      </c>
      <c r="X6" s="200">
        <f>P6/$J$3</f>
        <v>7.5402298850574716E-3</v>
      </c>
    </row>
    <row r="7" spans="1:37" x14ac:dyDescent="0.25">
      <c r="D7" s="277" t="s">
        <v>256</v>
      </c>
      <c r="E7" s="305">
        <f>I6</f>
        <v>45180</v>
      </c>
      <c r="F7" s="305">
        <v>45286</v>
      </c>
      <c r="G7" s="278">
        <f t="shared" si="0"/>
        <v>105</v>
      </c>
      <c r="H7" s="305">
        <f>F7</f>
        <v>45286</v>
      </c>
      <c r="I7" s="305">
        <v>45346</v>
      </c>
      <c r="J7" s="278">
        <f t="shared" si="1"/>
        <v>61</v>
      </c>
      <c r="K7" s="194">
        <f ca="1">L7-H7</f>
        <v>62</v>
      </c>
      <c r="L7" s="193">
        <f t="shared" ca="1" si="2"/>
        <v>45348</v>
      </c>
      <c r="M7" s="281">
        <f>AVERAGE(M3:M6)</f>
        <v>0.9172499999999999</v>
      </c>
      <c r="N7" s="281">
        <f t="shared" ref="N7:R7" si="5">AVERAGE(N3:N6)</f>
        <v>0.73350000000000004</v>
      </c>
      <c r="O7" s="281">
        <f t="shared" si="5"/>
        <v>0.82925000000000004</v>
      </c>
      <c r="P7" s="281">
        <f t="shared" si="5"/>
        <v>0.59782500000000005</v>
      </c>
      <c r="Q7" s="281">
        <f t="shared" si="5"/>
        <v>0.68650000000000011</v>
      </c>
      <c r="R7" s="281">
        <f t="shared" si="5"/>
        <v>0.76945624999999995</v>
      </c>
      <c r="S7" s="279">
        <f t="shared" si="3"/>
        <v>0.9172499999999999</v>
      </c>
      <c r="T7" s="279">
        <f t="shared" si="4"/>
        <v>0.59782500000000005</v>
      </c>
      <c r="U7" s="201">
        <f>AVERAGE(U3:U6)</f>
        <v>1.0543103448275862E-2</v>
      </c>
      <c r="V7" s="227">
        <f t="shared" ref="V7:X7" si="6">AVERAGE(V3:V6)</f>
        <v>8.43103448275862E-3</v>
      </c>
      <c r="W7" s="201">
        <f t="shared" si="6"/>
        <v>9.5316091954022984E-3</v>
      </c>
      <c r="X7" s="201">
        <f t="shared" si="6"/>
        <v>6.8715517241379302E-3</v>
      </c>
    </row>
    <row r="8" spans="1:37" x14ac:dyDescent="0.25">
      <c r="D8" s="273"/>
      <c r="E8" s="273"/>
      <c r="F8" s="272" t="s">
        <v>203</v>
      </c>
      <c r="G8" s="272">
        <f>AVERAGE(G3:G7)</f>
        <v>100</v>
      </c>
      <c r="H8" s="273"/>
      <c r="I8" s="273"/>
      <c r="J8" s="272">
        <f>AVERAGE(J3:J7)</f>
        <v>102.4</v>
      </c>
      <c r="K8" s="273"/>
    </row>
    <row r="9" spans="1:37" s="286" customFormat="1" x14ac:dyDescent="0.25">
      <c r="D9" s="287"/>
      <c r="E9" s="287"/>
      <c r="F9" s="288"/>
      <c r="G9" s="289"/>
      <c r="H9" s="290"/>
      <c r="I9" s="291"/>
      <c r="J9" s="288"/>
      <c r="K9" s="292"/>
      <c r="L9" s="293"/>
      <c r="M9" s="294"/>
      <c r="N9" s="295"/>
      <c r="O9" s="296"/>
      <c r="P9" s="297"/>
      <c r="Q9" s="298"/>
      <c r="R9" s="299"/>
      <c r="S9" s="296"/>
      <c r="T9" s="297"/>
      <c r="U9" s="300"/>
      <c r="V9" s="295"/>
      <c r="W9" s="301"/>
      <c r="X9" s="302"/>
      <c r="Y9" s="300"/>
      <c r="AA9" s="299"/>
      <c r="AB9" s="295"/>
      <c r="AC9" s="299"/>
      <c r="AD9" s="295"/>
    </row>
    <row r="10" spans="1:37" x14ac:dyDescent="0.25">
      <c r="G10" s="268" t="s">
        <v>209</v>
      </c>
      <c r="H10" s="269"/>
      <c r="I10" s="270"/>
      <c r="K10" s="268" t="s">
        <v>207</v>
      </c>
      <c r="L10" s="269"/>
      <c r="M10" s="270"/>
      <c r="O10" s="268" t="s">
        <v>208</v>
      </c>
      <c r="P10" s="269"/>
      <c r="Q10" s="270"/>
      <c r="S10" s="268" t="s">
        <v>206</v>
      </c>
      <c r="T10" s="269"/>
      <c r="U10" s="270"/>
      <c r="W10" s="268" t="s">
        <v>256</v>
      </c>
      <c r="X10" s="269"/>
      <c r="Y10" s="270"/>
    </row>
    <row r="11" spans="1:37" x14ac:dyDescent="0.25">
      <c r="E11" s="262" t="s">
        <v>209</v>
      </c>
      <c r="F11" s="263"/>
      <c r="G11" s="264"/>
      <c r="I11" s="262" t="s">
        <v>207</v>
      </c>
      <c r="J11" s="263"/>
      <c r="K11" s="264"/>
      <c r="M11" s="262" t="s">
        <v>208</v>
      </c>
      <c r="N11" s="263"/>
      <c r="O11" s="264"/>
      <c r="Q11" s="265" t="s">
        <v>206</v>
      </c>
      <c r="R11" s="266"/>
      <c r="S11" s="267"/>
      <c r="U11" s="262" t="s">
        <v>256</v>
      </c>
      <c r="V11" s="263"/>
      <c r="W11" s="264"/>
    </row>
    <row r="12" spans="1:37" x14ac:dyDescent="0.25">
      <c r="A12" s="197"/>
      <c r="B12" s="197"/>
      <c r="C12" s="197"/>
      <c r="D12" s="253" t="s">
        <v>291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288</v>
      </c>
      <c r="E13" s="249"/>
      <c r="F13" s="249"/>
      <c r="G13" s="307">
        <f>1776.7/1805.6-1</f>
        <v>-1.6005759858218838E-2</v>
      </c>
      <c r="H13" s="249"/>
      <c r="I13" s="307">
        <f>1796.6/1776.7-1</f>
        <v>1.1200540327573449E-2</v>
      </c>
      <c r="J13" s="249"/>
      <c r="K13" s="307">
        <f>1925.1/1796.6-1</f>
        <v>7.1523989758432549E-2</v>
      </c>
      <c r="L13" s="250"/>
      <c r="M13" s="250">
        <f>1740.6/1925.1-1</f>
        <v>-9.5839177185600755E-2</v>
      </c>
      <c r="N13" s="250"/>
      <c r="O13" s="307">
        <f>1760.3/1740.6-1</f>
        <v>1.1317936343789414E-2</v>
      </c>
      <c r="P13" s="250"/>
      <c r="Q13" s="307">
        <f>1814.8/1760.3-1</f>
        <v>3.0960631710503783E-2</v>
      </c>
      <c r="R13" s="250"/>
      <c r="S13" s="307">
        <f>2030.5/1814-1</f>
        <v>0.11934950385887544</v>
      </c>
      <c r="T13" s="250"/>
      <c r="U13" s="307">
        <f>1911.3/2030.5-1</f>
        <v>-5.8704752524008863E-2</v>
      </c>
      <c r="V13" s="250"/>
      <c r="W13" s="307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290</v>
      </c>
      <c r="E14" s="249">
        <f>1805.6*8.425</f>
        <v>15212.18</v>
      </c>
      <c r="F14" s="249"/>
      <c r="G14" s="306">
        <f>1776.7*8.62</f>
        <v>15315.153999999999</v>
      </c>
      <c r="H14" s="249"/>
      <c r="I14" s="306">
        <f>1796.6*14.8141</f>
        <v>26615.012059999997</v>
      </c>
      <c r="J14" s="249"/>
      <c r="K14" s="306">
        <f>1925.1*13.82</f>
        <v>26604.881999999998</v>
      </c>
      <c r="L14" s="306"/>
      <c r="M14" s="306">
        <f>1740.6*17.2125</f>
        <v>29960.077499999996</v>
      </c>
      <c r="N14" s="306"/>
      <c r="O14" s="306">
        <f>1760.3*17.9063</f>
        <v>31520.459890000002</v>
      </c>
      <c r="P14" s="306"/>
      <c r="Q14" s="306">
        <f>1814.8*18.656</f>
        <v>33856.908799999997</v>
      </c>
      <c r="R14" s="306"/>
      <c r="S14" s="306">
        <f>2030.5*19.52</f>
        <v>39635.360000000001</v>
      </c>
      <c r="T14" s="306"/>
      <c r="U14" s="306">
        <f>1911.3*26.8669</f>
        <v>51350.705970000003</v>
      </c>
      <c r="V14" s="306"/>
      <c r="W14" s="306">
        <f>2058.2*29.31</f>
        <v>60325.84199999999</v>
      </c>
      <c r="X14" s="306"/>
      <c r="Y14" s="306">
        <f>2045.82*31.0415</f>
        <v>63505.321529999994</v>
      </c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289</v>
      </c>
      <c r="E15" s="249"/>
      <c r="F15" s="249"/>
      <c r="G15" s="307">
        <f>G14/E14-1</f>
        <v>6.7691810115313444E-3</v>
      </c>
      <c r="H15" s="249"/>
      <c r="I15" s="307">
        <f>I14/G14-1</f>
        <v>0.73782203300077809</v>
      </c>
      <c r="J15" s="249"/>
      <c r="K15" s="307">
        <f>K14/I14-1</f>
        <v>-3.8061451849669137E-4</v>
      </c>
      <c r="L15" s="250"/>
      <c r="M15" s="307">
        <f>M14/K14-1</f>
        <v>0.12611202334969951</v>
      </c>
      <c r="N15" s="250"/>
      <c r="O15" s="307">
        <f>O14/M14-1</f>
        <v>5.2082054527395893E-2</v>
      </c>
      <c r="P15" s="250"/>
      <c r="Q15" s="307">
        <f>Q14/O14-1</f>
        <v>7.4124835683036627E-2</v>
      </c>
      <c r="R15" s="250"/>
      <c r="S15" s="307">
        <f>S14/Q14-1</f>
        <v>0.17067273430467478</v>
      </c>
      <c r="T15" s="250"/>
      <c r="U15" s="307">
        <f>U14/S14-1</f>
        <v>0.2955781395703232</v>
      </c>
      <c r="V15" s="250"/>
      <c r="W15" s="307">
        <f>W14/U14-1</f>
        <v>0.17478116143609435</v>
      </c>
      <c r="X15" s="250"/>
      <c r="Y15" s="250">
        <f>Y14/W14-1</f>
        <v>5.2705099913897602E-2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197" t="s">
        <v>270</v>
      </c>
      <c r="AC16" s="197" t="s">
        <v>267</v>
      </c>
      <c r="AD16" s="197" t="s">
        <v>269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276</v>
      </c>
      <c r="E17" s="249"/>
      <c r="F17" s="249"/>
      <c r="G17" s="307">
        <f>8.62/8.42-1</f>
        <v>2.375296912114E-2</v>
      </c>
      <c r="H17" s="249"/>
      <c r="I17" s="308">
        <f>14.81/8.62-1</f>
        <v>0.71809744779582396</v>
      </c>
      <c r="J17" s="214"/>
      <c r="K17" s="308">
        <f>13.8205/14.8141-1</f>
        <v>-6.7071236187146055E-2</v>
      </c>
      <c r="L17" s="214"/>
      <c r="M17" s="307">
        <f>17.21/13.82-1</f>
        <v>0.24529667149059331</v>
      </c>
      <c r="N17" s="214"/>
      <c r="O17" s="308">
        <f>17.9063/17.2125-1</f>
        <v>4.0307915758896362E-2</v>
      </c>
      <c r="P17" s="214"/>
      <c r="Q17" s="308">
        <f>18.65/17.9-1</f>
        <v>4.1899441340782051E-2</v>
      </c>
      <c r="R17" s="214"/>
      <c r="S17" s="308">
        <f>19.52/18.65-1</f>
        <v>4.6648793565683633E-2</v>
      </c>
      <c r="T17" s="214"/>
      <c r="U17" s="308">
        <f>26.87/19.52-1</f>
        <v>0.37653688524590168</v>
      </c>
      <c r="V17" s="230"/>
      <c r="W17" s="308">
        <f>29.31/26.86-1</f>
        <v>9.1213700670141451E-2</v>
      </c>
      <c r="X17" s="225"/>
      <c r="Y17" s="224">
        <f>31.041/29.31-1</f>
        <v>5.905834186284542E-2</v>
      </c>
      <c r="AD17" s="197"/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273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D18" s="197"/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274</v>
      </c>
      <c r="E19" s="249"/>
      <c r="F19" s="249"/>
      <c r="G19" s="307">
        <f>G18/E18-1</f>
        <v>-5.0698821594957533E-2</v>
      </c>
      <c r="H19" s="249"/>
      <c r="I19" s="307">
        <f>I18/G18-1</f>
        <v>0.64448614318706698</v>
      </c>
      <c r="J19" s="249"/>
      <c r="K19" s="307">
        <f>K18/I18-1</f>
        <v>-0.18748354252611243</v>
      </c>
      <c r="L19" s="249"/>
      <c r="M19" s="307">
        <f>M18/K18-1</f>
        <v>0.4303770119909256</v>
      </c>
      <c r="N19" s="249"/>
      <c r="O19" s="307">
        <f>O18/M18-1</f>
        <v>0.10010573219545371</v>
      </c>
      <c r="P19" s="249"/>
      <c r="Q19" s="307">
        <f>Q18/O18-1</f>
        <v>0.86541035938626298</v>
      </c>
      <c r="R19" s="249"/>
      <c r="S19" s="307">
        <f>S18/Q18-1</f>
        <v>-0.16529579538135986</v>
      </c>
      <c r="T19" s="249"/>
      <c r="U19" s="307">
        <f>U18/S18-1</f>
        <v>0.79577620034390018</v>
      </c>
      <c r="V19" s="249"/>
      <c r="W19" s="307">
        <f>W18/U18-1</f>
        <v>-0.10397741222685986</v>
      </c>
      <c r="X19" s="225"/>
      <c r="Y19" s="250">
        <f>Y18/W18-1</f>
        <v>0.27061241265926839</v>
      </c>
      <c r="AD19" s="197"/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D20" s="197"/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275</v>
      </c>
      <c r="E21" s="249"/>
      <c r="F21" s="249"/>
      <c r="G21" s="307">
        <f>G20/E20-1</f>
        <v>-7.2055147804534592E-2</v>
      </c>
      <c r="H21" s="249"/>
      <c r="I21" s="307">
        <f>I20/G20-1</f>
        <v>-4.3534951542072764E-2</v>
      </c>
      <c r="J21" s="249"/>
      <c r="K21" s="307">
        <f>K20/I20-1</f>
        <v>-0.12946679499420954</v>
      </c>
      <c r="L21" s="249"/>
      <c r="M21" s="250">
        <f>M20/K20-1</f>
        <v>0.1488717093419043</v>
      </c>
      <c r="N21" s="249"/>
      <c r="O21" s="307">
        <f>O20/M20-1</f>
        <v>5.7327289897061817E-2</v>
      </c>
      <c r="P21" s="249"/>
      <c r="Q21" s="307">
        <f>Q20/O20-1</f>
        <v>0.79102399561813641</v>
      </c>
      <c r="R21" s="249"/>
      <c r="S21" s="307">
        <f>S20/Q20-1</f>
        <v>-0.20249828810770298</v>
      </c>
      <c r="T21" s="249"/>
      <c r="U21" s="307">
        <f>U20/S20-1</f>
        <v>0.30456090177569517</v>
      </c>
      <c r="V21" s="249"/>
      <c r="W21" s="307">
        <f>W20/U20-1</f>
        <v>-0.17856953485280513</v>
      </c>
      <c r="X21" s="225"/>
      <c r="Y21" s="250">
        <f>Y20/W20-1</f>
        <v>0.19973744229638246</v>
      </c>
      <c r="AD21" s="197"/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AA22" s="228">
        <v>45286</v>
      </c>
      <c r="AC22" s="197">
        <f>AA32-AA22</f>
        <v>59</v>
      </c>
      <c r="AD22" s="197">
        <f>AA32-AA22</f>
        <v>59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272</v>
      </c>
      <c r="E23" s="225"/>
      <c r="F23" s="225"/>
      <c r="G23" s="308">
        <f>G22/E22-1</f>
        <v>6.5819058910101536E-3</v>
      </c>
      <c r="H23" s="225"/>
      <c r="I23" s="308">
        <f>I22/G22-1</f>
        <v>0.73783608155308267</v>
      </c>
      <c r="J23" s="225"/>
      <c r="K23" s="308">
        <f>K22/I22-1</f>
        <v>-3.739278786603073E-4</v>
      </c>
      <c r="L23" s="225"/>
      <c r="M23" s="224">
        <f>M22/K22-1</f>
        <v>0.12594393659551595</v>
      </c>
      <c r="N23" s="225"/>
      <c r="O23" s="308">
        <f>O22/M22-1</f>
        <v>5.1868770764119443E-2</v>
      </c>
      <c r="P23" s="203"/>
      <c r="Q23" s="308">
        <f>Q22/O22-1</f>
        <v>7.4154131627778508E-2</v>
      </c>
      <c r="R23" s="203"/>
      <c r="S23" s="308">
        <f>S22/Q22-1</f>
        <v>0.17104815811961904</v>
      </c>
      <c r="T23" s="203"/>
      <c r="U23" s="308">
        <f>U22/S22-1</f>
        <v>0.29558080411788712</v>
      </c>
      <c r="V23" s="225"/>
      <c r="W23" s="308">
        <f>W22/U22-1</f>
        <v>0.17484303994663786</v>
      </c>
      <c r="X23" s="225"/>
      <c r="Y23" s="224">
        <f>Y22/W22-1</f>
        <v>4.7514290948826199E-2</v>
      </c>
      <c r="AA23" s="228">
        <v>45180</v>
      </c>
      <c r="AC23" s="197">
        <f>AA31-AA23</f>
        <v>106</v>
      </c>
      <c r="AD23" s="197">
        <f>AC31+AC23</f>
        <v>165</v>
      </c>
      <c r="AF23" s="190" t="s">
        <v>271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277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AA24" s="228">
        <v>45055</v>
      </c>
      <c r="AC24" s="197">
        <f>AA23-AA24</f>
        <v>125</v>
      </c>
      <c r="AD24" s="197">
        <f>AC31+AC23+AC24</f>
        <v>290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278</v>
      </c>
      <c r="E25" s="245"/>
      <c r="F25" s="245"/>
      <c r="G25" s="309"/>
      <c r="H25" s="245"/>
      <c r="I25" s="308">
        <f>I24/G24-1</f>
        <v>0.3327233606557376</v>
      </c>
      <c r="J25" s="224"/>
      <c r="K25" s="308">
        <f>K24/I24-1</f>
        <v>-0.23068442684076274</v>
      </c>
      <c r="L25" s="245"/>
      <c r="M25" s="224">
        <f>M24/K24-1</f>
        <v>4.4454859605187691E-2</v>
      </c>
      <c r="N25" s="245"/>
      <c r="O25" s="308">
        <f>O24/M24-1</f>
        <v>0.23051428341799296</v>
      </c>
      <c r="P25" s="245"/>
      <c r="Q25" s="308">
        <f>Q24/O24-1</f>
        <v>-0.25275797612605044</v>
      </c>
      <c r="R25" s="245"/>
      <c r="S25" s="308">
        <f>S24/Q24-1</f>
        <v>0.13717626810708228</v>
      </c>
      <c r="T25" s="221"/>
      <c r="U25" s="308">
        <f>U24/S24-1</f>
        <v>0.55058617483858696</v>
      </c>
      <c r="V25" s="225"/>
      <c r="W25" s="308">
        <f>W24/U24-1</f>
        <v>0.35364151650433318</v>
      </c>
      <c r="X25" s="225"/>
      <c r="Y25" s="224">
        <f>Y24/W24-1</f>
        <v>0.18335353253524667</v>
      </c>
      <c r="AA25" s="228">
        <v>45055</v>
      </c>
      <c r="AC25" s="197">
        <f>AA23-AA25</f>
        <v>125</v>
      </c>
      <c r="AD25" s="197">
        <f>AC23+AC25</f>
        <v>231</v>
      </c>
      <c r="AF25" s="190" t="s">
        <v>252</v>
      </c>
      <c r="AG25" s="193">
        <f t="shared" ref="AG25:AH28" si="7">AG18</f>
        <v>45055</v>
      </c>
      <c r="AH25" s="193">
        <f t="shared" si="7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279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AF26" s="234" t="s">
        <v>252</v>
      </c>
      <c r="AG26" s="235">
        <f t="shared" si="7"/>
        <v>44922</v>
      </c>
      <c r="AH26" s="235">
        <f t="shared" si="7"/>
        <v>45286</v>
      </c>
      <c r="AI26" s="237">
        <f>W46/Q46-1</f>
        <v>1.6456591271116232</v>
      </c>
      <c r="AJ26" s="238">
        <f t="shared" ref="AJ26:AJ28" si="8">AH26-AG26</f>
        <v>364</v>
      </c>
      <c r="AK26" s="239">
        <f t="shared" ref="AK26:AK28" si="9">AI26/AJ26</f>
        <v>4.5210415579989647E-3</v>
      </c>
    </row>
    <row r="27" spans="1:37" x14ac:dyDescent="0.25">
      <c r="D27" s="255" t="s">
        <v>280</v>
      </c>
      <c r="E27" s="222"/>
      <c r="F27" s="222"/>
      <c r="G27" s="308"/>
      <c r="H27" s="225"/>
      <c r="I27" s="308">
        <f>I26/G26-1</f>
        <v>0.54808248497379775</v>
      </c>
      <c r="J27" s="225"/>
      <c r="K27" s="308">
        <f>K26/I26-1</f>
        <v>-8.2031774708692717E-2</v>
      </c>
      <c r="L27" s="225"/>
      <c r="M27" s="224">
        <f>M26/K26-1</f>
        <v>0.12093489571019433</v>
      </c>
      <c r="N27" s="225"/>
      <c r="O27" s="308">
        <f>O26/M26-1</f>
        <v>-6.1383231911527059E-3</v>
      </c>
      <c r="P27" s="203"/>
      <c r="Q27" s="308">
        <f>Q26/O26-1</f>
        <v>-7.7705386482144312E-2</v>
      </c>
      <c r="R27" s="203"/>
      <c r="S27" s="308">
        <f>S26/Q26-1</f>
        <v>6.4112075951145986E-2</v>
      </c>
      <c r="T27" s="203"/>
      <c r="U27" s="308">
        <f>U26/S26-1</f>
        <v>0.39477181556357666</v>
      </c>
      <c r="V27" s="190"/>
      <c r="W27" s="308">
        <f>W26/U26-1</f>
        <v>0.20602081242627968</v>
      </c>
      <c r="AA27" s="228"/>
      <c r="AD27" s="197"/>
      <c r="AF27" s="190" t="s">
        <v>252</v>
      </c>
      <c r="AG27" s="228">
        <f t="shared" si="7"/>
        <v>44546</v>
      </c>
      <c r="AH27" s="228">
        <f t="shared" si="7"/>
        <v>45286</v>
      </c>
      <c r="AI27" s="227">
        <f>W46/I46-1</f>
        <v>8.4253157846863029</v>
      </c>
      <c r="AJ27" s="195">
        <f t="shared" si="8"/>
        <v>740</v>
      </c>
      <c r="AK27" s="229">
        <f t="shared" si="9"/>
        <v>1.1385561871197707E-2</v>
      </c>
    </row>
    <row r="28" spans="1:37" x14ac:dyDescent="0.25">
      <c r="D28" s="255" t="s">
        <v>292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7"/>
        <v>44460</v>
      </c>
      <c r="AH28" s="228">
        <f t="shared" si="7"/>
        <v>45286</v>
      </c>
      <c r="AI28" s="227">
        <f>W46/G46-1</f>
        <v>15.126715307598261</v>
      </c>
      <c r="AJ28" s="195">
        <f t="shared" si="8"/>
        <v>826</v>
      </c>
      <c r="AK28" s="229">
        <f t="shared" si="9"/>
        <v>1.8313214658109273E-2</v>
      </c>
    </row>
    <row r="29" spans="1:37" x14ac:dyDescent="0.25">
      <c r="E29" s="222"/>
      <c r="F29" s="222"/>
      <c r="G29" s="308">
        <f>G28/E28-1</f>
        <v>0.18647141031307113</v>
      </c>
      <c r="H29" s="225"/>
      <c r="I29" s="308">
        <f>I28/G28-1</f>
        <v>0.63975890514667233</v>
      </c>
      <c r="J29" s="225"/>
      <c r="K29" s="308">
        <f>K28/I28-1</f>
        <v>-0.16738878364965881</v>
      </c>
      <c r="L29" s="225"/>
      <c r="M29" s="308">
        <f>M28/K28-1</f>
        <v>9.4550181876904782E-2</v>
      </c>
      <c r="N29" s="225"/>
      <c r="O29" s="308">
        <f>O28/M28-1</f>
        <v>0.1534506453959954</v>
      </c>
      <c r="P29" s="203"/>
      <c r="Q29" s="308">
        <f>Q28/O28-1</f>
        <v>-0.16907301756402526</v>
      </c>
      <c r="R29" s="203"/>
      <c r="S29" s="308">
        <f>S28/Q28-1</f>
        <v>0.17826704904896462</v>
      </c>
      <c r="T29" s="203"/>
      <c r="U29" s="308">
        <f>U28/S28-1</f>
        <v>0.62224133604935838</v>
      </c>
      <c r="V29" s="190"/>
      <c r="W29" s="308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308"/>
      <c r="H30" s="225"/>
      <c r="I30" s="308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A31" s="228">
        <v>45286</v>
      </c>
      <c r="AC31" s="197">
        <f>AA32-AA31</f>
        <v>59</v>
      </c>
      <c r="AD31" s="197">
        <f>AC31</f>
        <v>59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293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A32" s="228">
        <v>45345</v>
      </c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294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281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279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292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18">
        <f>G31</f>
        <v>44460</v>
      </c>
      <c r="H39" s="318"/>
      <c r="I39" s="318">
        <f t="shared" ref="H39:W39" si="10">I31</f>
        <v>44546</v>
      </c>
      <c r="J39" s="318"/>
      <c r="K39" s="318">
        <f t="shared" si="10"/>
        <v>44616</v>
      </c>
      <c r="L39" s="318"/>
      <c r="M39" s="318">
        <f t="shared" si="10"/>
        <v>44719</v>
      </c>
      <c r="N39" s="318"/>
      <c r="O39" s="318">
        <f t="shared" si="10"/>
        <v>44789</v>
      </c>
      <c r="P39" s="318"/>
      <c r="Q39" s="318">
        <f t="shared" si="10"/>
        <v>44922</v>
      </c>
      <c r="R39" s="318"/>
      <c r="S39" s="318">
        <f t="shared" si="10"/>
        <v>45055</v>
      </c>
      <c r="T39" s="318"/>
      <c r="U39" s="318">
        <f t="shared" si="10"/>
        <v>45180</v>
      </c>
      <c r="V39" s="318"/>
      <c r="W39" s="318">
        <f t="shared" si="10"/>
        <v>45286</v>
      </c>
      <c r="X39" s="190" t="s">
        <v>302</v>
      </c>
      <c r="Y39" s="319" t="s">
        <v>282</v>
      </c>
      <c r="Z39" s="195" t="s">
        <v>303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22" t="s">
        <v>298</v>
      </c>
      <c r="E40" s="311"/>
      <c r="F40" s="311"/>
      <c r="G40" s="312">
        <v>100000</v>
      </c>
      <c r="H40" s="310"/>
      <c r="I40" s="312">
        <f>$G$52*(1+I32)</f>
        <v>191300</v>
      </c>
      <c r="J40" s="310"/>
      <c r="K40" s="312">
        <f>I40*(1+K25)</f>
        <v>147170.0691453621</v>
      </c>
      <c r="L40" s="310"/>
      <c r="M40" s="312">
        <f>K40*(1+M32)</f>
        <v>292868.43759927055</v>
      </c>
      <c r="N40" s="310"/>
      <c r="O40" s="312">
        <f>M40*(1+O25)</f>
        <v>360378.79562821356</v>
      </c>
      <c r="P40" s="313"/>
      <c r="Q40" s="312">
        <f>O40*(1+Q32)</f>
        <v>792833.35038206994</v>
      </c>
      <c r="R40" s="313"/>
      <c r="S40" s="312">
        <f>Q40*(1+S25)</f>
        <v>901591.27061831707</v>
      </c>
      <c r="T40" s="313"/>
      <c r="U40" s="312">
        <f>S40*(1+U32)</f>
        <v>1411891.9297882845</v>
      </c>
      <c r="V40" s="310"/>
      <c r="W40" s="312">
        <f>U40*(1+W25)</f>
        <v>1911195.532978843</v>
      </c>
      <c r="X40" s="320">
        <f t="shared" ref="X40:X55" si="11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22" t="s">
        <v>293</v>
      </c>
      <c r="E41" s="310"/>
      <c r="F41" s="310"/>
      <c r="G41" s="316">
        <v>100000</v>
      </c>
      <c r="H41" s="310"/>
      <c r="I41" s="312">
        <f>G41*(1+I32)</f>
        <v>191300</v>
      </c>
      <c r="J41" s="310"/>
      <c r="K41" s="312">
        <f>I41*(1+K23)</f>
        <v>191228.46759681229</v>
      </c>
      <c r="L41" s="310"/>
      <c r="M41" s="312">
        <f>K41*(1+M32)</f>
        <v>380544.65051765647</v>
      </c>
      <c r="N41" s="310"/>
      <c r="O41" s="312">
        <f>M41*(1+O23)</f>
        <v>400283.03376086871</v>
      </c>
      <c r="P41" s="313"/>
      <c r="Q41" s="312">
        <f>O41*(1+Q32)</f>
        <v>880622.67427391128</v>
      </c>
      <c r="R41" s="313"/>
      <c r="S41" s="312">
        <f>Q41*(1+S23)</f>
        <v>1031251.560706837</v>
      </c>
      <c r="T41" s="313"/>
      <c r="U41" s="312">
        <f>S41*(1+U32)</f>
        <v>1614939.9440669066</v>
      </c>
      <c r="V41" s="310"/>
      <c r="W41" s="315">
        <f>U41*(1+W23)</f>
        <v>1897300.9532188179</v>
      </c>
      <c r="X41" s="320">
        <f t="shared" si="11"/>
        <v>17.973009532188179</v>
      </c>
      <c r="Y41" s="195">
        <f>$W$39-$G$39</f>
        <v>826</v>
      </c>
      <c r="Z41" s="229">
        <f t="shared" ref="Z41:Z55" si="12">X41/Y41</f>
        <v>2.1759091443327095E-2</v>
      </c>
      <c r="AA41" s="192"/>
      <c r="AB41" s="192"/>
      <c r="AC41" s="192"/>
      <c r="AD41" s="192"/>
    </row>
    <row r="42" spans="1:37" x14ac:dyDescent="0.25">
      <c r="D42" s="322" t="s">
        <v>297</v>
      </c>
      <c r="E42" s="316"/>
      <c r="F42" s="310"/>
      <c r="G42" s="316">
        <v>100000</v>
      </c>
      <c r="H42" s="310"/>
      <c r="I42" s="312">
        <f>G42*(1+I32)</f>
        <v>191300</v>
      </c>
      <c r="J42" s="321"/>
      <c r="K42" s="312">
        <f>I42*(1+K15)</f>
        <v>191227.18844261157</v>
      </c>
      <c r="L42" s="321"/>
      <c r="M42" s="312">
        <f>K42*(1+M32)</f>
        <v>380542.10500079702</v>
      </c>
      <c r="N42" s="321"/>
      <c r="O42" s="312">
        <f>M42*(1+O15)</f>
        <v>400361.51966341853</v>
      </c>
      <c r="P42" s="321"/>
      <c r="Q42" s="312">
        <f>O42*(1+Q32)</f>
        <v>880795.34325952083</v>
      </c>
      <c r="R42" s="321"/>
      <c r="S42" s="312">
        <f>Q42*(1+S15)</f>
        <v>1031123.0928564478</v>
      </c>
      <c r="T42" s="321"/>
      <c r="U42" s="312">
        <f>S42*(1+U32)</f>
        <v>1614738.7634131971</v>
      </c>
      <c r="V42" s="310"/>
      <c r="W42" s="312">
        <f>U42*(1+W15)</f>
        <v>1896964.6798984385</v>
      </c>
      <c r="X42" s="320">
        <f t="shared" si="11"/>
        <v>17.969646798984385</v>
      </c>
      <c r="Y42" s="195">
        <f t="shared" ref="Y42:Y55" si="13">$W$39-$G$39</f>
        <v>826</v>
      </c>
      <c r="Z42" s="229">
        <f t="shared" si="12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22" t="s">
        <v>299</v>
      </c>
      <c r="E43" s="311"/>
      <c r="F43" s="311"/>
      <c r="G43" s="312">
        <v>100000</v>
      </c>
      <c r="H43" s="310"/>
      <c r="I43" s="312">
        <f>$G$52*(1+I32)</f>
        <v>191300</v>
      </c>
      <c r="J43" s="310"/>
      <c r="K43" s="312">
        <f>I43*(1+K29)</f>
        <v>159278.52568782028</v>
      </c>
      <c r="L43" s="310"/>
      <c r="M43" s="312">
        <f>K43*(1+M32)</f>
        <v>316964.26611876237</v>
      </c>
      <c r="N43" s="310"/>
      <c r="O43" s="312">
        <f>M43*(1+O29)</f>
        <v>365602.63732215448</v>
      </c>
      <c r="P43" s="313"/>
      <c r="Q43" s="312">
        <f>O43*(1+Q32)</f>
        <v>804325.80210873997</v>
      </c>
      <c r="R43" s="313"/>
      <c r="S43" s="312">
        <f>Q43*(1+S29)</f>
        <v>947710.58932460658</v>
      </c>
      <c r="T43" s="313"/>
      <c r="U43" s="312">
        <f>S43*(1+U32)</f>
        <v>1484114.7828823337</v>
      </c>
      <c r="V43" s="310"/>
      <c r="W43" s="312">
        <f>U43*(1+W29)</f>
        <v>1758089.7549367193</v>
      </c>
      <c r="X43" s="320">
        <f t="shared" si="11"/>
        <v>16.580897549367194</v>
      </c>
      <c r="Y43" s="195">
        <f t="shared" si="13"/>
        <v>826</v>
      </c>
      <c r="Z43" s="229">
        <f t="shared" si="12"/>
        <v>2.0073725846691516E-2</v>
      </c>
    </row>
    <row r="44" spans="1:37" x14ac:dyDescent="0.25">
      <c r="A44" s="195"/>
      <c r="B44" s="195"/>
      <c r="C44" s="195"/>
      <c r="D44" s="322" t="s">
        <v>300</v>
      </c>
      <c r="E44" s="311"/>
      <c r="F44" s="311"/>
      <c r="G44" s="312">
        <v>100000</v>
      </c>
      <c r="H44" s="310"/>
      <c r="I44" s="312">
        <f>$G$52*(1+I32)</f>
        <v>191300</v>
      </c>
      <c r="J44" s="310"/>
      <c r="K44" s="312">
        <f>I44*(1+K27)</f>
        <v>175607.32149822707</v>
      </c>
      <c r="L44" s="310"/>
      <c r="M44" s="312">
        <f>K44*(1+M32)</f>
        <v>349458.56978147186</v>
      </c>
      <c r="N44" s="310"/>
      <c r="O44" s="312">
        <f>M44*(1+O27)</f>
        <v>347313.4801382352</v>
      </c>
      <c r="P44" s="313"/>
      <c r="Q44" s="312">
        <f>O44*(1+Q32)</f>
        <v>764089.65630411752</v>
      </c>
      <c r="R44" s="313"/>
      <c r="S44" s="312">
        <f>Q44*(1+S27)</f>
        <v>813077.03038257209</v>
      </c>
      <c r="T44" s="313"/>
      <c r="U44" s="312">
        <f>S44*(1+U32)</f>
        <v>1273278.6295791077</v>
      </c>
      <c r="V44" s="310"/>
      <c r="W44" s="312">
        <f>U44*(1+W27)</f>
        <v>1535600.5272900155</v>
      </c>
      <c r="X44" s="320">
        <f t="shared" si="11"/>
        <v>14.356005272900155</v>
      </c>
      <c r="Y44" s="195">
        <f t="shared" si="13"/>
        <v>826</v>
      </c>
      <c r="Z44" s="229">
        <f t="shared" si="12"/>
        <v>1.7380151662106727E-2</v>
      </c>
    </row>
    <row r="45" spans="1:37" x14ac:dyDescent="0.25">
      <c r="D45" s="322" t="s">
        <v>295</v>
      </c>
      <c r="E45" s="316"/>
      <c r="F45" s="310"/>
      <c r="G45" s="316">
        <v>100000</v>
      </c>
      <c r="H45" s="310"/>
      <c r="I45" s="312">
        <f>G45*(1+I33)</f>
        <v>171099.99999999997</v>
      </c>
      <c r="J45" s="310"/>
      <c r="K45" s="312">
        <f>I45*(1+K15)</f>
        <v>171034.87685588517</v>
      </c>
      <c r="L45" s="310"/>
      <c r="M45" s="312">
        <f>K45*(1+M33)</f>
        <v>324282.12651875825</v>
      </c>
      <c r="N45" s="310"/>
      <c r="O45" s="312">
        <f>M45*(1+O15)</f>
        <v>341171.40591436811</v>
      </c>
      <c r="P45" s="313"/>
      <c r="Q45" s="312">
        <f>O45*(1+Q33)</f>
        <v>609673.30236897583</v>
      </c>
      <c r="R45" s="313"/>
      <c r="S45" s="312">
        <f>Q45*(1+S15)</f>
        <v>713727.91191684967</v>
      </c>
      <c r="T45" s="313"/>
      <c r="U45" s="312">
        <f>S45*(1+U33)</f>
        <v>1372498.774616102</v>
      </c>
      <c r="V45" s="310"/>
      <c r="W45" s="315">
        <f>U45*(1+W15)</f>
        <v>1612385.7045131205</v>
      </c>
      <c r="X45" s="320">
        <f t="shared" si="11"/>
        <v>15.123857045131203</v>
      </c>
      <c r="Y45" s="195">
        <f t="shared" si="13"/>
        <v>826</v>
      </c>
      <c r="Z45" s="229">
        <f t="shared" si="12"/>
        <v>1.8309754291926397E-2</v>
      </c>
      <c r="AA45" s="196"/>
      <c r="AC45" s="196"/>
    </row>
    <row r="46" spans="1:37" x14ac:dyDescent="0.25">
      <c r="D46" s="322" t="s">
        <v>294</v>
      </c>
      <c r="E46" s="316"/>
      <c r="F46" s="310"/>
      <c r="G46" s="316">
        <v>100000</v>
      </c>
      <c r="H46" s="310"/>
      <c r="I46" s="312">
        <f>G46*(1+I33)</f>
        <v>171099.99999999997</v>
      </c>
      <c r="J46" s="310"/>
      <c r="K46" s="312">
        <f>I46*(1+K23)</f>
        <v>171036.02093996119</v>
      </c>
      <c r="L46" s="310"/>
      <c r="M46" s="312">
        <f>K46*(1+M33)</f>
        <v>324284.29570216639</v>
      </c>
      <c r="N46" s="310"/>
      <c r="O46" s="317">
        <f>M46*(O23+1)</f>
        <v>341104.52349834598</v>
      </c>
      <c r="P46" s="313"/>
      <c r="Q46" s="317">
        <f>O46*(1+Q33)</f>
        <v>609553.78349154419</v>
      </c>
      <c r="R46" s="313"/>
      <c r="S46" s="317">
        <f>Q46*(1+S23)</f>
        <v>713816.83543261793</v>
      </c>
      <c r="T46" s="313"/>
      <c r="U46" s="312">
        <f>S46*(1+U33)</f>
        <v>1372669.7745369242</v>
      </c>
      <c r="V46" s="310"/>
      <c r="W46" s="315">
        <f>U46*(1+W23)</f>
        <v>1612671.5307598261</v>
      </c>
      <c r="X46" s="320">
        <f t="shared" si="11"/>
        <v>15.126715307598261</v>
      </c>
      <c r="Y46" s="195">
        <f t="shared" si="13"/>
        <v>826</v>
      </c>
      <c r="Z46" s="229">
        <f t="shared" si="12"/>
        <v>1.8313214658109273E-2</v>
      </c>
    </row>
    <row r="47" spans="1:37" x14ac:dyDescent="0.25">
      <c r="D47" s="322" t="s">
        <v>301</v>
      </c>
      <c r="E47" s="316"/>
      <c r="F47" s="310"/>
      <c r="G47" s="316">
        <v>100000</v>
      </c>
      <c r="H47" s="310"/>
      <c r="I47" s="312">
        <f>G47*(1+I33)</f>
        <v>171099.99999999997</v>
      </c>
      <c r="J47" s="310"/>
      <c r="K47" s="312">
        <f>I47*(1+K25)</f>
        <v>131629.89456754547</v>
      </c>
      <c r="L47" s="310"/>
      <c r="M47" s="312">
        <f>K47*(1+M33)</f>
        <v>249570.28010006621</v>
      </c>
      <c r="N47" s="310"/>
      <c r="O47" s="317">
        <f>M47*(O25+1)</f>
        <v>307099.79437976074</v>
      </c>
      <c r="P47" s="313"/>
      <c r="Q47" s="317">
        <f>O47*(1+Q33)</f>
        <v>548787.33255663246</v>
      </c>
      <c r="R47" s="313"/>
      <c r="S47" s="317">
        <f>Q47*(1+S25)</f>
        <v>624067.93082119164</v>
      </c>
      <c r="T47" s="313"/>
      <c r="U47" s="312">
        <f>S47*(1+U33)</f>
        <v>1200082.6309691516</v>
      </c>
      <c r="V47" s="310"/>
      <c r="W47" s="315">
        <f>U47*(1+W25)</f>
        <v>1624481.6725155925</v>
      </c>
      <c r="X47" s="320">
        <f t="shared" si="11"/>
        <v>15.244816725155925</v>
      </c>
      <c r="Y47" s="195">
        <f t="shared" si="13"/>
        <v>826</v>
      </c>
      <c r="Z47" s="229">
        <f t="shared" si="12"/>
        <v>1.8456194582513227E-2</v>
      </c>
    </row>
    <row r="48" spans="1:37" x14ac:dyDescent="0.25">
      <c r="D48" s="322" t="s">
        <v>304</v>
      </c>
      <c r="E48" s="316"/>
      <c r="F48" s="310"/>
      <c r="G48" s="316">
        <v>100000</v>
      </c>
      <c r="H48" s="310"/>
      <c r="I48" s="312">
        <v>199666</v>
      </c>
      <c r="J48" s="310"/>
      <c r="K48" s="312">
        <v>150544</v>
      </c>
      <c r="L48" s="310"/>
      <c r="M48" s="312">
        <v>180776</v>
      </c>
      <c r="N48" s="310"/>
      <c r="O48" s="317">
        <v>220144</v>
      </c>
      <c r="P48" s="313"/>
      <c r="Q48" s="317">
        <v>395035</v>
      </c>
      <c r="R48" s="313"/>
      <c r="S48" s="317">
        <v>419571</v>
      </c>
      <c r="T48" s="313"/>
      <c r="U48" s="312">
        <v>719044</v>
      </c>
      <c r="V48" s="310"/>
      <c r="W48" s="315">
        <v>488863</v>
      </c>
      <c r="X48" s="320">
        <f>(W48/G48-1)</f>
        <v>3.88863</v>
      </c>
      <c r="Y48" s="195">
        <f t="shared" si="13"/>
        <v>826</v>
      </c>
      <c r="Z48" s="229">
        <f t="shared" si="12"/>
        <v>4.7077845036319612E-3</v>
      </c>
    </row>
    <row r="49" spans="1:34" x14ac:dyDescent="0.25">
      <c r="D49" s="322" t="s">
        <v>306</v>
      </c>
      <c r="E49" s="316"/>
      <c r="F49" s="310"/>
      <c r="G49" s="316">
        <v>100000</v>
      </c>
      <c r="H49" s="310"/>
      <c r="I49" s="312">
        <v>164182</v>
      </c>
      <c r="J49" s="310"/>
      <c r="K49" s="312">
        <v>134407</v>
      </c>
      <c r="L49" s="310"/>
      <c r="M49" s="312">
        <v>177277</v>
      </c>
      <c r="N49" s="310"/>
      <c r="O49" s="317">
        <v>216000</v>
      </c>
      <c r="P49" s="313"/>
      <c r="Q49" s="317">
        <v>335288</v>
      </c>
      <c r="R49" s="313"/>
      <c r="S49" s="317">
        <v>263397</v>
      </c>
      <c r="T49" s="313"/>
      <c r="U49" s="312">
        <v>481346</v>
      </c>
      <c r="V49" s="310"/>
      <c r="W49" s="315">
        <v>430769</v>
      </c>
      <c r="X49" s="320">
        <f>(W49/G49-1)</f>
        <v>3.30769</v>
      </c>
      <c r="Y49" s="195">
        <f t="shared" si="13"/>
        <v>826</v>
      </c>
      <c r="Z49" s="229">
        <f t="shared" ref="Z49" si="14">X49/Y49</f>
        <v>4.004467312348668E-3</v>
      </c>
    </row>
    <row r="50" spans="1:34" x14ac:dyDescent="0.25">
      <c r="D50" s="322" t="s">
        <v>248</v>
      </c>
      <c r="E50" s="314"/>
      <c r="F50" s="314"/>
      <c r="G50" s="316">
        <v>100000</v>
      </c>
      <c r="H50" s="310"/>
      <c r="I50" s="312">
        <f>$G$50*(1+I34)</f>
        <v>173783.60815530826</v>
      </c>
      <c r="J50" s="310"/>
      <c r="K50" s="312">
        <f>$G$50*(1+K34)</f>
        <v>173718.62561936479</v>
      </c>
      <c r="L50" s="310"/>
      <c r="M50" s="312">
        <f>$G$50*(1+M34)</f>
        <v>195597.43318983025</v>
      </c>
      <c r="N50" s="310"/>
      <c r="O50" s="312">
        <f>$G$50*(1+O34)</f>
        <v>205742.83161400375</v>
      </c>
      <c r="P50" s="313"/>
      <c r="Q50" s="312">
        <f>$G$50*(1+Q34)</f>
        <v>220999.5126309804</v>
      </c>
      <c r="R50" s="313"/>
      <c r="S50" s="312">
        <f>$G$50*(1+S34)</f>
        <v>258801.0722118431</v>
      </c>
      <c r="T50" s="313"/>
      <c r="U50" s="312">
        <f>$G$50*(1+U34)</f>
        <v>335297.70124279102</v>
      </c>
      <c r="V50" s="310"/>
      <c r="W50" s="315">
        <f>$G$50*(1+W34)</f>
        <v>393922.17061520019</v>
      </c>
      <c r="X50" s="320">
        <f>(W50/G50-1)</f>
        <v>2.9392217061520021</v>
      </c>
      <c r="Y50" s="195">
        <f t="shared" si="13"/>
        <v>826</v>
      </c>
      <c r="Z50" s="229">
        <f t="shared" si="12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22" t="s">
        <v>296</v>
      </c>
      <c r="E51" s="314"/>
      <c r="F51" s="314"/>
      <c r="G51" s="316">
        <v>100000</v>
      </c>
      <c r="H51" s="310"/>
      <c r="I51" s="312">
        <f>$G$51*(1+I15)</f>
        <v>173782.20330007782</v>
      </c>
      <c r="J51" s="310"/>
      <c r="K51" s="312">
        <f>I51*(1+K15)</f>
        <v>173716.05927044546</v>
      </c>
      <c r="L51" s="312"/>
      <c r="M51" s="312">
        <f>K51*(1+M15)</f>
        <v>195623.74299337767</v>
      </c>
      <c r="N51" s="312"/>
      <c r="O51" s="312">
        <f>M51*(1+O15)</f>
        <v>205812.22944281204</v>
      </c>
      <c r="P51" s="312"/>
      <c r="Q51" s="312">
        <f>O51*(1+Q15)</f>
        <v>221068.02713181992</v>
      </c>
      <c r="R51" s="312"/>
      <c r="S51" s="312">
        <f>Q51*(1+S15)</f>
        <v>258798.31178974765</v>
      </c>
      <c r="T51" s="312"/>
      <c r="U51" s="312">
        <f>S51*(1+U15)</f>
        <v>335293.43531250168</v>
      </c>
      <c r="V51" s="312"/>
      <c r="W51" s="312">
        <f>U51*(1+W15)</f>
        <v>393896.4113583187</v>
      </c>
      <c r="X51" s="320">
        <f t="shared" si="11"/>
        <v>2.9389641135831872</v>
      </c>
      <c r="Y51" s="195">
        <f t="shared" si="13"/>
        <v>826</v>
      </c>
      <c r="Z51" s="229">
        <f t="shared" si="12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22" t="s">
        <v>254</v>
      </c>
      <c r="E52" s="311"/>
      <c r="F52" s="311"/>
      <c r="G52" s="312">
        <v>100000</v>
      </c>
      <c r="H52" s="310"/>
      <c r="I52" s="312">
        <f>$G$52*(1+I35)</f>
        <v>171800</v>
      </c>
      <c r="J52" s="310"/>
      <c r="K52" s="312">
        <f>$G$50*(1+K35)</f>
        <v>160800</v>
      </c>
      <c r="L52" s="310"/>
      <c r="M52" s="312">
        <f>$G$50*(1+M35)</f>
        <v>199600</v>
      </c>
      <c r="N52" s="310"/>
      <c r="O52" s="312">
        <f>$G$50*(1+O35)</f>
        <v>207600</v>
      </c>
      <c r="P52" s="313"/>
      <c r="Q52" s="312">
        <f>$G$50*(1+Q35)</f>
        <v>216350</v>
      </c>
      <c r="R52" s="313"/>
      <c r="S52" s="312">
        <f>$G$50*(1+S35)</f>
        <v>226450</v>
      </c>
      <c r="T52" s="313"/>
      <c r="U52" s="312">
        <f>$G$50*(1+U35)</f>
        <v>311680</v>
      </c>
      <c r="V52" s="310"/>
      <c r="W52" s="315">
        <f>$G$50*(1+W35)</f>
        <v>340000</v>
      </c>
      <c r="X52" s="320">
        <f t="shared" si="11"/>
        <v>2.4</v>
      </c>
      <c r="Y52" s="195">
        <f t="shared" si="13"/>
        <v>826</v>
      </c>
      <c r="Z52" s="229">
        <f t="shared" si="12"/>
        <v>2.9055690072639223E-3</v>
      </c>
    </row>
    <row r="53" spans="1:34" x14ac:dyDescent="0.25">
      <c r="A53" s="195"/>
      <c r="B53" s="195"/>
      <c r="C53" s="195"/>
      <c r="D53" s="225" t="s">
        <v>292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20">
        <f t="shared" si="11"/>
        <v>2.2430418946100992</v>
      </c>
      <c r="Y53" s="195">
        <f t="shared" si="13"/>
        <v>826</v>
      </c>
      <c r="Z53" s="229">
        <f t="shared" si="12"/>
        <v>2.7155470879056893E-3</v>
      </c>
    </row>
    <row r="54" spans="1:34" x14ac:dyDescent="0.25">
      <c r="A54" s="195"/>
      <c r="B54" s="195"/>
      <c r="C54" s="195"/>
      <c r="D54" s="225" t="s">
        <v>279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20">
        <f t="shared" si="11"/>
        <v>1.6136238777454208</v>
      </c>
      <c r="Y54" s="195">
        <f t="shared" si="13"/>
        <v>826</v>
      </c>
      <c r="Z54" s="229">
        <f t="shared" si="12"/>
        <v>1.9535398035658846E-3</v>
      </c>
    </row>
    <row r="55" spans="1:34" x14ac:dyDescent="0.25">
      <c r="A55" s="195"/>
      <c r="B55" s="195"/>
      <c r="C55" s="195"/>
      <c r="D55" s="225" t="s">
        <v>281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20">
        <f t="shared" si="11"/>
        <v>1.350225409836066</v>
      </c>
      <c r="Y55" s="195">
        <f t="shared" si="13"/>
        <v>826</v>
      </c>
      <c r="Z55" s="229">
        <f t="shared" si="12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305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9" t="s">
        <v>204</v>
      </c>
      <c r="D2" s="261"/>
      <c r="E2" s="191" t="s">
        <v>217</v>
      </c>
      <c r="F2" s="259" t="s">
        <v>205</v>
      </c>
      <c r="G2" s="261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9" t="s">
        <v>220</v>
      </c>
      <c r="S2" s="260"/>
      <c r="T2" s="260"/>
      <c r="U2" s="261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62"/>
      <c r="D10" s="263"/>
      <c r="E10" s="264"/>
      <c r="F10" s="262"/>
      <c r="G10" s="263"/>
      <c r="H10" s="264"/>
      <c r="J10" s="262"/>
      <c r="K10" s="263"/>
      <c r="L10" s="264"/>
      <c r="N10" s="265"/>
      <c r="O10" s="266"/>
      <c r="P10" s="267"/>
      <c r="R10" s="262"/>
      <c r="S10" s="263"/>
      <c r="T10" s="264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71" t="s">
        <v>192</v>
      </c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2024-02-25T23:23:59Z</dcterms:modified>
</cp:coreProperties>
</file>