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BF58A4A1-D67A-469A-BD15-ECB3E70D925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9" l="1"/>
  <c r="M40" i="9"/>
  <c r="K40" i="9"/>
  <c r="I39" i="9"/>
  <c r="L40" i="9"/>
  <c r="N40" i="9"/>
  <c r="P40" i="9"/>
  <c r="R40" i="9" s="1"/>
  <c r="T40" i="9" s="1"/>
  <c r="V40" i="9" s="1"/>
  <c r="Q40" i="9"/>
  <c r="S40" i="9" s="1"/>
  <c r="U40" i="9" s="1"/>
  <c r="W40" i="9" s="1"/>
  <c r="I40" i="9"/>
  <c r="I24" i="9"/>
  <c r="K24" i="9"/>
  <c r="M24" i="9"/>
  <c r="O24" i="9"/>
  <c r="Q24" i="9"/>
  <c r="S24" i="9"/>
  <c r="U24" i="9"/>
  <c r="W24" i="9"/>
  <c r="Y22" i="9"/>
  <c r="I22" i="9"/>
  <c r="Y12" i="9"/>
  <c r="W12" i="9"/>
  <c r="U12" i="9"/>
  <c r="S12" i="9"/>
  <c r="Q12" i="9"/>
  <c r="O12" i="9"/>
  <c r="M12" i="9"/>
  <c r="K12" i="9"/>
  <c r="I12" i="9"/>
  <c r="G12" i="9"/>
  <c r="G14" i="9"/>
  <c r="Y14" i="9"/>
  <c r="W14" i="9"/>
  <c r="U14" i="9"/>
  <c r="S14" i="9"/>
  <c r="Q14" i="9"/>
  <c r="O14" i="9"/>
  <c r="M14" i="9"/>
  <c r="K14" i="9"/>
  <c r="I14" i="9"/>
  <c r="I29" i="9" l="1"/>
  <c r="AC21" i="9"/>
  <c r="Y17" i="9"/>
  <c r="W17" i="9"/>
  <c r="U17" i="9"/>
  <c r="S17" i="9"/>
  <c r="Q17" i="9"/>
  <c r="O17" i="9"/>
  <c r="M17" i="9"/>
  <c r="K17" i="9"/>
  <c r="I17" i="9"/>
  <c r="G17" i="9"/>
  <c r="E17" i="9"/>
  <c r="Y16" i="9"/>
  <c r="W16" i="9"/>
  <c r="U16" i="9"/>
  <c r="S16" i="9"/>
  <c r="Q16" i="9"/>
  <c r="O16" i="9"/>
  <c r="M16" i="9"/>
  <c r="K16" i="9"/>
  <c r="I16" i="9"/>
  <c r="G16" i="9"/>
  <c r="G20" i="9"/>
  <c r="Q18" i="9" l="1"/>
  <c r="G18" i="9"/>
  <c r="I18" i="9"/>
  <c r="K18" i="9"/>
  <c r="M18" i="9"/>
  <c r="O18" i="9"/>
  <c r="S18" i="9"/>
  <c r="U18" i="9"/>
  <c r="W18" i="9"/>
  <c r="Y18" i="9"/>
  <c r="G3" i="9" l="1"/>
  <c r="AC19" i="9"/>
  <c r="AC22" i="9"/>
  <c r="K22" i="9"/>
  <c r="W22" i="9"/>
  <c r="U22" i="9"/>
  <c r="S22" i="9"/>
  <c r="Q22" i="9"/>
  <c r="M22" i="9"/>
  <c r="O22" i="9"/>
  <c r="AC20" i="9"/>
  <c r="AC26" i="9"/>
  <c r="AD21" i="9" s="1"/>
  <c r="AD19" i="9"/>
  <c r="F7" i="11"/>
  <c r="G7" i="11" s="1"/>
  <c r="W39" i="9"/>
  <c r="U39" i="9"/>
  <c r="S39" i="9"/>
  <c r="Q39" i="9"/>
  <c r="O39" i="9"/>
  <c r="M39" i="9"/>
  <c r="K39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46" i="9"/>
  <c r="A45" i="9"/>
  <c r="A44" i="9"/>
  <c r="S29" i="9"/>
  <c r="S38" i="9" s="1"/>
  <c r="O29" i="9"/>
  <c r="O38" i="9" s="1"/>
  <c r="K29" i="9"/>
  <c r="K38" i="9" s="1"/>
  <c r="U29" i="9"/>
  <c r="U38" i="9" s="1"/>
  <c r="Q29" i="9"/>
  <c r="Q38" i="9" s="1"/>
  <c r="M29" i="9"/>
  <c r="M38" i="9" s="1"/>
  <c r="I38" i="9"/>
  <c r="U28" i="9"/>
  <c r="Q28" i="9"/>
  <c r="M28" i="9"/>
  <c r="I28" i="9"/>
  <c r="I20" i="9"/>
  <c r="M20" i="9"/>
  <c r="U20" i="9"/>
  <c r="Q20" i="9"/>
  <c r="U27" i="9"/>
  <c r="Q27" i="9"/>
  <c r="M27" i="9"/>
  <c r="I27" i="9"/>
  <c r="K20" i="9"/>
  <c r="O20" i="9"/>
  <c r="S20" i="9"/>
  <c r="W19" i="9"/>
  <c r="W26" i="9"/>
  <c r="S26" i="9"/>
  <c r="O26" i="9"/>
  <c r="K26" i="9"/>
  <c r="G26" i="9"/>
  <c r="E26" i="9"/>
  <c r="P7" i="9"/>
  <c r="Q7" i="9"/>
  <c r="R7" i="9"/>
  <c r="S7" i="9"/>
  <c r="O7" i="9"/>
  <c r="T3" i="9"/>
  <c r="T4" i="9"/>
  <c r="T5" i="9"/>
  <c r="T6" i="9"/>
  <c r="I37" i="9" l="1"/>
  <c r="I35" i="9"/>
  <c r="K35" i="9" s="1"/>
  <c r="M35" i="9" s="1"/>
  <c r="O35" i="9" s="1"/>
  <c r="Q35" i="9" s="1"/>
  <c r="S35" i="9" s="1"/>
  <c r="U35" i="9" s="1"/>
  <c r="W35" i="9" s="1"/>
  <c r="I36" i="9"/>
  <c r="K36" i="9" s="1"/>
  <c r="M36" i="9" s="1"/>
  <c r="I34" i="9"/>
  <c r="K34" i="9" s="1"/>
  <c r="M34" i="9" s="1"/>
  <c r="O34" i="9" s="1"/>
  <c r="Q34" i="9" s="1"/>
  <c r="S34" i="9" s="1"/>
  <c r="U34" i="9" s="1"/>
  <c r="W34" i="9" s="1"/>
  <c r="W20" i="9"/>
  <c r="Y20" i="9"/>
  <c r="AB36" i="9"/>
  <c r="AD22" i="9"/>
  <c r="AD20" i="9"/>
  <c r="G65" i="9"/>
  <c r="AD29" i="9"/>
  <c r="AD26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29" i="9"/>
  <c r="W38" i="9" s="1"/>
  <c r="G60" i="9" s="1"/>
  <c r="K37" i="9"/>
  <c r="M37" i="9" s="1"/>
  <c r="O37" i="9" s="1"/>
  <c r="Q37" i="9" s="1"/>
  <c r="S37" i="9" s="1"/>
  <c r="U37" i="9" s="1"/>
  <c r="F51" i="9"/>
  <c r="G61" i="9"/>
  <c r="F50" i="9"/>
  <c r="F49" i="9"/>
  <c r="F48" i="9" s="1"/>
  <c r="F53" i="9" s="1"/>
  <c r="G63" i="9"/>
  <c r="G62" i="9"/>
  <c r="T7" i="9"/>
  <c r="O36" i="9" l="1"/>
  <c r="Q36" i="9" s="1"/>
  <c r="S36" i="9" s="1"/>
  <c r="U36" i="9" s="1"/>
  <c r="W36" i="9" s="1"/>
  <c r="W37" i="9"/>
  <c r="G55" i="9" s="1"/>
  <c r="F55" i="9"/>
  <c r="F58" i="9"/>
  <c r="F56" i="9"/>
  <c r="F57" i="9"/>
  <c r="G58" i="9"/>
  <c r="G57" i="9"/>
  <c r="G56" i="9"/>
  <c r="F6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63" i="9"/>
  <c r="G51" i="9" l="1"/>
  <c r="G50" i="9"/>
  <c r="G48" i="9"/>
  <c r="G49" i="9"/>
  <c r="F60" i="9"/>
  <c r="F66" i="9"/>
  <c r="S7" i="10"/>
  <c r="U7" i="10"/>
  <c r="T7" i="10"/>
  <c r="R7" i="10"/>
  <c r="D39" i="10"/>
  <c r="A39" i="10" s="1"/>
  <c r="A34" i="10"/>
  <c r="D35" i="10"/>
  <c r="A35" i="10" s="1"/>
  <c r="F61" i="9"/>
  <c r="F62" i="9" s="1"/>
  <c r="F67" i="9" l="1"/>
  <c r="F65" i="9"/>
  <c r="I7" i="9"/>
  <c r="K7" i="9" s="1"/>
  <c r="E7" i="9"/>
  <c r="G7" i="9" s="1"/>
  <c r="I6" i="9"/>
  <c r="K6" i="9" s="1"/>
  <c r="E6" i="9"/>
  <c r="G6" i="9" s="1"/>
  <c r="I5" i="9"/>
  <c r="K5" i="9" s="1"/>
  <c r="E5" i="9"/>
  <c r="G5" i="9" s="1"/>
  <c r="I4" i="9"/>
  <c r="K4" i="9" s="1"/>
  <c r="E4" i="9"/>
  <c r="I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I26" i="9" l="1"/>
  <c r="AB29" i="9" s="1"/>
  <c r="G4" i="9"/>
  <c r="G8" i="9" s="1"/>
  <c r="E51" i="9"/>
  <c r="H51" i="9" s="1"/>
  <c r="I51" i="9" s="1"/>
  <c r="K3" i="9"/>
  <c r="U3" i="9" s="1"/>
  <c r="M6" i="9"/>
  <c r="E48" i="9"/>
  <c r="E53" i="9" s="1"/>
  <c r="Q26" i="9"/>
  <c r="U26" i="9"/>
  <c r="AD36" i="9" s="1"/>
  <c r="M5" i="9"/>
  <c r="M26" i="9"/>
  <c r="M3" i="9"/>
  <c r="M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K8" i="9" l="1"/>
  <c r="E50" i="9"/>
  <c r="A50" i="9" s="1"/>
  <c r="AD30" i="9"/>
  <c r="E58" i="9"/>
  <c r="H58" i="9" s="1"/>
  <c r="I58" i="9" s="1"/>
  <c r="A51" i="9"/>
  <c r="W4" i="9"/>
  <c r="X4" i="9"/>
  <c r="AB34" i="9"/>
  <c r="AB31" i="9"/>
  <c r="AD34" i="9"/>
  <c r="AB30" i="9"/>
  <c r="AD31" i="9"/>
  <c r="V6" i="9"/>
  <c r="U4" i="9"/>
  <c r="E55" i="9"/>
  <c r="H48" i="9"/>
  <c r="I48" i="9" s="1"/>
  <c r="W5" i="9"/>
  <c r="V5" i="9"/>
  <c r="E68" i="9"/>
  <c r="E63" i="9"/>
  <c r="V4" i="9"/>
  <c r="X3" i="9"/>
  <c r="W3" i="9"/>
  <c r="V3" i="9"/>
  <c r="U6" i="9"/>
  <c r="U5" i="9"/>
  <c r="X6" i="9"/>
  <c r="W6" i="9"/>
  <c r="X5" i="9"/>
  <c r="E49" i="9"/>
  <c r="H49" i="9" s="1"/>
  <c r="I4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E57" i="9" l="1"/>
  <c r="H57" i="9" s="1"/>
  <c r="I57" i="9" s="1"/>
  <c r="E62" i="9"/>
  <c r="H62" i="9" s="1"/>
  <c r="I62" i="9" s="1"/>
  <c r="H50" i="9"/>
  <c r="I50" i="9" s="1"/>
  <c r="AD38" i="9"/>
  <c r="AB38" i="9"/>
  <c r="U7" i="9"/>
  <c r="E60" i="9"/>
  <c r="H55" i="9"/>
  <c r="I55" i="9" s="1"/>
  <c r="A63" i="9"/>
  <c r="H63" i="9"/>
  <c r="I63" i="9" s="1"/>
  <c r="A68" i="9"/>
  <c r="H68" i="9"/>
  <c r="I68" i="9" s="1"/>
  <c r="E67" i="9"/>
  <c r="A62" i="9"/>
  <c r="W7" i="9"/>
  <c r="A49" i="9"/>
  <c r="E56" i="9"/>
  <c r="H56" i="9" s="1"/>
  <c r="I56" i="9" s="1"/>
  <c r="X7" i="9"/>
  <c r="V7" i="9"/>
  <c r="E66" i="9"/>
  <c r="E61" i="9"/>
  <c r="CL108" i="1"/>
  <c r="CL114" i="1"/>
  <c r="CK99" i="1"/>
  <c r="CK100" i="1" s="1"/>
  <c r="CK101" i="1" s="1"/>
  <c r="CK102" i="1"/>
  <c r="CK103" i="1" s="1"/>
  <c r="CK104" i="1" s="1"/>
  <c r="AF38" i="9" l="1"/>
  <c r="AG38" i="9" s="1"/>
  <c r="AH38" i="9" s="1"/>
  <c r="E65" i="9"/>
  <c r="H65" i="9" s="1"/>
  <c r="I65" i="9" s="1"/>
  <c r="H60" i="9"/>
  <c r="I60" i="9" s="1"/>
  <c r="A61" i="9"/>
  <c r="H61" i="9"/>
  <c r="I61" i="9" s="1"/>
  <c r="A66" i="9"/>
  <c r="H66" i="9"/>
  <c r="I66" i="9" s="1"/>
  <c r="H67" i="9"/>
  <c r="I67" i="9" s="1"/>
  <c r="A67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<sst xmlns="http://schemas.openxmlformats.org/spreadsheetml/2006/main" count="698" uniqueCount="285">
  <si>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</si>
  <si>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</si>
  <si>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</si>
  <si>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</si>
  <si>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</si>
  <si>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</si>
  <si>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</si>
  <si>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</si>
  <si>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</si>
  <si>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</si>
  <si>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</si>
  <si>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</si>
  <si>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</si>
  <si>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</si>
  <si>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</si>
  <si>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</si>
  <si>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</si>
  <si>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</si>
  <si>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</si>
  <si>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</si>
  <si>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</si>
  <si>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</si>
  <si>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</si>
  <si>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</si>
  <si>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</si>
  <si>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</si>
  <si>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</si>
  <si>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</si>
  <si>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</si>
  <si>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</si>
  <si>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</si>
  <si>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</si>
  <si>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</si>
  <si>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</si>
  <si>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</si>
  <si>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</si>
  <si>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</si>
  <si>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</si>
  <si>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</si>
  <si>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</si>
  <si>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</si>
  <si>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</si>
  <si>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</si>
  <si>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</si>
  <si>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</si>
  <si>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</si>
  <si>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</si>
  <si>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</si>
  <si>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</si>
  <si>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</si>
  <si>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</si>
  <si>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</si>
  <si>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</si>
  <si>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</si>
  <si>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</si>
  <si>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</si>
  <si>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</si>
  <si>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</si>
  <si>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</si>
  <si>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</si>
  <si>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</si>
  <si>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</si>
  <si>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</si>
  <si>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</si>
  <si>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</si>
  <si>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</si>
  <si>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</si>
  <si>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</si>
  <si>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</si>
  <si>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</si>
  <si>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</si>
  <si>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</si>
  <si>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</si>
  <si>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</si>
  <si>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</si>
  <si>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</si>
  <si>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</si>
  <si>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</si>
  <si>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</si>
  <si>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</si>
  <si>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</si>
  <si>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</si>
  <si>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</si>
  <si>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</si>
  <si>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</si>
  <si>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</si>
  <si>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</si>
  <si>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</si>
  <si>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</si>
  <si>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</si>
  <si>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</si>
  <si>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</si>
  <si>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</si>
  <si>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</si>
  <si>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</si>
  <si>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</si>
  <si>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</si>
  <si>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</si>
  <si>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</si>
  <si>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</si>
  <si>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</si>
  <si>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</si>
  <si>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</si>
  <si>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</si>
  <si>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</si>
  <si>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</si>
  <si>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</si>
  <si>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</si>
  <si>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</si>
  <si>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</si>
  <si>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</si>
  <si>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</si>
  <si>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</si>
  <si>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</si>
  <si>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</si>
  <si>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</si>
  <si>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</si>
  <si>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</si>
  <si>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</si>
  <si>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</si>
  <si>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</si>
  <si>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</si>
  <si>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</si>
  <si>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</si>
  <si>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</si>
  <si>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</si>
  <si>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</si>
  <si>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</si>
  <si>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</si>
  <si>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</si>
  <si>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</si>
  <si>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</si>
  <si>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</si>
  <si>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</si>
  <si>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</si>
  <si>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</si>
  <si>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</si>
  <si>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</si>
  <si>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</si>
  <si>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</si>
  <si>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</si>
  <si>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</si>
  <si>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</si>
  <si>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</si>
  <si>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</si>
  <si>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</si>
  <si>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</si>
  <si>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</si>
  <si>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</si>
  <si>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</si>
  <si>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</si>
  <si>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</si>
  <si>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</si>
  <si>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</si>
  <si>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</si>
  <si>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</si>
  <si>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</si>
  <si>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</si>
  <si>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</si>
  <si>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</si>
  <si>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</si>
  <si>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</si>
  <si>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</si>
  <si>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</si>
  <si>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</si>
  <si>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</si>
  <si>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</si>
  <si>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</si>
  <si>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</si>
  <si>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</si>
  <si>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</si>
  <si>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</si>
  <si>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</si>
  <si>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</si>
  <si>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</si>
  <si>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</si>
  <si>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</si>
  <si>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</si>
  <si>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</si>
  <si>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</si>
  <si>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</si>
  <si>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</si>
  <si>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</si>
  <si>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</si>
  <si>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</si>
  <si>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</si>
  <si>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</si>
  <si>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</si>
  <si>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</si>
  <si>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</si>
  <si>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</si>
  <si>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</si>
  <si>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</si>
  <si>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</si>
  <si>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</si>
  <si>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</si>
  <si>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</si>
  <si>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</si>
  <si>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</si>
  <si>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</si>
  <si>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</si>
  <si>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</si>
  <si>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</si>
  <si>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</si>
  <si>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</si>
  <si>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</si>
  <si>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</si>
  <si>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</si>
  <si>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</si>
  <si>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</si>
  <si>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</si>
  <si>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</si>
  <si>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</si>
  <si>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</si>
  <si>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</si>
  <si>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</si>
  <si>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</si>
  <si>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</si>
  <si>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</si>
  <si>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</si>
  <si>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</si>
  <si>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</si>
  <si>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</si>
  <si>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</si>
  <si>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</si>
  <si>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</si>
  <si>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</si>
  <si>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</si>
  <si>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</si>
  <si>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</si>
  <si>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</si>
  <si>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</si>
  <si>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</si>
  <si>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</si>
  <si>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</si>
  <si>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</si>
  <si>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</si>
  <si>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</si>
  <si>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</si>
  <si>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</si>
  <si>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</si>
  <si>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</si>
  <si>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</si>
  <si>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</si>
  <si>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</si>
  <si>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</si>
  <si>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</si>
  <si>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</si>
  <si>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</si>
  <si>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</si>
  <si>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</si>
  <si>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</si>
  <si>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</si>
  <si>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</si>
  <si>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</si>
  <si>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</si>
  <si>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</si>
  <si>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</si>
  <si>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</si>
  <si>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</si>
  <si>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</si>
  <si>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</si>
  <si>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</si>
  <si>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</si>
  <si>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</si>
  <si>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</si>
  <si>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</si>
  <si>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</si>
  <si>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</si>
  <si>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absolute days</t>
  </si>
  <si>
    <t>absolute date</t>
  </si>
  <si>
    <t>MHI SHARPE-IVY KONSOLİDE</t>
  </si>
  <si>
    <t>GRAM ALTIN KAR</t>
  </si>
  <si>
    <t>BIST100</t>
  </si>
  <si>
    <t>BIST100 KAR</t>
  </si>
  <si>
    <t>XU100 KAR</t>
  </si>
  <si>
    <t>TRY=X KAR</t>
  </si>
  <si>
    <t>GC=F KAR</t>
  </si>
  <si>
    <t xml:space="preserve">ZFB </t>
  </si>
  <si>
    <t>ZFB KAR</t>
  </si>
  <si>
    <t>GTY</t>
  </si>
  <si>
    <t>GTY KAR</t>
  </si>
  <si>
    <t>MHI SHARPE-ONS KONSOLİDE</t>
  </si>
  <si>
    <t>MHI KONSOLİDE  MDD ONS</t>
  </si>
  <si>
    <t>ZFB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</si>
</sst>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6" fillId="14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2" fontId="6" fillId="0" borderId="1" xfId="0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[1]ON2_MEF_v13_GITHUB!$F$17:$V$17</c15:sqref>
                  </c15:fullRef>
                </c:ext>
              </c:extLst>
              <c:f>([1]ON2_MEF_v13_GITHUB!$F$17:$J$17,[1]ON2_MEF_v13_GITHUB!$L$17,[1]ON2_MEF_v13_GITHUB!$N$17,[1]ON2_MEF_v13_GITHUB!$P$17,[1]ON2_MEF_v13_GITHUB!$R$17,[1]ON2_MEF_v13_GITHUB!$T$17,[1]ON2_MEF_v13_GITHUB!$V$17)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[1]ON2_MEF_v13_GITHUB!$F$25:$V$25</c15:sqref>
                  </c15:fullRef>
                </c:ext>
              </c:extLst>
              <c:f>([1]ON2_MEF_v13_GITHUB!$F$25:$J$25,[1]ON2_MEF_v13_GITHUB!$L$25,[1]ON2_MEF_v13_GITHUB!$N$25,[1]ON2_MEF_v13_GITHUB!$P$25,[1]ON2_MEF_v13_GITHUB!$R$25,[1]ON2_MEF_v13_GITHUB!$T$25,[1]ON2_MEF_v13_GITHUB!$V$25)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685-829B-A9B3874F2BBB}"/>
            </c:ext>
          </c:extLst>
        </c:ser>
        <c:ser>
          <c:idx val="1"/>
          <c:order val="1"/>
          <c:tx>
            <c:strRef>
              <c:f>[1]ON2_MEF_v13_GITHUB!$C$18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[1]ON2_MEF_v13_GITHUB!$F$24:$V$24</c15:sqref>
                  </c15:fullRef>
                </c:ext>
              </c:extLst>
              <c:f>([1]ON2_MEF_v13_GITHUB!$F$24:$J$24,[1]ON2_MEF_v13_GITHUB!$L$24,[1]ON2_MEF_v13_GITHUB!$N$24,[1]ON2_MEF_v13_GITHUB!$P$24,[1]ON2_MEF_v13_GITHUB!$R$24,[1]ON2_MEF_v13_GITHUB!$T$24,[1]ON2_MEF_v13_GITHUB!$V$24)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C-4685-829B-A9B3874F2BBB}"/>
            </c:ext>
          </c:extLst>
        </c:ser>
        <c:ser>
          <c:idx val="2"/>
          <c:order val="2"/>
          <c:tx>
            <c:strRef>
              <c:f>[1]ON2_MEF_v13_GITHUB!$C$26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[1]ON2_MEF_v13_GITHUB!$F$26:$V$26</c15:sqref>
                  </c15:fullRef>
                </c:ext>
              </c:extLst>
              <c:f>([1]ON2_MEF_v13_GITHUB!$F$26:$J$26,[1]ON2_MEF_v13_GITHUB!$L$26,[1]ON2_MEF_v13_GITHUB!$N$26,[1]ON2_MEF_v13_GITHUB!$P$26,[1]ON2_MEF_v13_GITHUB!$R$26,[1]ON2_MEF_v13_GITHUB!$T$26,[1]ON2_MEF_v13_GITHUB!$V$26)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C-4685-829B-A9B3874F2BBB}"/>
            </c:ext>
          </c:extLst>
        </c:ser>
        <c:ser>
          <c:idx val="3"/>
          <c:order val="3"/>
          <c:tx>
            <c:strRef>
              <c:f>[1]ON2_MEF_v13_GITHUB!$C$27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[1]ON2_MEF_v13_GITHUB!$F$27:$V$27</c15:sqref>
                  </c15:fullRef>
                </c:ext>
              </c:extLst>
              <c:f>([1]ON2_MEF_v13_GITHUB!$F$27:$J$27,[1]ON2_MEF_v13_GITHUB!$L$27,[1]ON2_MEF_v13_GITHUB!$N$27,[1]ON2_MEF_v13_GITHUB!$P$27,[1]ON2_MEF_v13_GITHUB!$R$27,[1]ON2_MEF_v13_GITHUB!$T$27,[1]ON2_MEF_v13_GITHUB!$V$27)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C-4685-829B-A9B3874F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[1]ON2!$B$18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[1]ON2!$E$16:$T$16</c15:sqref>
                  </c15:fullRef>
                </c:ext>
              </c:extLst>
              <c:f>([1]ON2!$E$16:$F$16,[1]ON2!$H$16,[1]ON2!$J$16,[1]ON2!$L$16,[1]ON2!$N$16,[1]ON2!$P$16,[1]ON2!$R$16,[1]ON2!$T$16)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[1]ON2!$E$21:$T$21</c15:sqref>
                  </c15:fullRef>
                </c:ext>
              </c:extLst>
              <c:f>([1]ON2!$E$21:$F$21,[1]ON2!$H$21,[1]ON2!$J$21,[1]ON2!$L$21,[1]ON2!$N$21,[1]ON2!$P$21,[1]ON2!$R$21,[1]ON2!$T$21)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F-49B7-90C3-195A52DEFA1D}"/>
            </c:ext>
          </c:extLst>
        </c:ser>
        <c:ser>
          <c:idx val="1"/>
          <c:order val="1"/>
          <c:tx>
            <c:strRef>
              <c:f>[1]ON2!$B$17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[1]ON2!$E$22:$T$22</c15:sqref>
                  </c15:fullRef>
                </c:ext>
              </c:extLst>
              <c:f>([1]ON2!$E$22:$F$22,[1]ON2!$H$22,[1]ON2!$J$22,[1]ON2!$L$22,[1]ON2!$N$22,[1]ON2!$P$22,[1]ON2!$R$22,[1]ON2!$T$22)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F-49B7-90C3-195A52DEFA1D}"/>
            </c:ext>
          </c:extLst>
        </c:ser>
        <c:ser>
          <c:idx val="2"/>
          <c:order val="2"/>
          <c:tx>
            <c:strRef>
              <c:f>[1]ON2!$B$23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[1]ON2!$E$23:$T$23</c15:sqref>
                  </c15:fullRef>
                </c:ext>
              </c:extLst>
              <c:f>([1]ON2!$E$23:$F$23,[1]ON2!$H$23,[1]ON2!$J$23,[1]ON2!$L$23,[1]ON2!$N$23,[1]ON2!$P$23,[1]ON2!$R$23,[1]ON2!$T$23)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F-49B7-90C3-195A52DE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67</xdr:row>
      <xdr:rowOff>52529</xdr:rowOff>
    </xdr:from>
    <xdr:to>
      <xdr:col>39</xdr:col>
      <xdr:colOff>574302</xdr:colOff>
      <xdr:row>90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39</xdr:row>
      <xdr:rowOff>112058</xdr:rowOff>
    </xdr:from>
    <xdr:to>
      <xdr:col>39</xdr:col>
      <xdr:colOff>548131</xdr:colOff>
      <xdr:row>65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39</xdr:row>
      <xdr:rowOff>96440</xdr:rowOff>
    </xdr:from>
    <xdr:to>
      <xdr:col>49</xdr:col>
      <xdr:colOff>40124</xdr:colOff>
      <xdr:row>67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71</xdr:row>
      <xdr:rowOff>190358</xdr:rowOff>
    </xdr:from>
    <xdr:to>
      <xdr:col>49</xdr:col>
      <xdr:colOff>100852</xdr:colOff>
      <xdr:row>95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48</xdr:row>
      <xdr:rowOff>123264</xdr:rowOff>
    </xdr:from>
    <xdr:to>
      <xdr:col>56</xdr:col>
      <xdr:colOff>133184</xdr:colOff>
      <xdr:row>61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1</xdr:col>
      <xdr:colOff>45462</xdr:colOff>
      <xdr:row>1</xdr:row>
      <xdr:rowOff>41130</xdr:rowOff>
    </xdr:from>
    <xdr:to>
      <xdr:col>2</xdr:col>
      <xdr:colOff>923324</xdr:colOff>
      <xdr:row>17</xdr:row>
      <xdr:rowOff>154781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681" y="231630"/>
          <a:ext cx="1866081" cy="3161651"/>
        </a:xfrm>
        <a:prstGeom prst="rect">
          <a:avLst/>
        </a:prstGeom>
      </xdr:spPr>
    </xdr:pic>
    <xdr:clientData/>
  </xdr:twoCellAnchor>
  <xdr:twoCellAnchor editAs="oneCell">
    <xdr:from>
      <xdr:col>20</xdr:col>
      <xdr:colOff>345281</xdr:colOff>
      <xdr:row>42</xdr:row>
      <xdr:rowOff>35719</xdr:rowOff>
    </xdr:from>
    <xdr:to>
      <xdr:col>28</xdr:col>
      <xdr:colOff>986564</xdr:colOff>
      <xdr:row>69</xdr:row>
      <xdr:rowOff>11907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02250" y="7465219"/>
          <a:ext cx="8273189" cy="4357688"/>
        </a:xfrm>
        <a:prstGeom prst="rect">
          <a:avLst/>
        </a:prstGeom>
      </xdr:spPr>
    </xdr:pic>
    <xdr:clientData/>
  </xdr:twoCellAnchor>
  <xdr:twoCellAnchor>
    <xdr:from>
      <xdr:col>9</xdr:col>
      <xdr:colOff>107158</xdr:colOff>
      <xdr:row>70</xdr:row>
      <xdr:rowOff>11906</xdr:rowOff>
    </xdr:from>
    <xdr:to>
      <xdr:col>20</xdr:col>
      <xdr:colOff>190500</xdr:colOff>
      <xdr:row>96</xdr:row>
      <xdr:rowOff>90550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D2AAFD9-3193-43BE-8BB2-AFFA8FC8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71438</xdr:colOff>
      <xdr:row>42</xdr:row>
      <xdr:rowOff>59530</xdr:rowOff>
    </xdr:from>
    <xdr:to>
      <xdr:col>20</xdr:col>
      <xdr:colOff>232522</xdr:colOff>
      <xdr:row>69</xdr:row>
      <xdr:rowOff>23812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10E20EC-E6FE-4B47-9C15-199A814A6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L_FILES\CODING\GitHub\MarkovMarkowitz\XLS-CSV\Analysis_LB20_OF10_v9_20.12.2023.xlsx" TargetMode="External"/><Relationship Id="rId1" Type="http://schemas.openxmlformats.org/officeDocument/2006/relationships/externalLinkPath" Target="Analysis_LB20_OF10_v9_20.12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 STATS"/>
      <sheetName val="ON2_MEF_v13_GITHUB"/>
      <sheetName val="ON2"/>
      <sheetName val="Abdallah ile konuşma"/>
      <sheetName val="AÜF FONU"/>
      <sheetName val="BEST PFS"/>
      <sheetName val="PF ASSETS"/>
      <sheetName val="BENİM PORTFÖYÜM"/>
      <sheetName val="BENİM PORTFÖYÜM 2"/>
      <sheetName val="Sayfa1"/>
    </sheetNames>
    <sheetDataSet>
      <sheetData sheetId="0"/>
      <sheetData sheetId="1">
        <row r="17">
          <cell r="F17">
            <v>44460</v>
          </cell>
          <cell r="G17" t="str">
            <v>I</v>
          </cell>
          <cell r="H17">
            <v>44546</v>
          </cell>
          <cell r="I17" t="str">
            <v>II</v>
          </cell>
          <cell r="J17">
            <v>44616</v>
          </cell>
          <cell r="K17" t="str">
            <v>II</v>
          </cell>
          <cell r="L17">
            <v>44719</v>
          </cell>
          <cell r="M17" t="str">
            <v>III</v>
          </cell>
          <cell r="N17">
            <v>44789</v>
          </cell>
          <cell r="O17" t="str">
            <v>III</v>
          </cell>
          <cell r="P17">
            <v>44922</v>
          </cell>
          <cell r="Q17" t="str">
            <v>IV</v>
          </cell>
          <cell r="R17">
            <v>45055</v>
          </cell>
          <cell r="S17" t="str">
            <v>IV</v>
          </cell>
          <cell r="T17">
            <v>45180</v>
          </cell>
          <cell r="U17" t="str">
            <v>V</v>
          </cell>
          <cell r="V17">
            <v>45286</v>
          </cell>
        </row>
        <row r="18">
          <cell r="C18" t="str">
            <v>MHI KONSOLİDE PORTFÖY SHARPE</v>
          </cell>
        </row>
        <row r="19">
          <cell r="C19" t="str">
            <v>MHI KONSOLİDE PORTFÖY MDD</v>
          </cell>
        </row>
        <row r="24">
          <cell r="F24">
            <v>100000</v>
          </cell>
          <cell r="H24">
            <v>191300</v>
          </cell>
          <cell r="J24">
            <v>191228.46759681229</v>
          </cell>
          <cell r="L24">
            <v>380544.65051765647</v>
          </cell>
          <cell r="N24">
            <v>400283.03376086871</v>
          </cell>
          <cell r="P24">
            <v>880622.67427391128</v>
          </cell>
          <cell r="R24">
            <v>1031251.560706837</v>
          </cell>
          <cell r="T24">
            <v>1614939.9440669066</v>
          </cell>
          <cell r="V24">
            <v>1897300.9532188179</v>
          </cell>
        </row>
        <row r="25">
          <cell r="F25">
            <v>100000</v>
          </cell>
          <cell r="H25">
            <v>171099.99999999997</v>
          </cell>
          <cell r="J25">
            <v>171036.02093996119</v>
          </cell>
          <cell r="L25">
            <v>324284.29570216639</v>
          </cell>
          <cell r="N25">
            <v>341104.52349834598</v>
          </cell>
          <cell r="P25">
            <v>609553.78349154419</v>
          </cell>
          <cell r="R25">
            <v>713816.83543261793</v>
          </cell>
          <cell r="T25">
            <v>1372669.7745369242</v>
          </cell>
          <cell r="V25">
            <v>1612671.5307598261</v>
          </cell>
        </row>
        <row r="26">
          <cell r="C26" t="str">
            <v xml:space="preserve">GR ALTIN </v>
          </cell>
          <cell r="F26">
            <v>100000</v>
          </cell>
          <cell r="H26">
            <v>173783.60815530826</v>
          </cell>
          <cell r="J26">
            <v>173718.62561936479</v>
          </cell>
          <cell r="L26">
            <v>195597.43318983025</v>
          </cell>
          <cell r="N26">
            <v>205742.83161400375</v>
          </cell>
          <cell r="P26">
            <v>220999.5126309804</v>
          </cell>
          <cell r="R26">
            <v>258801.0722118431</v>
          </cell>
          <cell r="T26">
            <v>335297.70124279102</v>
          </cell>
          <cell r="V26">
            <v>393922.17061520019</v>
          </cell>
        </row>
        <row r="27">
          <cell r="C27" t="str">
            <v>USDTRY</v>
          </cell>
          <cell r="F27">
            <v>100000</v>
          </cell>
          <cell r="H27">
            <v>171800</v>
          </cell>
          <cell r="J27">
            <v>160800</v>
          </cell>
          <cell r="L27">
            <v>199600</v>
          </cell>
          <cell r="N27">
            <v>207600</v>
          </cell>
          <cell r="P27">
            <v>216350</v>
          </cell>
          <cell r="R27">
            <v>226450</v>
          </cell>
          <cell r="T27">
            <v>311680</v>
          </cell>
          <cell r="V27">
            <v>340000</v>
          </cell>
        </row>
      </sheetData>
      <sheetData sheetId="2">
        <row r="16">
          <cell r="E16">
            <v>44460</v>
          </cell>
          <cell r="F16">
            <v>44546</v>
          </cell>
          <cell r="H16">
            <v>44616</v>
          </cell>
          <cell r="J16">
            <v>44719</v>
          </cell>
          <cell r="L16">
            <v>44789</v>
          </cell>
          <cell r="N16">
            <v>44922</v>
          </cell>
          <cell r="P16">
            <v>45055</v>
          </cell>
          <cell r="R16">
            <v>45180</v>
          </cell>
          <cell r="T16">
            <v>45286</v>
          </cell>
        </row>
        <row r="17">
          <cell r="B17" t="str">
            <v>MHI KONSOLİDE PORTFÖY SHARPE</v>
          </cell>
        </row>
        <row r="18">
          <cell r="B18" t="str">
            <v>MHI KONSOLİDE PORTFÖY MDD</v>
          </cell>
        </row>
        <row r="21">
          <cell r="E21">
            <v>100000</v>
          </cell>
          <cell r="F21">
            <v>191300</v>
          </cell>
          <cell r="H21">
            <v>191228.46759681229</v>
          </cell>
          <cell r="J21">
            <v>380544.65051765647</v>
          </cell>
          <cell r="L21">
            <v>400283.03376086871</v>
          </cell>
          <cell r="N21">
            <v>880622.67427391128</v>
          </cell>
          <cell r="P21">
            <v>1031251.560706837</v>
          </cell>
          <cell r="R21">
            <v>1614939.9440669066</v>
          </cell>
          <cell r="T21">
            <v>1897300.9532188179</v>
          </cell>
        </row>
        <row r="22">
          <cell r="E22">
            <v>100000</v>
          </cell>
          <cell r="F22">
            <v>171099.99999999997</v>
          </cell>
          <cell r="H22">
            <v>171036.02093996119</v>
          </cell>
          <cell r="J22">
            <v>324284.29570216639</v>
          </cell>
          <cell r="L22">
            <v>341104.52349834598</v>
          </cell>
          <cell r="N22">
            <v>609553.78349154419</v>
          </cell>
          <cell r="P22">
            <v>713816.83543261793</v>
          </cell>
          <cell r="R22">
            <v>1372669.7745369242</v>
          </cell>
          <cell r="T22">
            <v>1612671.5307598261</v>
          </cell>
        </row>
        <row r="23">
          <cell r="B23" t="str">
            <v xml:space="preserve">GR ALTIN </v>
          </cell>
          <cell r="E23">
            <v>100000</v>
          </cell>
          <cell r="F23">
            <v>173783.60815530826</v>
          </cell>
          <cell r="H23">
            <v>173718.62561936479</v>
          </cell>
          <cell r="J23">
            <v>195597.43318983025</v>
          </cell>
          <cell r="L23">
            <v>205742.83161400375</v>
          </cell>
          <cell r="N23">
            <v>220999.5126309804</v>
          </cell>
          <cell r="P23">
            <v>258801.0722118431</v>
          </cell>
          <cell r="R23">
            <v>335297.70124279102</v>
          </cell>
          <cell r="T23">
            <v>393922.17061520019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0" t="s">
        <v>178</v>
      </c>
      <c r="BU53" s="72"/>
      <c r="CD53" s="73"/>
    </row>
    <row r="54" spans="1:115" ht="23.45" customHeight="1" x14ac:dyDescent="0.3">
      <c r="C54" s="251"/>
      <c r="R54" s="71"/>
      <c r="BL54" s="251"/>
      <c r="BU54" s="72"/>
      <c r="CD54" s="73"/>
    </row>
    <row r="55" spans="1:115" ht="23.45" customHeight="1" x14ac:dyDescent="0.3">
      <c r="C55" s="251"/>
      <c r="R55" s="71"/>
      <c r="BL55" s="251"/>
      <c r="BU55" s="72"/>
      <c r="CD55" s="73"/>
    </row>
    <row r="56" spans="1:115" ht="24" customHeight="1" thickBot="1" x14ac:dyDescent="0.35">
      <c r="C56" s="252"/>
      <c r="R56" s="71"/>
      <c r="BL56" s="25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H68"/>
  <sheetViews>
    <sheetView tabSelected="1" topLeftCell="C1" zoomScale="80" zoomScaleNormal="80" workbookViewId="0">
      <selection activeCell="L25" sqref="L25"/>
    </sheetView>
  </sheetViews>
  <sheetFormatPr defaultRowHeight="15" x14ac:dyDescent="0.25"/>
  <cols>
    <col min="1" max="3" width="14.85546875" style="192" customWidth="1"/>
    <col min="4" max="4" width="35.5703125" style="195" bestFit="1" customWidth="1"/>
    <col min="5" max="5" width="13.140625" style="195" bestFit="1" customWidth="1"/>
    <col min="6" max="6" width="11.140625" style="195" bestFit="1" customWidth="1"/>
    <col min="7" max="7" width="12.28515625" style="195" bestFit="1" customWidth="1"/>
    <col min="8" max="8" width="10.28515625" style="195" bestFit="1" customWidth="1"/>
    <col min="9" max="9" width="16.140625" style="195" customWidth="1"/>
    <col min="10" max="10" width="10.7109375" style="195" bestFit="1" customWidth="1"/>
    <col min="11" max="11" width="12.28515625" style="195" bestFit="1" customWidth="1"/>
    <col min="12" max="12" width="9.28515625" style="195" bestFit="1" customWidth="1"/>
    <col min="13" max="13" width="12.28515625" style="195" bestFit="1" customWidth="1"/>
    <col min="14" max="14" width="9.85546875" style="195" bestFit="1" customWidth="1"/>
    <col min="15" max="15" width="12.28515625" style="197" bestFit="1" customWidth="1"/>
    <col min="16" max="16" width="10.7109375" style="197" bestFit="1" customWidth="1"/>
    <col min="17" max="17" width="12.28515625" style="197" bestFit="1" customWidth="1"/>
    <col min="18" max="18" width="8.85546875" style="197" bestFit="1" customWidth="1"/>
    <col min="19" max="19" width="13.85546875" style="197" bestFit="1" customWidth="1"/>
    <col min="20" max="20" width="9.140625" style="197"/>
    <col min="21" max="21" width="15.42578125" style="192" customWidth="1"/>
    <col min="22" max="22" width="9.140625" style="195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2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16384" width="9.140625" style="192"/>
  </cols>
  <sheetData>
    <row r="2" spans="1:30" s="189" customFormat="1" x14ac:dyDescent="0.25">
      <c r="D2" s="190" t="s">
        <v>221</v>
      </c>
      <c r="E2" s="253" t="s">
        <v>204</v>
      </c>
      <c r="F2" s="255"/>
      <c r="G2" s="191" t="s">
        <v>217</v>
      </c>
      <c r="H2" s="190"/>
      <c r="I2" s="253" t="s">
        <v>205</v>
      </c>
      <c r="J2" s="255"/>
      <c r="K2" s="191" t="s">
        <v>216</v>
      </c>
      <c r="L2" s="190"/>
      <c r="M2" s="191" t="s">
        <v>20</v>
      </c>
      <c r="N2" s="190" t="s">
        <v>215</v>
      </c>
      <c r="O2" s="202" t="s">
        <v>211</v>
      </c>
      <c r="P2" s="203" t="s">
        <v>212</v>
      </c>
      <c r="Q2" s="202" t="s">
        <v>210</v>
      </c>
      <c r="R2" s="203" t="s">
        <v>213</v>
      </c>
      <c r="S2" s="203" t="s">
        <v>214</v>
      </c>
      <c r="T2" s="196" t="s">
        <v>218</v>
      </c>
      <c r="U2" s="253" t="s">
        <v>220</v>
      </c>
      <c r="V2" s="254"/>
      <c r="W2" s="254"/>
      <c r="X2" s="255"/>
      <c r="AA2" s="196"/>
      <c r="AB2" s="190"/>
      <c r="AC2" s="196"/>
      <c r="AD2" s="190"/>
    </row>
    <row r="3" spans="1:30" x14ac:dyDescent="0.25">
      <c r="D3" s="195" t="s">
        <v>209</v>
      </c>
      <c r="E3" s="263">
        <v>44334</v>
      </c>
      <c r="F3" s="263">
        <v>44460</v>
      </c>
      <c r="G3" s="194">
        <f>F3-E3</f>
        <v>126</v>
      </c>
      <c r="H3" s="195" t="s">
        <v>202</v>
      </c>
      <c r="I3" s="263">
        <f>F3</f>
        <v>44460</v>
      </c>
      <c r="J3" s="263">
        <v>44546</v>
      </c>
      <c r="K3" s="194">
        <f>J3-I3</f>
        <v>86</v>
      </c>
      <c r="L3" s="195" t="s">
        <v>202</v>
      </c>
      <c r="M3" s="194">
        <f>N3-I3</f>
        <v>834</v>
      </c>
      <c r="N3" s="193">
        <v>45294</v>
      </c>
      <c r="O3" s="204">
        <v>0.91300000000000003</v>
      </c>
      <c r="P3" s="205">
        <v>0.75800000000000001</v>
      </c>
      <c r="Q3" s="204">
        <v>0.71099999999999997</v>
      </c>
      <c r="R3" s="205">
        <v>0.83899999999999997</v>
      </c>
      <c r="S3" s="205">
        <v>0.63100000000000001</v>
      </c>
      <c r="T3" s="198">
        <f>AVERAGE(O3:R3)</f>
        <v>0.80525000000000002</v>
      </c>
      <c r="U3" s="200">
        <f>O3/$K$3</f>
        <v>1.0616279069767443E-2</v>
      </c>
      <c r="V3" s="229">
        <f t="shared" ref="V3:X6" si="0">P3/$K$3</f>
        <v>8.8139534883720939E-3</v>
      </c>
      <c r="W3" s="200">
        <f t="shared" si="0"/>
        <v>8.2674418604651162E-3</v>
      </c>
      <c r="X3" s="200">
        <f t="shared" si="0"/>
        <v>9.7558139534883719E-3</v>
      </c>
    </row>
    <row r="4" spans="1:30" x14ac:dyDescent="0.25">
      <c r="D4" s="195" t="s">
        <v>207</v>
      </c>
      <c r="E4" s="263">
        <f>J3</f>
        <v>44546</v>
      </c>
      <c r="F4" s="263">
        <v>44616</v>
      </c>
      <c r="G4" s="194">
        <f t="shared" ref="G4:G7" si="1">F4-E4</f>
        <v>70</v>
      </c>
      <c r="H4" s="195" t="s">
        <v>202</v>
      </c>
      <c r="I4" s="263">
        <f>F4</f>
        <v>44616</v>
      </c>
      <c r="J4" s="263">
        <v>44719</v>
      </c>
      <c r="K4" s="194">
        <f t="shared" ref="K4:K7" si="2">J4-I4</f>
        <v>103</v>
      </c>
      <c r="L4" s="195" t="s">
        <v>202</v>
      </c>
      <c r="M4" s="194">
        <f>N4-I4</f>
        <v>678</v>
      </c>
      <c r="N4" s="193">
        <v>45294</v>
      </c>
      <c r="O4" s="206">
        <v>0.99</v>
      </c>
      <c r="P4" s="207">
        <v>0.52500000000000002</v>
      </c>
      <c r="Q4" s="208">
        <v>0.89600000000000002</v>
      </c>
      <c r="R4" s="207">
        <v>0.1593</v>
      </c>
      <c r="S4" s="207">
        <v>0.51700000000000002</v>
      </c>
      <c r="T4" s="198">
        <f>AVERAGE(O4:R4)</f>
        <v>0.64257500000000001</v>
      </c>
      <c r="U4" s="200">
        <f t="shared" ref="U4:U6" si="3">O4/$K$3</f>
        <v>1.1511627906976744E-2</v>
      </c>
      <c r="V4" s="229">
        <f t="shared" si="0"/>
        <v>6.1046511627906976E-3</v>
      </c>
      <c r="W4" s="200">
        <f t="shared" si="0"/>
        <v>1.041860465116279E-2</v>
      </c>
      <c r="X4" s="200">
        <f t="shared" si="0"/>
        <v>1.8523255813953489E-3</v>
      </c>
    </row>
    <row r="5" spans="1:30" x14ac:dyDescent="0.25">
      <c r="D5" s="195" t="s">
        <v>208</v>
      </c>
      <c r="E5" s="263">
        <f>J4</f>
        <v>44719</v>
      </c>
      <c r="F5" s="263">
        <v>44789</v>
      </c>
      <c r="G5" s="194">
        <f t="shared" si="1"/>
        <v>70</v>
      </c>
      <c r="H5" s="195" t="s">
        <v>202</v>
      </c>
      <c r="I5" s="263">
        <f>F5</f>
        <v>44789</v>
      </c>
      <c r="J5" s="263">
        <v>44922</v>
      </c>
      <c r="K5" s="194">
        <f t="shared" si="2"/>
        <v>133</v>
      </c>
      <c r="L5" s="195" t="s">
        <v>202</v>
      </c>
      <c r="M5" s="194">
        <f>N5-I5</f>
        <v>505</v>
      </c>
      <c r="N5" s="193">
        <v>45294</v>
      </c>
      <c r="O5" s="209">
        <v>1.2</v>
      </c>
      <c r="P5" s="210">
        <v>0.97399999999999998</v>
      </c>
      <c r="Q5" s="209">
        <v>0.78700000000000003</v>
      </c>
      <c r="R5" s="210">
        <v>0.73699999999999999</v>
      </c>
      <c r="S5" s="210">
        <v>0.95499999999999996</v>
      </c>
      <c r="T5" s="198">
        <f>AVERAGE(O5:R5)</f>
        <v>0.92449999999999999</v>
      </c>
      <c r="U5" s="200">
        <f t="shared" si="3"/>
        <v>1.3953488372093023E-2</v>
      </c>
      <c r="V5" s="229">
        <f t="shared" si="0"/>
        <v>1.1325581395348836E-2</v>
      </c>
      <c r="W5" s="200">
        <f t="shared" si="0"/>
        <v>9.1511627906976749E-3</v>
      </c>
      <c r="X5" s="200">
        <f t="shared" si="0"/>
        <v>8.5697674418604656E-3</v>
      </c>
      <c r="AA5" s="197" t="s">
        <v>268</v>
      </c>
      <c r="AC5" s="197" t="s">
        <v>267</v>
      </c>
    </row>
    <row r="6" spans="1:30" x14ac:dyDescent="0.25">
      <c r="D6" s="195" t="s">
        <v>206</v>
      </c>
      <c r="E6" s="263">
        <f>J5</f>
        <v>44922</v>
      </c>
      <c r="F6" s="263">
        <v>45055</v>
      </c>
      <c r="G6" s="194">
        <f t="shared" si="1"/>
        <v>133</v>
      </c>
      <c r="H6" s="195" t="s">
        <v>202</v>
      </c>
      <c r="I6" s="263">
        <f>F6</f>
        <v>45055</v>
      </c>
      <c r="J6" s="263">
        <v>45180</v>
      </c>
      <c r="K6" s="194">
        <f t="shared" si="2"/>
        <v>125</v>
      </c>
      <c r="L6" s="195" t="s">
        <v>202</v>
      </c>
      <c r="M6" s="194">
        <f>N6-I6</f>
        <v>239</v>
      </c>
      <c r="N6" s="193">
        <v>45294</v>
      </c>
      <c r="O6" s="211">
        <v>0.56599999999999995</v>
      </c>
      <c r="P6" s="212">
        <v>0.80400000000000005</v>
      </c>
      <c r="Q6" s="209">
        <v>0.92300000000000004</v>
      </c>
      <c r="R6" s="212">
        <v>0.65600000000000003</v>
      </c>
      <c r="S6" s="212">
        <v>0.64300000000000002</v>
      </c>
      <c r="T6" s="198">
        <f>AVERAGE(O6:R6)</f>
        <v>0.73725000000000007</v>
      </c>
      <c r="U6" s="200">
        <f t="shared" si="3"/>
        <v>6.5813953488372086E-3</v>
      </c>
      <c r="V6" s="229">
        <f t="shared" si="0"/>
        <v>9.3488372093023259E-3</v>
      </c>
      <c r="W6" s="200">
        <f t="shared" si="0"/>
        <v>1.0732558139534885E-2</v>
      </c>
      <c r="X6" s="200">
        <f t="shared" si="0"/>
        <v>7.6279069767441867E-3</v>
      </c>
    </row>
    <row r="7" spans="1:30" x14ac:dyDescent="0.25">
      <c r="D7" s="195" t="s">
        <v>256</v>
      </c>
      <c r="E7" s="263">
        <f>J6</f>
        <v>45180</v>
      </c>
      <c r="F7" s="263">
        <v>45286</v>
      </c>
      <c r="G7" s="194">
        <f t="shared" si="1"/>
        <v>106</v>
      </c>
      <c r="H7" s="195" t="s">
        <v>202</v>
      </c>
      <c r="I7" s="263">
        <f>F7</f>
        <v>45286</v>
      </c>
      <c r="J7" s="263">
        <v>45346</v>
      </c>
      <c r="K7" s="194">
        <f t="shared" si="2"/>
        <v>60</v>
      </c>
      <c r="N7" s="193" t="s">
        <v>219</v>
      </c>
      <c r="O7" s="208">
        <f>AVERAGE(O3:O6)</f>
        <v>0.9172499999999999</v>
      </c>
      <c r="P7" s="207">
        <f t="shared" ref="P7:T7" si="4">AVERAGE(P3:P6)</f>
        <v>0.76524999999999999</v>
      </c>
      <c r="Q7" s="208">
        <f t="shared" si="4"/>
        <v>0.82925000000000004</v>
      </c>
      <c r="R7" s="207">
        <f t="shared" si="4"/>
        <v>0.59782500000000005</v>
      </c>
      <c r="S7" s="207">
        <f t="shared" si="4"/>
        <v>0.68650000000000011</v>
      </c>
      <c r="T7" s="199">
        <f t="shared" si="4"/>
        <v>0.77739374999999999</v>
      </c>
      <c r="U7" s="201">
        <f>AVERAGE(U3:U6)</f>
        <v>1.0665697674418604E-2</v>
      </c>
      <c r="V7" s="227">
        <f t="shared" ref="V7:X7" si="5">AVERAGE(V3:V6)</f>
        <v>8.8982558139534887E-3</v>
      </c>
      <c r="W7" s="201">
        <f t="shared" si="5"/>
        <v>9.6424418604651157E-3</v>
      </c>
      <c r="X7" s="201">
        <f t="shared" si="5"/>
        <v>6.9514534883720934E-3</v>
      </c>
    </row>
    <row r="8" spans="1:30" x14ac:dyDescent="0.25">
      <c r="F8" s="190" t="s">
        <v>203</v>
      </c>
      <c r="G8" s="190">
        <f>AVERAGE(G3:G7)</f>
        <v>101</v>
      </c>
      <c r="H8" s="195" t="s">
        <v>202</v>
      </c>
      <c r="K8" s="190">
        <f>AVERAGE(K3:K7)</f>
        <v>101.4</v>
      </c>
      <c r="L8" s="195" t="s">
        <v>202</v>
      </c>
    </row>
    <row r="9" spans="1:30" x14ac:dyDescent="0.25">
      <c r="G9" s="264" t="s">
        <v>209</v>
      </c>
      <c r="H9" s="265"/>
      <c r="I9" s="266"/>
      <c r="K9" s="264" t="s">
        <v>207</v>
      </c>
      <c r="L9" s="265"/>
      <c r="M9" s="266"/>
      <c r="O9" s="264" t="s">
        <v>208</v>
      </c>
      <c r="P9" s="265"/>
      <c r="Q9" s="266"/>
      <c r="S9" s="264" t="s">
        <v>206</v>
      </c>
      <c r="T9" s="265"/>
      <c r="U9" s="266"/>
      <c r="W9" s="264" t="s">
        <v>256</v>
      </c>
      <c r="X9" s="265"/>
      <c r="Y9" s="266"/>
    </row>
    <row r="10" spans="1:30" x14ac:dyDescent="0.25">
      <c r="E10" s="256" t="s">
        <v>209</v>
      </c>
      <c r="F10" s="257"/>
      <c r="G10" s="258"/>
      <c r="I10" s="256" t="s">
        <v>207</v>
      </c>
      <c r="J10" s="257"/>
      <c r="K10" s="258"/>
      <c r="M10" s="256" t="s">
        <v>208</v>
      </c>
      <c r="N10" s="257"/>
      <c r="O10" s="258"/>
      <c r="Q10" s="259" t="s">
        <v>206</v>
      </c>
      <c r="R10" s="260"/>
      <c r="S10" s="261"/>
      <c r="U10" s="256" t="s">
        <v>256</v>
      </c>
      <c r="V10" s="257"/>
      <c r="W10" s="258"/>
    </row>
    <row r="11" spans="1:30" x14ac:dyDescent="0.25">
      <c r="A11" s="197"/>
      <c r="B11" s="197"/>
      <c r="C11" s="197"/>
      <c r="D11" s="271" t="s">
        <v>121</v>
      </c>
      <c r="E11" s="267" t="s">
        <v>236</v>
      </c>
      <c r="F11" s="267"/>
      <c r="G11" s="267" t="s">
        <v>226</v>
      </c>
      <c r="H11" s="267"/>
      <c r="I11" s="267" t="s">
        <v>225</v>
      </c>
      <c r="J11" s="267"/>
      <c r="K11" s="267" t="s">
        <v>224</v>
      </c>
      <c r="L11" s="267"/>
      <c r="M11" s="267" t="s">
        <v>223</v>
      </c>
      <c r="N11" s="267"/>
      <c r="O11" s="267" t="s">
        <v>222</v>
      </c>
      <c r="P11" s="267"/>
      <c r="Q11" s="267">
        <v>1814.8</v>
      </c>
      <c r="R11" s="267"/>
      <c r="S11" s="267">
        <v>2030.5</v>
      </c>
      <c r="T11" s="267"/>
      <c r="U11" s="267">
        <v>1911.3</v>
      </c>
      <c r="V11" s="267"/>
      <c r="W11" s="267">
        <v>2058.1999999999998</v>
      </c>
      <c r="X11" s="225"/>
      <c r="Y11" s="225">
        <v>2045.8</v>
      </c>
    </row>
    <row r="12" spans="1:30" x14ac:dyDescent="0.25">
      <c r="A12" s="197"/>
      <c r="B12" s="197"/>
      <c r="C12" s="197"/>
      <c r="D12" s="271" t="s">
        <v>277</v>
      </c>
      <c r="E12" s="267"/>
      <c r="F12" s="267"/>
      <c r="G12" s="268">
        <f>1776.7/1805.6-1</f>
        <v>-1.6005759858218838E-2</v>
      </c>
      <c r="H12" s="267"/>
      <c r="I12" s="268">
        <f>1796.6/1776.7-1</f>
        <v>1.1200540327573449E-2</v>
      </c>
      <c r="J12" s="267"/>
      <c r="K12" s="268">
        <f>1925.1/1796.6-1</f>
        <v>7.1523989758432549E-2</v>
      </c>
      <c r="L12" s="268"/>
      <c r="M12" s="268">
        <f>1740.6/1925.1-1</f>
        <v>-9.5839177185600755E-2</v>
      </c>
      <c r="N12" s="268"/>
      <c r="O12" s="268">
        <f>1760.3/1740.6-1</f>
        <v>1.1317936343789414E-2</v>
      </c>
      <c r="P12" s="268"/>
      <c r="Q12" s="268">
        <f>1814.8/1760.3-1</f>
        <v>3.0960631710503783E-2</v>
      </c>
      <c r="R12" s="268"/>
      <c r="S12" s="268">
        <f>2030.5/1814-1</f>
        <v>0.11934950385887544</v>
      </c>
      <c r="T12" s="268"/>
      <c r="U12" s="268">
        <f>1911.3/2030.5-1</f>
        <v>-5.8704752524008863E-2</v>
      </c>
      <c r="V12" s="268"/>
      <c r="W12" s="268">
        <f>2058.2/1911.3-1</f>
        <v>7.6858682572071402E-2</v>
      </c>
      <c r="X12" s="268"/>
      <c r="Y12" s="268">
        <f>2045.8/2058-1</f>
        <v>-5.9280855199222993E-3</v>
      </c>
    </row>
    <row r="13" spans="1:30" x14ac:dyDescent="0.25">
      <c r="A13" s="197"/>
      <c r="B13" s="197"/>
      <c r="C13" s="197"/>
      <c r="D13" s="248" t="s">
        <v>137</v>
      </c>
      <c r="E13" s="267" t="s">
        <v>235</v>
      </c>
      <c r="F13" s="267"/>
      <c r="G13" s="267" t="s">
        <v>234</v>
      </c>
      <c r="H13" s="267"/>
      <c r="I13" s="267" t="s">
        <v>233</v>
      </c>
      <c r="J13" s="267"/>
      <c r="K13" s="267" t="s">
        <v>232</v>
      </c>
      <c r="L13" s="267"/>
      <c r="M13" s="267" t="s">
        <v>231</v>
      </c>
      <c r="N13" s="267"/>
      <c r="O13" s="267" t="s">
        <v>230</v>
      </c>
      <c r="P13" s="267"/>
      <c r="Q13" s="267" t="s">
        <v>229</v>
      </c>
      <c r="R13" s="267"/>
      <c r="S13" s="267" t="s">
        <v>228</v>
      </c>
      <c r="T13" s="267"/>
      <c r="U13" s="267" t="s">
        <v>227</v>
      </c>
      <c r="V13" s="267"/>
      <c r="W13" s="267">
        <v>29.311399999999999</v>
      </c>
      <c r="X13" s="225"/>
      <c r="Y13" s="225">
        <v>31.041499999999999</v>
      </c>
      <c r="AA13" s="197" t="s">
        <v>270</v>
      </c>
      <c r="AC13" s="197" t="s">
        <v>267</v>
      </c>
      <c r="AD13" s="197" t="s">
        <v>269</v>
      </c>
    </row>
    <row r="14" spans="1:30" x14ac:dyDescent="0.25">
      <c r="A14" s="197"/>
      <c r="B14" s="197"/>
      <c r="C14" s="197"/>
      <c r="D14" s="248" t="s">
        <v>276</v>
      </c>
      <c r="E14" s="267"/>
      <c r="F14" s="267"/>
      <c r="G14" s="268">
        <f>8.62/8.42-1</f>
        <v>2.375296912114E-2</v>
      </c>
      <c r="H14" s="267"/>
      <c r="I14" s="224">
        <f>14.81/8.62-1</f>
        <v>0.71809744779582396</v>
      </c>
      <c r="J14" s="214"/>
      <c r="K14" s="224">
        <f>13.8205/14.8141-1</f>
        <v>-6.7071236187146055E-2</v>
      </c>
      <c r="L14" s="214"/>
      <c r="M14" s="224">
        <f>17.21/13.82-1</f>
        <v>0.24529667149059331</v>
      </c>
      <c r="N14" s="214"/>
      <c r="O14" s="224">
        <f>17.9063/17.2125-1</f>
        <v>4.0307915758896362E-2</v>
      </c>
      <c r="P14" s="214"/>
      <c r="Q14" s="224">
        <f>18.65/17.9-1</f>
        <v>4.1899441340782051E-2</v>
      </c>
      <c r="R14" s="214"/>
      <c r="S14" s="224">
        <f>19.52/18.65-1</f>
        <v>4.6648793565683633E-2</v>
      </c>
      <c r="T14" s="214"/>
      <c r="U14" s="224">
        <f>26.87/19.52-1</f>
        <v>0.37653688524590168</v>
      </c>
      <c r="V14" s="230"/>
      <c r="W14" s="224">
        <f>29.31/26.86-1</f>
        <v>9.1213700670141451E-2</v>
      </c>
      <c r="X14" s="225"/>
      <c r="Y14" s="224">
        <f>31.041/29.31-1</f>
        <v>5.905834186284542E-2</v>
      </c>
      <c r="AD14" s="197"/>
    </row>
    <row r="15" spans="1:30" x14ac:dyDescent="0.25">
      <c r="A15" s="197"/>
      <c r="B15" s="197"/>
      <c r="C15" s="197"/>
      <c r="D15" s="269" t="s">
        <v>273</v>
      </c>
      <c r="E15" s="267">
        <v>1459.6</v>
      </c>
      <c r="F15" s="267"/>
      <c r="G15" s="267">
        <v>1385.6</v>
      </c>
      <c r="H15" s="267"/>
      <c r="I15" s="267">
        <v>2278.6</v>
      </c>
      <c r="J15" s="267"/>
      <c r="K15" s="267">
        <v>1851.4</v>
      </c>
      <c r="L15" s="267"/>
      <c r="M15" s="267">
        <v>2648.2</v>
      </c>
      <c r="N15" s="267"/>
      <c r="O15" s="267">
        <v>2913.3</v>
      </c>
      <c r="P15" s="267"/>
      <c r="Q15" s="267">
        <v>5434.5</v>
      </c>
      <c r="R15" s="267"/>
      <c r="S15" s="267">
        <v>4536.2</v>
      </c>
      <c r="T15" s="267"/>
      <c r="U15" s="267">
        <v>8146</v>
      </c>
      <c r="V15" s="267"/>
      <c r="W15" s="267">
        <v>7299</v>
      </c>
      <c r="X15" s="225"/>
      <c r="Y15" s="225">
        <v>9274.2000000000007</v>
      </c>
      <c r="AD15" s="197"/>
    </row>
    <row r="16" spans="1:30" x14ac:dyDescent="0.25">
      <c r="A16" s="197"/>
      <c r="B16" s="197"/>
      <c r="C16" s="197"/>
      <c r="D16" s="269" t="s">
        <v>274</v>
      </c>
      <c r="E16" s="267"/>
      <c r="F16" s="267"/>
      <c r="G16" s="268">
        <f>G15/E15-1</f>
        <v>-5.0698821594957533E-2</v>
      </c>
      <c r="H16" s="267"/>
      <c r="I16" s="268">
        <f>I15/G15-1</f>
        <v>0.64448614318706698</v>
      </c>
      <c r="J16" s="267"/>
      <c r="K16" s="268">
        <f>K15/I15-1</f>
        <v>-0.18748354252611243</v>
      </c>
      <c r="L16" s="267"/>
      <c r="M16" s="268">
        <f>M15/K15-1</f>
        <v>0.4303770119909256</v>
      </c>
      <c r="N16" s="267"/>
      <c r="O16" s="268">
        <f>O15/M15-1</f>
        <v>0.10010573219545371</v>
      </c>
      <c r="P16" s="267"/>
      <c r="Q16" s="268">
        <f>Q15/O15-1</f>
        <v>0.86541035938626298</v>
      </c>
      <c r="R16" s="267"/>
      <c r="S16" s="268">
        <f>S15/Q15-1</f>
        <v>-0.16529579538135986</v>
      </c>
      <c r="T16" s="267"/>
      <c r="U16" s="268">
        <f>U15/S15-1</f>
        <v>0.79577620034390018</v>
      </c>
      <c r="V16" s="267"/>
      <c r="W16" s="268">
        <f>W15/U15-1</f>
        <v>-0.10397741222685986</v>
      </c>
      <c r="X16" s="225"/>
      <c r="Y16" s="268">
        <f>Y15/W15-1</f>
        <v>0.27061241265926839</v>
      </c>
      <c r="AD16" s="197"/>
    </row>
    <row r="17" spans="1:30" x14ac:dyDescent="0.25">
      <c r="A17" s="197"/>
      <c r="B17" s="197"/>
      <c r="C17" s="197"/>
      <c r="D17" s="270" t="s">
        <v>139</v>
      </c>
      <c r="E17" s="267">
        <f>1459.6/8.42</f>
        <v>173.34916864608076</v>
      </c>
      <c r="F17" s="267"/>
      <c r="G17" s="267">
        <f>1386.6/8.62</f>
        <v>160.85846867749422</v>
      </c>
      <c r="H17" s="267"/>
      <c r="I17" s="267">
        <f>2278.6/14.81</f>
        <v>153.85550303848748</v>
      </c>
      <c r="J17" s="267"/>
      <c r="K17" s="267">
        <f>1851.4/13.82</f>
        <v>133.96526772793055</v>
      </c>
      <c r="L17" s="267"/>
      <c r="M17" s="267">
        <f>2648.2/17.21</f>
        <v>153.87565368971525</v>
      </c>
      <c r="N17" s="267"/>
      <c r="O17" s="267">
        <f>2913.3/17.9063</f>
        <v>162.69692789688546</v>
      </c>
      <c r="P17" s="267"/>
      <c r="Q17" s="267">
        <f>5434.5/18.65</f>
        <v>291.39410187667562</v>
      </c>
      <c r="R17" s="267"/>
      <c r="S17" s="267">
        <f>4536.2/19.52</f>
        <v>232.38729508196721</v>
      </c>
      <c r="T17" s="267"/>
      <c r="U17" s="267">
        <f>8146/26.87</f>
        <v>303.16337923334572</v>
      </c>
      <c r="V17" s="267"/>
      <c r="W17" s="267">
        <f>7299/29.31</f>
        <v>249.0276356192426</v>
      </c>
      <c r="X17" s="267"/>
      <c r="Y17" s="267">
        <f>Y15/Y13</f>
        <v>298.76777861894561</v>
      </c>
      <c r="AD17" s="197"/>
    </row>
    <row r="18" spans="1:30" x14ac:dyDescent="0.25">
      <c r="A18" s="197"/>
      <c r="B18" s="197"/>
      <c r="C18" s="197"/>
      <c r="D18" s="270" t="s">
        <v>275</v>
      </c>
      <c r="E18" s="267"/>
      <c r="F18" s="267"/>
      <c r="G18" s="268">
        <f>G17/E17-1</f>
        <v>-7.2055147804534592E-2</v>
      </c>
      <c r="H18" s="267"/>
      <c r="I18" s="268">
        <f>I17/G17-1</f>
        <v>-4.3534951542072764E-2</v>
      </c>
      <c r="J18" s="267"/>
      <c r="K18" s="268">
        <f>K17/I17-1</f>
        <v>-0.12927867328594234</v>
      </c>
      <c r="L18" s="267"/>
      <c r="M18" s="268">
        <f>M17/K17-1</f>
        <v>0.14862349248777385</v>
      </c>
      <c r="N18" s="267"/>
      <c r="O18" s="268">
        <f>O17/M17-1</f>
        <v>5.7327289897061817E-2</v>
      </c>
      <c r="P18" s="267"/>
      <c r="Q18" s="268">
        <f>Q17/O17-1</f>
        <v>0.79102399561813641</v>
      </c>
      <c r="R18" s="267"/>
      <c r="S18" s="268">
        <f>S17/Q17-1</f>
        <v>-0.20249828810770298</v>
      </c>
      <c r="T18" s="267"/>
      <c r="U18" s="268">
        <f>U17/S17-1</f>
        <v>0.30456090177569517</v>
      </c>
      <c r="V18" s="267"/>
      <c r="W18" s="268">
        <f>W17/U17-1</f>
        <v>-0.17856953485280513</v>
      </c>
      <c r="X18" s="225"/>
      <c r="Y18" s="268">
        <f>Y17/W17-1</f>
        <v>0.19973744229638246</v>
      </c>
      <c r="AD18" s="197"/>
    </row>
    <row r="19" spans="1:30" x14ac:dyDescent="0.25">
      <c r="D19" s="271" t="s">
        <v>237</v>
      </c>
      <c r="E19" s="267">
        <v>489.22</v>
      </c>
      <c r="F19" s="221"/>
      <c r="G19" s="221">
        <v>492.44</v>
      </c>
      <c r="H19" s="221"/>
      <c r="I19" s="221">
        <v>855.78</v>
      </c>
      <c r="J19" s="221"/>
      <c r="K19" s="221">
        <v>855.46</v>
      </c>
      <c r="L19" s="221"/>
      <c r="M19" s="221">
        <v>963.2</v>
      </c>
      <c r="N19" s="221"/>
      <c r="O19" s="221">
        <v>1013.16</v>
      </c>
      <c r="P19" s="221"/>
      <c r="Q19" s="221">
        <v>1088.29</v>
      </c>
      <c r="R19" s="221"/>
      <c r="S19" s="221">
        <v>1274.44</v>
      </c>
      <c r="T19" s="221"/>
      <c r="U19" s="221">
        <v>1651.14</v>
      </c>
      <c r="V19" s="225"/>
      <c r="W19" s="221">
        <f>W13*W11/31.1</f>
        <v>1939.8303369774917</v>
      </c>
      <c r="X19" s="225"/>
      <c r="Y19" s="225">
        <v>2032</v>
      </c>
      <c r="AA19" s="228">
        <v>45286</v>
      </c>
      <c r="AC19" s="197">
        <f>AA27-AA19</f>
        <v>59</v>
      </c>
      <c r="AD19" s="197">
        <f>AA27-AA19</f>
        <v>59</v>
      </c>
    </row>
    <row r="20" spans="1:30" x14ac:dyDescent="0.25">
      <c r="D20" s="271" t="s">
        <v>272</v>
      </c>
      <c r="E20" s="225"/>
      <c r="F20" s="225"/>
      <c r="G20" s="224">
        <f>G19/E19-1</f>
        <v>6.5819058910101536E-3</v>
      </c>
      <c r="H20" s="225"/>
      <c r="I20" s="224">
        <f>I19/G19-1</f>
        <v>0.73783608155308267</v>
      </c>
      <c r="J20" s="225"/>
      <c r="K20" s="224">
        <f>K19/I19-1</f>
        <v>-3.739278786603073E-4</v>
      </c>
      <c r="L20" s="225"/>
      <c r="M20" s="224">
        <f>M19/K19-1</f>
        <v>0.12594393659551595</v>
      </c>
      <c r="N20" s="225"/>
      <c r="O20" s="224">
        <f>O19/M19-1</f>
        <v>5.1868770764119443E-2</v>
      </c>
      <c r="P20" s="203"/>
      <c r="Q20" s="224">
        <f>Q19/O19-1</f>
        <v>7.4154131627778508E-2</v>
      </c>
      <c r="R20" s="203"/>
      <c r="S20" s="224">
        <f>S19/Q19-1</f>
        <v>0.17104815811961904</v>
      </c>
      <c r="T20" s="203"/>
      <c r="U20" s="224">
        <f>U19/S19-1</f>
        <v>0.29558080411788712</v>
      </c>
      <c r="V20" s="225"/>
      <c r="W20" s="224">
        <f>W19/U19-1</f>
        <v>0.17484303994663786</v>
      </c>
      <c r="X20" s="225"/>
      <c r="Y20" s="224">
        <f>Y19/W19-1</f>
        <v>4.7514290948826199E-2</v>
      </c>
      <c r="AA20" s="228">
        <v>45180</v>
      </c>
      <c r="AC20" s="197">
        <f>AA26-AA20</f>
        <v>106</v>
      </c>
      <c r="AD20" s="197">
        <f>AC26+AC20</f>
        <v>165</v>
      </c>
    </row>
    <row r="21" spans="1:30" x14ac:dyDescent="0.25">
      <c r="D21" s="272" t="s">
        <v>278</v>
      </c>
      <c r="E21" s="247"/>
      <c r="F21" s="247"/>
      <c r="G21" s="247">
        <v>0.97599999999999998</v>
      </c>
      <c r="H21" s="247"/>
      <c r="I21" s="247">
        <v>1.3007379999999999</v>
      </c>
      <c r="J21" s="247"/>
      <c r="K21" s="247">
        <v>1.000678</v>
      </c>
      <c r="L21" s="247"/>
      <c r="M21" s="247">
        <v>1.0451630000000001</v>
      </c>
      <c r="N21" s="247"/>
      <c r="O21" s="247">
        <v>1.2860879999999999</v>
      </c>
      <c r="P21" s="247"/>
      <c r="Q21" s="247">
        <v>0.96101899999999996</v>
      </c>
      <c r="R21" s="247"/>
      <c r="S21" s="247">
        <v>1.092848</v>
      </c>
      <c r="T21" s="221"/>
      <c r="U21" s="247">
        <v>1.694555</v>
      </c>
      <c r="V21" s="225"/>
      <c r="W21" s="247">
        <v>2.2938200000000002</v>
      </c>
      <c r="X21" s="225"/>
      <c r="Y21" s="225">
        <v>2.7143999999999999</v>
      </c>
      <c r="AA21" s="228">
        <v>45055</v>
      </c>
      <c r="AC21" s="197">
        <f>AA20-AA21</f>
        <v>125</v>
      </c>
      <c r="AD21" s="197">
        <f>AC26+AC20+AC21</f>
        <v>290</v>
      </c>
    </row>
    <row r="22" spans="1:30" x14ac:dyDescent="0.25">
      <c r="D22" s="272" t="s">
        <v>279</v>
      </c>
      <c r="E22" s="247"/>
      <c r="F22" s="247"/>
      <c r="G22" s="247"/>
      <c r="H22" s="247"/>
      <c r="I22" s="224">
        <f t="shared" ref="I22" si="6">I21/G21-1</f>
        <v>0.3327233606557376</v>
      </c>
      <c r="J22" s="224"/>
      <c r="K22" s="224">
        <f>K21/I21-1</f>
        <v>-0.23068442684076274</v>
      </c>
      <c r="L22" s="247"/>
      <c r="M22" s="224">
        <f>M21/K21-1</f>
        <v>4.4454859605187691E-2</v>
      </c>
      <c r="N22" s="247"/>
      <c r="O22" s="224">
        <f>O21/M21-1</f>
        <v>0.23051428341799296</v>
      </c>
      <c r="P22" s="247"/>
      <c r="Q22" s="224">
        <f>Q21/O21-1</f>
        <v>-0.25275797612605044</v>
      </c>
      <c r="R22" s="247"/>
      <c r="S22" s="224">
        <f>S21/Q21-1</f>
        <v>0.13717626810708228</v>
      </c>
      <c r="T22" s="221"/>
      <c r="U22" s="224">
        <f>U21/S21-1</f>
        <v>0.55058617483858696</v>
      </c>
      <c r="V22" s="225"/>
      <c r="W22" s="224">
        <f>W21/U21-1</f>
        <v>0.35364151650433318</v>
      </c>
      <c r="X22" s="225"/>
      <c r="Y22" s="224">
        <f>Y21/W21-1</f>
        <v>0.18335353253524667</v>
      </c>
      <c r="AA22" s="228">
        <v>45055</v>
      </c>
      <c r="AC22" s="197">
        <f>AA20-AA22</f>
        <v>125</v>
      </c>
      <c r="AD22" s="197">
        <f>AC20+AC22</f>
        <v>231</v>
      </c>
    </row>
    <row r="23" spans="1:30" x14ac:dyDescent="0.25">
      <c r="D23" s="273" t="s">
        <v>280</v>
      </c>
      <c r="G23" s="247">
        <v>1.101243</v>
      </c>
      <c r="I23" s="247">
        <v>1.704815</v>
      </c>
      <c r="J23" s="247"/>
      <c r="K23" s="247">
        <v>1.5649660000000001</v>
      </c>
      <c r="L23" s="247"/>
      <c r="M23" s="247">
        <v>1.7542249999999999</v>
      </c>
      <c r="N23" s="247"/>
      <c r="O23" s="247">
        <v>1.743457</v>
      </c>
      <c r="P23" s="224"/>
      <c r="Q23" s="247">
        <v>1.6079810000000001</v>
      </c>
      <c r="R23" s="247"/>
      <c r="S23" s="247">
        <v>1.7110719999999999</v>
      </c>
      <c r="T23" s="247"/>
      <c r="U23" s="247">
        <v>2.386555</v>
      </c>
      <c r="V23" s="247"/>
      <c r="W23" s="247">
        <v>2.8782350000000001</v>
      </c>
      <c r="X23" s="247"/>
      <c r="Y23" s="247"/>
    </row>
    <row r="24" spans="1:30" x14ac:dyDescent="0.25">
      <c r="D24" s="273" t="s">
        <v>281</v>
      </c>
      <c r="E24" s="222"/>
      <c r="F24" s="222"/>
      <c r="G24" s="224"/>
      <c r="H24" s="225"/>
      <c r="I24" s="224">
        <f>I23/G23-1</f>
        <v>0.54808248497379775</v>
      </c>
      <c r="J24" s="225"/>
      <c r="K24" s="224">
        <f>K23/I23-1</f>
        <v>-8.2031774708692717E-2</v>
      </c>
      <c r="L24" s="225"/>
      <c r="M24" s="224">
        <f>M23/K23-1</f>
        <v>0.12093489571019433</v>
      </c>
      <c r="N24" s="225"/>
      <c r="O24" s="224">
        <f>O23/M23-1</f>
        <v>-6.1383231911527059E-3</v>
      </c>
      <c r="P24" s="203"/>
      <c r="Q24" s="224">
        <f>Q23/O23-1</f>
        <v>-7.7705386482144312E-2</v>
      </c>
      <c r="R24" s="203"/>
      <c r="S24" s="224">
        <f>S23/Q23-1</f>
        <v>6.4112075951145986E-2</v>
      </c>
      <c r="T24" s="203"/>
      <c r="U24" s="224">
        <f>U23/S23-1</f>
        <v>0.39477181556357666</v>
      </c>
      <c r="V24" s="190"/>
      <c r="W24" s="224">
        <f>W23/U23-1</f>
        <v>0.20602081242627968</v>
      </c>
      <c r="AA24" s="228"/>
      <c r="AD24" s="197"/>
    </row>
    <row r="25" spans="1:30" x14ac:dyDescent="0.25">
      <c r="E25" s="222"/>
      <c r="F25" s="222"/>
      <c r="G25" s="224"/>
      <c r="H25" s="225"/>
      <c r="I25" s="224"/>
      <c r="J25" s="225"/>
      <c r="K25" s="224"/>
      <c r="L25" s="225"/>
      <c r="M25" s="224"/>
      <c r="N25" s="225"/>
      <c r="O25" s="224"/>
      <c r="P25" s="203"/>
      <c r="Q25" s="224"/>
      <c r="R25" s="203"/>
      <c r="S25" s="224"/>
      <c r="T25" s="203"/>
      <c r="U25" s="224"/>
      <c r="V25" s="190"/>
      <c r="W25" s="224"/>
      <c r="AA25" s="228"/>
      <c r="AD25" s="197"/>
    </row>
    <row r="26" spans="1:30" x14ac:dyDescent="0.25">
      <c r="A26" s="197"/>
      <c r="B26" s="197"/>
      <c r="C26" s="197"/>
      <c r="D26" s="197"/>
      <c r="E26" s="263">
        <f>E3</f>
        <v>44334</v>
      </c>
      <c r="F26" s="242" t="s">
        <v>209</v>
      </c>
      <c r="G26" s="263">
        <f>F3</f>
        <v>44460</v>
      </c>
      <c r="H26" s="216" t="s">
        <v>209</v>
      </c>
      <c r="I26" s="263">
        <f>E4</f>
        <v>44546</v>
      </c>
      <c r="J26" s="242" t="s">
        <v>207</v>
      </c>
      <c r="K26" s="263">
        <f>F4</f>
        <v>44616</v>
      </c>
      <c r="L26" s="216" t="s">
        <v>207</v>
      </c>
      <c r="M26" s="263">
        <f>E5</f>
        <v>44719</v>
      </c>
      <c r="N26" s="242" t="s">
        <v>208</v>
      </c>
      <c r="O26" s="263">
        <f>F5</f>
        <v>44789</v>
      </c>
      <c r="P26" s="216" t="s">
        <v>208</v>
      </c>
      <c r="Q26" s="263">
        <f>E6</f>
        <v>44922</v>
      </c>
      <c r="R26" s="242" t="s">
        <v>206</v>
      </c>
      <c r="S26" s="263">
        <f>F6</f>
        <v>45055</v>
      </c>
      <c r="T26" s="216" t="s">
        <v>206</v>
      </c>
      <c r="U26" s="263">
        <f>E7</f>
        <v>45180</v>
      </c>
      <c r="V26" s="242" t="s">
        <v>256</v>
      </c>
      <c r="W26" s="263">
        <f>F7</f>
        <v>45286</v>
      </c>
      <c r="X26" s="215" t="s">
        <v>256</v>
      </c>
      <c r="Y26" s="263">
        <v>45346</v>
      </c>
      <c r="AA26" s="228">
        <v>45286</v>
      </c>
      <c r="AC26" s="197">
        <f>AA27-AA26</f>
        <v>59</v>
      </c>
      <c r="AD26" s="197">
        <f>AC26</f>
        <v>59</v>
      </c>
    </row>
    <row r="27" spans="1:30" x14ac:dyDescent="0.25">
      <c r="D27" s="195" t="s">
        <v>245</v>
      </c>
      <c r="I27" s="226">
        <f>O3</f>
        <v>0.91300000000000003</v>
      </c>
      <c r="J27" s="190"/>
      <c r="K27" s="190"/>
      <c r="L27" s="190"/>
      <c r="M27" s="231">
        <f>O4</f>
        <v>0.99</v>
      </c>
      <c r="N27" s="190"/>
      <c r="O27" s="196"/>
      <c r="P27" s="196"/>
      <c r="Q27" s="210">
        <f>O5</f>
        <v>1.2</v>
      </c>
      <c r="R27" s="196"/>
      <c r="S27" s="196"/>
      <c r="T27" s="196"/>
      <c r="U27" s="223">
        <f>O6</f>
        <v>0.56599999999999995</v>
      </c>
      <c r="W27" s="240"/>
      <c r="AA27" s="228">
        <v>45345</v>
      </c>
    </row>
    <row r="28" spans="1:30" x14ac:dyDescent="0.25">
      <c r="D28" s="195" t="s">
        <v>246</v>
      </c>
      <c r="E28" s="217"/>
      <c r="G28" s="218"/>
      <c r="I28" s="226">
        <f>Q3</f>
        <v>0.71099999999999997</v>
      </c>
      <c r="J28" s="226"/>
      <c r="K28" s="226"/>
      <c r="L28" s="226"/>
      <c r="M28" s="226">
        <f>Q4</f>
        <v>0.89600000000000002</v>
      </c>
      <c r="N28" s="226"/>
      <c r="O28" s="226"/>
      <c r="P28" s="226"/>
      <c r="Q28" s="226">
        <f>Q5</f>
        <v>0.78700000000000003</v>
      </c>
      <c r="R28" s="226"/>
      <c r="S28" s="226"/>
      <c r="T28" s="226"/>
      <c r="U28" s="226">
        <f>Q6</f>
        <v>0.92300000000000004</v>
      </c>
      <c r="W28" s="220"/>
      <c r="AB28" s="190" t="s">
        <v>240</v>
      </c>
      <c r="AD28" s="190" t="s">
        <v>240</v>
      </c>
    </row>
    <row r="29" spans="1:30" x14ac:dyDescent="0.25">
      <c r="D29" s="195" t="s">
        <v>248</v>
      </c>
      <c r="E29" s="217"/>
      <c r="G29" s="218"/>
      <c r="I29" s="226">
        <f>I19/$G$19-1</f>
        <v>0.73783608155308267</v>
      </c>
      <c r="J29" s="226"/>
      <c r="K29" s="226">
        <f>K19/$G$19-1</f>
        <v>0.73718625619364797</v>
      </c>
      <c r="L29" s="226"/>
      <c r="M29" s="226">
        <f>M19/$G$19-1</f>
        <v>0.9559743318983025</v>
      </c>
      <c r="N29" s="226"/>
      <c r="O29" s="226">
        <f>O19/$G$19-1</f>
        <v>1.0574283161400375</v>
      </c>
      <c r="P29" s="226"/>
      <c r="Q29" s="226">
        <f>Q19/$G$19-1</f>
        <v>1.2099951263098041</v>
      </c>
      <c r="R29" s="226"/>
      <c r="S29" s="226">
        <f>S19/$G$19-1</f>
        <v>1.588010722118431</v>
      </c>
      <c r="T29" s="226"/>
      <c r="U29" s="226">
        <f>U19/$G$19-1</f>
        <v>2.3529770124279104</v>
      </c>
      <c r="W29" s="226">
        <f>W19/$G$19-1</f>
        <v>2.9392217061520016</v>
      </c>
      <c r="AA29" s="196" t="s">
        <v>257</v>
      </c>
      <c r="AB29" s="195">
        <f>I26-G26</f>
        <v>86</v>
      </c>
      <c r="AC29" s="196" t="s">
        <v>262</v>
      </c>
      <c r="AD29" s="195">
        <f>G26-E26</f>
        <v>126</v>
      </c>
    </row>
    <row r="30" spans="1:30" x14ac:dyDescent="0.25">
      <c r="D30" s="195" t="s">
        <v>254</v>
      </c>
      <c r="E30" s="217"/>
      <c r="G30" s="218"/>
      <c r="I30" s="226">
        <v>0.71799999999999997</v>
      </c>
      <c r="J30" s="226"/>
      <c r="K30" s="226">
        <v>0.60799999999999998</v>
      </c>
      <c r="L30" s="226"/>
      <c r="M30" s="226">
        <v>0.996</v>
      </c>
      <c r="N30" s="226"/>
      <c r="O30" s="226">
        <v>1.0760000000000001</v>
      </c>
      <c r="P30" s="226"/>
      <c r="Q30" s="226">
        <v>1.1635</v>
      </c>
      <c r="R30" s="226"/>
      <c r="S30" s="226">
        <v>1.2645</v>
      </c>
      <c r="T30" s="226"/>
      <c r="U30" s="226">
        <v>2.1168</v>
      </c>
      <c r="V30" s="226"/>
      <c r="W30" s="226">
        <v>2.4</v>
      </c>
      <c r="AA30" s="196" t="s">
        <v>258</v>
      </c>
      <c r="AB30" s="195">
        <f>M26-K26</f>
        <v>103</v>
      </c>
      <c r="AC30" s="196" t="s">
        <v>262</v>
      </c>
      <c r="AD30" s="195">
        <f>K26-I26</f>
        <v>70</v>
      </c>
    </row>
    <row r="31" spans="1:30" x14ac:dyDescent="0.25">
      <c r="D31" s="195" t="s">
        <v>284</v>
      </c>
      <c r="E31" s="217"/>
      <c r="G31" s="218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W31" s="226"/>
      <c r="AA31" s="196" t="s">
        <v>259</v>
      </c>
      <c r="AB31" s="195">
        <f>Q26-O26</f>
        <v>133</v>
      </c>
      <c r="AC31" s="196" t="s">
        <v>263</v>
      </c>
      <c r="AD31" s="195">
        <f>O26-M26</f>
        <v>70</v>
      </c>
    </row>
    <row r="32" spans="1:30" x14ac:dyDescent="0.25">
      <c r="D32" s="195" t="s">
        <v>280</v>
      </c>
      <c r="E32" s="217"/>
      <c r="G32" s="218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W32" s="226"/>
      <c r="AA32" s="196"/>
      <c r="AC32" s="196"/>
    </row>
    <row r="33" spans="1:34" x14ac:dyDescent="0.25">
      <c r="E33" s="217"/>
      <c r="G33" s="218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W33" s="226"/>
      <c r="AA33" s="196"/>
      <c r="AC33" s="196"/>
    </row>
    <row r="34" spans="1:34" x14ac:dyDescent="0.25">
      <c r="D34" s="190" t="s">
        <v>282</v>
      </c>
      <c r="E34" s="217"/>
      <c r="G34" s="217">
        <v>100000</v>
      </c>
      <c r="I34" s="218">
        <f>G34*(1+I27)</f>
        <v>191300</v>
      </c>
      <c r="J34" s="226"/>
      <c r="K34" s="218">
        <f>I34*(1+K12)</f>
        <v>204982.53924078814</v>
      </c>
      <c r="L34" s="226"/>
      <c r="M34" s="218">
        <f>K34*(1+M27)</f>
        <v>407915.2530891684</v>
      </c>
      <c r="N34" s="226"/>
      <c r="O34" s="218">
        <f>M34*(1+O12)</f>
        <v>412532.01195729233</v>
      </c>
      <c r="P34" s="226"/>
      <c r="Q34" s="218">
        <f>O34*(1+Q27)</f>
        <v>907570.42630604317</v>
      </c>
      <c r="R34" s="226"/>
      <c r="S34" s="218">
        <f>Q34*(1+S12)</f>
        <v>1015888.5064026575</v>
      </c>
      <c r="T34" s="226"/>
      <c r="U34" s="218">
        <f>S34*(1+U27)</f>
        <v>1590881.4010265614</v>
      </c>
      <c r="W34" s="218">
        <f>U34*(1+W12)</f>
        <v>1713154.449637874</v>
      </c>
      <c r="AA34" s="196" t="s">
        <v>260</v>
      </c>
      <c r="AB34" s="195">
        <f>U26-S26</f>
        <v>125</v>
      </c>
      <c r="AC34" s="196" t="s">
        <v>264</v>
      </c>
      <c r="AD34" s="195">
        <f>S26-Q26</f>
        <v>133</v>
      </c>
    </row>
    <row r="35" spans="1:34" x14ac:dyDescent="0.25">
      <c r="D35" s="195" t="s">
        <v>283</v>
      </c>
      <c r="E35" s="217"/>
      <c r="G35" s="217">
        <v>100000</v>
      </c>
      <c r="I35" s="218">
        <f>G35*(1+I28)</f>
        <v>171099.99999999997</v>
      </c>
      <c r="K35" s="218">
        <f>I35*(1+K12)</f>
        <v>183337.75464766778</v>
      </c>
      <c r="M35" s="218">
        <f>K35*(1+M28)</f>
        <v>347608.38281197811</v>
      </c>
      <c r="O35" s="218">
        <f>M35*(1+O12)</f>
        <v>351542.59236121166</v>
      </c>
      <c r="Q35" s="218">
        <f>O35*(1+Q27)</f>
        <v>773393.70319466572</v>
      </c>
      <c r="S35" s="218">
        <f>Q35*(1+S12)</f>
        <v>865697.8579585274</v>
      </c>
      <c r="U35" s="218">
        <f>S35*(1+U28)</f>
        <v>1664736.9808542482</v>
      </c>
      <c r="W35" s="243">
        <f>U35*(1+W12)</f>
        <v>1792686.4720317132</v>
      </c>
      <c r="AA35" s="196"/>
      <c r="AC35" s="196"/>
    </row>
    <row r="36" spans="1:34" x14ac:dyDescent="0.25">
      <c r="D36" s="195" t="s">
        <v>245</v>
      </c>
      <c r="G36" s="217">
        <v>100000</v>
      </c>
      <c r="I36" s="218">
        <f>G36*(1+I27)</f>
        <v>191300</v>
      </c>
      <c r="K36" s="218">
        <f>I36*(1+K20)</f>
        <v>191228.46759681229</v>
      </c>
      <c r="M36" s="218">
        <f>K36*(1+M27)</f>
        <v>380544.65051765647</v>
      </c>
      <c r="O36" s="218">
        <f>M36*(1+O20)</f>
        <v>400283.03376086871</v>
      </c>
      <c r="Q36" s="218">
        <f>O36*(1+Q27)</f>
        <v>880622.67427391128</v>
      </c>
      <c r="S36" s="218">
        <f>Q36*(1+S20)</f>
        <v>1031251.560706837</v>
      </c>
      <c r="U36" s="218">
        <f>S36*(1+U27)</f>
        <v>1614939.9440669066</v>
      </c>
      <c r="W36" s="243">
        <f>U36*(1+W20)</f>
        <v>1897300.9532188179</v>
      </c>
      <c r="X36" s="244"/>
      <c r="AA36" s="196" t="s">
        <v>260</v>
      </c>
      <c r="AB36" s="195">
        <f>Y26-W26</f>
        <v>60</v>
      </c>
      <c r="AC36" s="196" t="s">
        <v>266</v>
      </c>
      <c r="AD36" s="195">
        <f>W26-U26</f>
        <v>106</v>
      </c>
    </row>
    <row r="37" spans="1:34" x14ac:dyDescent="0.25">
      <c r="D37" s="195" t="s">
        <v>246</v>
      </c>
      <c r="E37" s="217"/>
      <c r="G37" s="217">
        <v>100000</v>
      </c>
      <c r="I37" s="218">
        <f>G37*(1+I28)</f>
        <v>171099.99999999997</v>
      </c>
      <c r="K37" s="218">
        <f>I37*(1+K20)</f>
        <v>171036.02093996119</v>
      </c>
      <c r="M37" s="218">
        <f>K37*(1+M28)</f>
        <v>324284.29570216639</v>
      </c>
      <c r="O37" s="219">
        <f>M37*(O20+1)</f>
        <v>341104.52349834598</v>
      </c>
      <c r="Q37" s="219">
        <f>O37*(1+Q28)</f>
        <v>609553.78349154419</v>
      </c>
      <c r="S37" s="219">
        <f>Q37*(1+S20)</f>
        <v>713816.83543261793</v>
      </c>
      <c r="U37" s="220">
        <f>S37*(1+U28)</f>
        <v>1372669.7745369242</v>
      </c>
      <c r="W37" s="245">
        <f>U37*(1+W20)</f>
        <v>1612671.5307598261</v>
      </c>
      <c r="X37" s="244"/>
    </row>
    <row r="38" spans="1:34" x14ac:dyDescent="0.25">
      <c r="D38" s="195" t="s">
        <v>248</v>
      </c>
      <c r="E38" s="192"/>
      <c r="F38" s="192"/>
      <c r="G38" s="217">
        <v>100000</v>
      </c>
      <c r="I38" s="218">
        <f>$G$38*(1+I29)</f>
        <v>173783.60815530826</v>
      </c>
      <c r="K38" s="218">
        <f>$G$38*(1+K29)</f>
        <v>173718.62561936479</v>
      </c>
      <c r="M38" s="218">
        <f>$G$38*(1+M29)</f>
        <v>195597.43318983025</v>
      </c>
      <c r="O38" s="218">
        <f>$G$38*(1+O29)</f>
        <v>205742.83161400375</v>
      </c>
      <c r="Q38" s="218">
        <f>$G$38*(1+Q29)</f>
        <v>220999.5126309804</v>
      </c>
      <c r="S38" s="218">
        <f>$G$38*(1+S29)</f>
        <v>258801.0722118431</v>
      </c>
      <c r="U38" s="218">
        <f>$G$38*(1+U29)</f>
        <v>335297.70124279102</v>
      </c>
      <c r="V38" s="192"/>
      <c r="W38" s="243">
        <f>$G$38*(1+W29)</f>
        <v>393922.17061520019</v>
      </c>
      <c r="X38" s="244"/>
      <c r="AA38" s="196" t="s">
        <v>261</v>
      </c>
      <c r="AB38" s="241">
        <f>SUM(AB29:AB36)/5</f>
        <v>101.4</v>
      </c>
      <c r="AC38" s="196" t="s">
        <v>265</v>
      </c>
      <c r="AD38" s="241">
        <f>(AD29+AD30+AD31+AD34+AD36)/5</f>
        <v>101</v>
      </c>
      <c r="AF38" s="249">
        <f>AB38+AD38</f>
        <v>202.4</v>
      </c>
      <c r="AG38" s="192">
        <f>AF38*2</f>
        <v>404.8</v>
      </c>
      <c r="AH38" s="192">
        <f>AG38*2</f>
        <v>809.6</v>
      </c>
    </row>
    <row r="39" spans="1:34" x14ac:dyDescent="0.25">
      <c r="A39" s="195"/>
      <c r="B39" s="195"/>
      <c r="C39" s="195"/>
      <c r="D39" s="195" t="s">
        <v>254</v>
      </c>
      <c r="E39" s="190"/>
      <c r="F39" s="190"/>
      <c r="G39" s="218">
        <v>100000</v>
      </c>
      <c r="I39" s="218">
        <f>$G$39*(1+I30)</f>
        <v>171800</v>
      </c>
      <c r="K39" s="218">
        <f>$G$38*(1+K30)</f>
        <v>160800</v>
      </c>
      <c r="M39" s="218">
        <f>$G$38*(1+M30)</f>
        <v>199600</v>
      </c>
      <c r="O39" s="218">
        <f>$G$38*(1+O30)</f>
        <v>207600</v>
      </c>
      <c r="Q39" s="218">
        <f>$G$38*(1+Q30)</f>
        <v>216350</v>
      </c>
      <c r="S39" s="218">
        <f>$G$38*(1+S30)</f>
        <v>226450</v>
      </c>
      <c r="U39" s="218">
        <f>$G$38*(1+U30)</f>
        <v>311680</v>
      </c>
      <c r="V39" s="192"/>
      <c r="W39" s="243">
        <f>$G$38*(1+W30)</f>
        <v>340000</v>
      </c>
      <c r="X39" s="244"/>
    </row>
    <row r="40" spans="1:34" x14ac:dyDescent="0.25">
      <c r="A40" s="195"/>
      <c r="B40" s="195"/>
      <c r="C40" s="195"/>
      <c r="D40" s="195" t="s">
        <v>284</v>
      </c>
      <c r="E40" s="190"/>
      <c r="F40" s="190"/>
      <c r="G40" s="218">
        <v>100000</v>
      </c>
      <c r="I40" s="218">
        <f>$G$40*(1+I22)</f>
        <v>133272.33606557376</v>
      </c>
      <c r="K40" s="218">
        <f>I40*(1+K22)</f>
        <v>102528.48360655736</v>
      </c>
      <c r="L40" s="218">
        <f t="shared" ref="L40:W40" si="7">J40*(1+L22)</f>
        <v>0</v>
      </c>
      <c r="M40" s="218">
        <f>K40*(1+M22)</f>
        <v>107086.37295081966</v>
      </c>
      <c r="N40" s="218">
        <f t="shared" si="7"/>
        <v>0</v>
      </c>
      <c r="O40" s="218">
        <f>M40*(1+O22)</f>
        <v>131771.31147540981</v>
      </c>
      <c r="P40" s="218">
        <f t="shared" si="7"/>
        <v>0</v>
      </c>
      <c r="Q40" s="218">
        <f t="shared" si="7"/>
        <v>98465.061475409821</v>
      </c>
      <c r="R40" s="218">
        <f t="shared" si="7"/>
        <v>0</v>
      </c>
      <c r="S40" s="218">
        <f t="shared" si="7"/>
        <v>111972.13114754097</v>
      </c>
      <c r="T40" s="218">
        <f t="shared" si="7"/>
        <v>0</v>
      </c>
      <c r="U40" s="218">
        <f t="shared" si="7"/>
        <v>173622.43852459016</v>
      </c>
      <c r="V40" s="218">
        <f t="shared" si="7"/>
        <v>0</v>
      </c>
      <c r="W40" s="218">
        <f t="shared" si="7"/>
        <v>235022.5409836066</v>
      </c>
      <c r="X40" s="246" t="s">
        <v>191</v>
      </c>
      <c r="Y40" s="228">
        <v>45328</v>
      </c>
    </row>
    <row r="41" spans="1:34" x14ac:dyDescent="0.25">
      <c r="A41" s="195"/>
      <c r="B41" s="195"/>
      <c r="C41" s="195"/>
      <c r="D41" s="195" t="s">
        <v>280</v>
      </c>
      <c r="E41" s="190"/>
      <c r="F41" s="190"/>
      <c r="G41" s="218">
        <v>100000</v>
      </c>
      <c r="I41" s="218"/>
      <c r="K41" s="218"/>
      <c r="M41" s="218"/>
      <c r="O41" s="218"/>
      <c r="Q41" s="218"/>
      <c r="S41" s="218"/>
      <c r="U41" s="218"/>
      <c r="V41" s="192"/>
      <c r="W41" s="244"/>
      <c r="X41" s="246"/>
      <c r="Y41" s="228"/>
    </row>
    <row r="42" spans="1:34" x14ac:dyDescent="0.25">
      <c r="A42" s="195"/>
      <c r="B42" s="195"/>
      <c r="C42" s="195"/>
      <c r="E42" s="190"/>
      <c r="F42" s="190"/>
      <c r="G42" s="218"/>
      <c r="I42" s="218"/>
      <c r="K42" s="218"/>
      <c r="M42" s="218"/>
      <c r="O42" s="218"/>
      <c r="Q42" s="218"/>
      <c r="S42" s="218"/>
      <c r="U42" s="218"/>
      <c r="V42" s="192"/>
      <c r="W42" s="244"/>
      <c r="X42" s="246"/>
      <c r="Y42" s="228"/>
    </row>
    <row r="43" spans="1:34" x14ac:dyDescent="0.25">
      <c r="A43" s="195" t="s">
        <v>240</v>
      </c>
      <c r="B43" s="195"/>
      <c r="C43" s="195"/>
      <c r="D43" s="190" t="s">
        <v>247</v>
      </c>
      <c r="E43" s="190" t="s">
        <v>241</v>
      </c>
      <c r="F43" s="190" t="s">
        <v>242</v>
      </c>
      <c r="G43" s="232" t="s">
        <v>239</v>
      </c>
      <c r="H43" s="190" t="s">
        <v>240</v>
      </c>
      <c r="I43" s="232" t="s">
        <v>255</v>
      </c>
      <c r="K43" s="218"/>
      <c r="M43" s="218"/>
      <c r="O43" s="218"/>
      <c r="Q43" s="218"/>
      <c r="S43" s="218"/>
      <c r="U43" s="218"/>
      <c r="V43" s="192"/>
    </row>
    <row r="44" spans="1:34" hidden="1" x14ac:dyDescent="0.25">
      <c r="A44" s="195">
        <f>F44-E44</f>
        <v>364</v>
      </c>
      <c r="B44" s="195"/>
      <c r="C44" s="195"/>
      <c r="D44" s="190" t="s">
        <v>251</v>
      </c>
      <c r="E44" s="228">
        <v>44922</v>
      </c>
      <c r="F44" s="193">
        <v>45286</v>
      </c>
      <c r="G44" s="227">
        <v>0.49</v>
      </c>
      <c r="I44" s="218"/>
      <c r="K44" s="218"/>
      <c r="M44" s="218"/>
      <c r="O44" s="218"/>
      <c r="Q44" s="218"/>
      <c r="S44" s="218"/>
      <c r="U44" s="218"/>
      <c r="V44" s="192"/>
    </row>
    <row r="45" spans="1:34" hidden="1" x14ac:dyDescent="0.25">
      <c r="A45" s="195">
        <f>F45-E45</f>
        <v>740</v>
      </c>
      <c r="B45" s="195"/>
      <c r="C45" s="195"/>
      <c r="D45" s="190" t="s">
        <v>250</v>
      </c>
      <c r="E45" s="228">
        <v>44546</v>
      </c>
      <c r="F45" s="193">
        <v>45286</v>
      </c>
      <c r="G45" s="227"/>
      <c r="I45" s="218"/>
      <c r="K45" s="218"/>
      <c r="M45" s="218"/>
      <c r="O45" s="218"/>
      <c r="Q45" s="218"/>
      <c r="S45" s="218"/>
      <c r="U45" s="218"/>
      <c r="V45" s="192"/>
    </row>
    <row r="46" spans="1:34" hidden="1" x14ac:dyDescent="0.25">
      <c r="A46" s="195">
        <f>F46-E46</f>
        <v>826</v>
      </c>
      <c r="B46" s="195"/>
      <c r="C46" s="195"/>
      <c r="D46" s="190" t="s">
        <v>250</v>
      </c>
      <c r="E46" s="228">
        <v>44460</v>
      </c>
      <c r="F46" s="193">
        <v>45286</v>
      </c>
      <c r="G46" s="227"/>
      <c r="I46" s="218"/>
      <c r="K46" s="218"/>
      <c r="M46" s="218"/>
      <c r="O46" s="218"/>
      <c r="Q46" s="218"/>
      <c r="S46" s="218"/>
      <c r="U46" s="218"/>
      <c r="V46" s="192"/>
    </row>
    <row r="47" spans="1:34" hidden="1" x14ac:dyDescent="0.25">
      <c r="A47" s="195"/>
      <c r="B47" s="195"/>
      <c r="C47" s="195"/>
      <c r="E47" s="190"/>
      <c r="F47" s="190"/>
      <c r="G47" s="218"/>
      <c r="I47" s="218"/>
      <c r="K47" s="218"/>
      <c r="M47" s="218"/>
      <c r="O47" s="218"/>
      <c r="Q47" s="218"/>
      <c r="S47" s="218"/>
      <c r="U47" s="218"/>
      <c r="V47" s="192"/>
    </row>
    <row r="48" spans="1:34" x14ac:dyDescent="0.25">
      <c r="A48" s="195"/>
      <c r="B48" s="195"/>
      <c r="C48" s="195"/>
      <c r="D48" s="190" t="s">
        <v>253</v>
      </c>
      <c r="E48" s="233">
        <f>I6</f>
        <v>45055</v>
      </c>
      <c r="F48" s="193">
        <f>F49</f>
        <v>45286</v>
      </c>
      <c r="G48" s="227">
        <f>W36/S36-1</f>
        <v>0.83980420055643479</v>
      </c>
      <c r="H48" s="195">
        <f>F48-E48</f>
        <v>231</v>
      </c>
      <c r="I48" s="229">
        <f>G48/H48</f>
        <v>3.635516019724826E-3</v>
      </c>
      <c r="K48" s="218"/>
      <c r="M48" s="218"/>
      <c r="O48" s="218"/>
      <c r="Q48" s="218"/>
      <c r="S48" s="218"/>
      <c r="U48" s="218"/>
      <c r="V48" s="192"/>
    </row>
    <row r="49" spans="1:24" x14ac:dyDescent="0.25">
      <c r="A49" s="195">
        <f>F49-E49</f>
        <v>364</v>
      </c>
      <c r="B49" s="195"/>
      <c r="C49" s="195"/>
      <c r="D49" s="234" t="s">
        <v>253</v>
      </c>
      <c r="E49" s="235">
        <f>Q26</f>
        <v>44922</v>
      </c>
      <c r="F49" s="236">
        <f>W26</f>
        <v>45286</v>
      </c>
      <c r="G49" s="237">
        <f>W36/Q36-1</f>
        <v>1.1544993203623513</v>
      </c>
      <c r="H49" s="238">
        <f>F49-E49</f>
        <v>364</v>
      </c>
      <c r="I49" s="239">
        <f>G49/H49</f>
        <v>3.1717014295668988E-3</v>
      </c>
      <c r="V49" s="192"/>
      <c r="X49" s="189"/>
    </row>
    <row r="50" spans="1:24" x14ac:dyDescent="0.25">
      <c r="A50" s="195">
        <f>F50-E50</f>
        <v>740</v>
      </c>
      <c r="B50" s="195"/>
      <c r="C50" s="195"/>
      <c r="D50" s="190" t="s">
        <v>253</v>
      </c>
      <c r="E50" s="228">
        <f>I26</f>
        <v>44546</v>
      </c>
      <c r="F50" s="193">
        <f>W26</f>
        <v>45286</v>
      </c>
      <c r="G50" s="227">
        <f>W36/I36-1</f>
        <v>8.917934935801453</v>
      </c>
      <c r="H50" s="195">
        <f>F50-E50</f>
        <v>740</v>
      </c>
      <c r="I50" s="229">
        <f>G50/H50</f>
        <v>1.205126342675872E-2</v>
      </c>
      <c r="V50" s="192"/>
    </row>
    <row r="51" spans="1:24" x14ac:dyDescent="0.25">
      <c r="A51" s="195">
        <f>F51-E51</f>
        <v>826</v>
      </c>
      <c r="B51" s="195"/>
      <c r="C51" s="195"/>
      <c r="D51" s="190" t="s">
        <v>253</v>
      </c>
      <c r="E51" s="228">
        <f>I3</f>
        <v>44460</v>
      </c>
      <c r="F51" s="193">
        <f>W26</f>
        <v>45286</v>
      </c>
      <c r="G51" s="227">
        <f>W36/G36-1</f>
        <v>17.973009532188179</v>
      </c>
      <c r="H51" s="195">
        <f>F51-E51</f>
        <v>826</v>
      </c>
      <c r="I51" s="229">
        <f>G51/H51</f>
        <v>2.1759091443327095E-2</v>
      </c>
      <c r="V51" s="192"/>
    </row>
    <row r="52" spans="1:24" x14ac:dyDescent="0.25">
      <c r="A52" s="195"/>
      <c r="B52" s="195"/>
      <c r="C52" s="195"/>
      <c r="D52" s="190"/>
      <c r="E52" s="228"/>
      <c r="F52" s="193"/>
      <c r="G52" s="227"/>
      <c r="I52" s="229"/>
      <c r="V52" s="192"/>
    </row>
    <row r="53" spans="1:24" x14ac:dyDescent="0.25">
      <c r="A53" s="195"/>
      <c r="B53" s="195"/>
      <c r="C53" s="195"/>
      <c r="D53" s="190" t="s">
        <v>271</v>
      </c>
      <c r="E53" s="228">
        <f>E48</f>
        <v>45055</v>
      </c>
      <c r="F53" s="193">
        <f>F48</f>
        <v>45286</v>
      </c>
      <c r="G53" s="227"/>
      <c r="I53" s="229"/>
      <c r="V53" s="192"/>
    </row>
    <row r="54" spans="1:24" x14ac:dyDescent="0.25">
      <c r="A54" s="195"/>
      <c r="B54" s="195"/>
      <c r="C54" s="195"/>
      <c r="D54" s="190"/>
      <c r="G54" s="227"/>
      <c r="V54" s="192"/>
    </row>
    <row r="55" spans="1:24" x14ac:dyDescent="0.25">
      <c r="A55" s="195"/>
      <c r="B55" s="195"/>
      <c r="C55" s="195"/>
      <c r="D55" s="190" t="s">
        <v>252</v>
      </c>
      <c r="E55" s="193">
        <f t="shared" ref="E55:F58" si="8">E48</f>
        <v>45055</v>
      </c>
      <c r="F55" s="193">
        <f t="shared" si="8"/>
        <v>45286</v>
      </c>
      <c r="G55" s="227">
        <f>W37/S37-1</f>
        <v>1.2592231658173847</v>
      </c>
      <c r="H55" s="195">
        <f>F55-E55</f>
        <v>231</v>
      </c>
      <c r="I55" s="229">
        <f>G55/H55</f>
        <v>5.4511825360059945E-3</v>
      </c>
      <c r="V55" s="192"/>
    </row>
    <row r="56" spans="1:24" x14ac:dyDescent="0.25">
      <c r="A56" s="195"/>
      <c r="B56" s="195"/>
      <c r="C56" s="195"/>
      <c r="D56" s="234" t="s">
        <v>252</v>
      </c>
      <c r="E56" s="235">
        <f t="shared" si="8"/>
        <v>44922</v>
      </c>
      <c r="F56" s="235">
        <f t="shared" si="8"/>
        <v>45286</v>
      </c>
      <c r="G56" s="237">
        <f>W37/Q37-1</f>
        <v>1.6456591271116232</v>
      </c>
      <c r="H56" s="238">
        <f t="shared" ref="H56:H58" si="9">F56-E56</f>
        <v>364</v>
      </c>
      <c r="I56" s="239">
        <f t="shared" ref="I56:I58" si="10">G56/H56</f>
        <v>4.5210415579989647E-3</v>
      </c>
      <c r="V56" s="192"/>
    </row>
    <row r="57" spans="1:24" x14ac:dyDescent="0.25">
      <c r="A57" s="195"/>
      <c r="B57" s="195"/>
      <c r="C57" s="195"/>
      <c r="D57" s="190" t="s">
        <v>252</v>
      </c>
      <c r="E57" s="228">
        <f t="shared" si="8"/>
        <v>44546</v>
      </c>
      <c r="F57" s="228">
        <f t="shared" si="8"/>
        <v>45286</v>
      </c>
      <c r="G57" s="227">
        <f>W37/I37-1</f>
        <v>8.4253157846863029</v>
      </c>
      <c r="H57" s="195">
        <f t="shared" si="9"/>
        <v>740</v>
      </c>
      <c r="I57" s="229">
        <f t="shared" si="10"/>
        <v>1.1385561871197707E-2</v>
      </c>
      <c r="V57" s="192"/>
    </row>
    <row r="58" spans="1:24" x14ac:dyDescent="0.25">
      <c r="A58" s="195"/>
      <c r="B58" s="195"/>
      <c r="C58" s="195"/>
      <c r="D58" s="190" t="s">
        <v>252</v>
      </c>
      <c r="E58" s="228">
        <f t="shared" si="8"/>
        <v>44460</v>
      </c>
      <c r="F58" s="228">
        <f t="shared" si="8"/>
        <v>45286</v>
      </c>
      <c r="G58" s="227">
        <f>W37/G37-1</f>
        <v>15.126715307598261</v>
      </c>
      <c r="H58" s="195">
        <f t="shared" si="9"/>
        <v>826</v>
      </c>
      <c r="I58" s="229">
        <f t="shared" si="10"/>
        <v>1.8313214658109273E-2</v>
      </c>
      <c r="V58" s="192"/>
    </row>
    <row r="59" spans="1:24" x14ac:dyDescent="0.25">
      <c r="A59" s="195"/>
      <c r="B59" s="195"/>
      <c r="C59" s="195"/>
      <c r="D59" s="190"/>
      <c r="G59" s="227"/>
      <c r="V59" s="192"/>
    </row>
    <row r="60" spans="1:24" x14ac:dyDescent="0.25">
      <c r="A60" s="195"/>
      <c r="B60" s="195"/>
      <c r="C60" s="195"/>
      <c r="D60" s="190" t="s">
        <v>249</v>
      </c>
      <c r="E60" s="193">
        <f>E55</f>
        <v>45055</v>
      </c>
      <c r="F60" s="193">
        <f>F55</f>
        <v>45286</v>
      </c>
      <c r="G60" s="227">
        <f>W38/S38-1</f>
        <v>0.52210409040636785</v>
      </c>
      <c r="H60" s="195">
        <f>F60-E60</f>
        <v>231</v>
      </c>
      <c r="I60" s="229">
        <f>G60/H60</f>
        <v>2.2601908675600338E-3</v>
      </c>
      <c r="V60" s="192"/>
    </row>
    <row r="61" spans="1:24" x14ac:dyDescent="0.25">
      <c r="A61" s="195">
        <f>F61-E61</f>
        <v>364</v>
      </c>
      <c r="B61" s="195"/>
      <c r="C61" s="195"/>
      <c r="D61" s="234" t="s">
        <v>249</v>
      </c>
      <c r="E61" s="235">
        <f>E49</f>
        <v>44922</v>
      </c>
      <c r="F61" s="236">
        <f>F63</f>
        <v>45286</v>
      </c>
      <c r="G61" s="237">
        <f>W19/Q19-1</f>
        <v>0.78245719153671511</v>
      </c>
      <c r="H61" s="238">
        <f>F61-E61</f>
        <v>364</v>
      </c>
      <c r="I61" s="239">
        <f>G61/H61</f>
        <v>2.1496076690569097E-3</v>
      </c>
      <c r="V61" s="192"/>
    </row>
    <row r="62" spans="1:24" x14ac:dyDescent="0.25">
      <c r="A62" s="195">
        <f>F62-E62</f>
        <v>740</v>
      </c>
      <c r="B62" s="195"/>
      <c r="C62" s="195"/>
      <c r="D62" s="190" t="s">
        <v>249</v>
      </c>
      <c r="E62" s="228">
        <f>E50</f>
        <v>44546</v>
      </c>
      <c r="F62" s="193">
        <f>F61</f>
        <v>45286</v>
      </c>
      <c r="G62" s="227">
        <f>W19/I19-1</f>
        <v>1.2667395089596529</v>
      </c>
      <c r="H62" s="195">
        <f>F62-E62</f>
        <v>740</v>
      </c>
      <c r="I62" s="229">
        <f>G62/H62</f>
        <v>1.7118101472427742E-3</v>
      </c>
      <c r="V62" s="192"/>
    </row>
    <row r="63" spans="1:24" x14ac:dyDescent="0.25">
      <c r="A63" s="195">
        <f>F63-E63</f>
        <v>826</v>
      </c>
      <c r="B63" s="195"/>
      <c r="C63" s="195"/>
      <c r="D63" s="190" t="s">
        <v>249</v>
      </c>
      <c r="E63" s="228">
        <f>E51</f>
        <v>44460</v>
      </c>
      <c r="F63" s="193">
        <f>F51</f>
        <v>45286</v>
      </c>
      <c r="G63" s="227">
        <f>W19/G19-1</f>
        <v>2.9392217061520016</v>
      </c>
      <c r="H63" s="195">
        <f>F63-E63</f>
        <v>826</v>
      </c>
      <c r="I63" s="229">
        <f>G63/H63</f>
        <v>3.5583797895302684E-3</v>
      </c>
      <c r="V63" s="192"/>
    </row>
    <row r="64" spans="1:24" x14ac:dyDescent="0.25">
      <c r="A64" s="195"/>
      <c r="B64" s="195"/>
      <c r="C64" s="195"/>
      <c r="D64" s="190"/>
      <c r="E64" s="228"/>
      <c r="F64" s="193"/>
      <c r="G64" s="227"/>
      <c r="V64" s="192"/>
    </row>
    <row r="65" spans="1:22" x14ac:dyDescent="0.25">
      <c r="A65" s="195"/>
      <c r="B65" s="195"/>
      <c r="C65" s="195"/>
      <c r="D65" s="190" t="s">
        <v>254</v>
      </c>
      <c r="E65" s="228">
        <f>E60</f>
        <v>45055</v>
      </c>
      <c r="F65" s="193">
        <f>F60</f>
        <v>45286</v>
      </c>
      <c r="G65" s="227">
        <f>W39/S39</f>
        <v>1.5014351954073748</v>
      </c>
      <c r="H65" s="195">
        <f>F65-E65</f>
        <v>231</v>
      </c>
      <c r="I65" s="229">
        <f>G65/H65</f>
        <v>6.4997194606379862E-3</v>
      </c>
      <c r="V65" s="192"/>
    </row>
    <row r="66" spans="1:22" x14ac:dyDescent="0.25">
      <c r="A66" s="195">
        <f>F66-E66</f>
        <v>364</v>
      </c>
      <c r="B66" s="195"/>
      <c r="C66" s="195"/>
      <c r="D66" s="234" t="s">
        <v>254</v>
      </c>
      <c r="E66" s="236">
        <f>E49</f>
        <v>44922</v>
      </c>
      <c r="F66" s="236">
        <f>F63</f>
        <v>45286</v>
      </c>
      <c r="G66" s="237">
        <v>0.57150000000000001</v>
      </c>
      <c r="H66" s="238">
        <f>F66-E66</f>
        <v>364</v>
      </c>
      <c r="I66" s="239">
        <f>G66/H66</f>
        <v>1.5700549450549451E-3</v>
      </c>
      <c r="V66" s="192"/>
    </row>
    <row r="67" spans="1:22" x14ac:dyDescent="0.25">
      <c r="A67" s="195">
        <f>F67-E67</f>
        <v>740</v>
      </c>
      <c r="B67" s="195"/>
      <c r="C67" s="195"/>
      <c r="D67" s="190" t="s">
        <v>254</v>
      </c>
      <c r="E67" s="193">
        <f>E62</f>
        <v>44546</v>
      </c>
      <c r="F67" s="193">
        <f>F61</f>
        <v>45286</v>
      </c>
      <c r="G67" s="227">
        <v>0.97899999999999998</v>
      </c>
      <c r="H67" s="195">
        <f>F67-E67</f>
        <v>740</v>
      </c>
      <c r="I67" s="229">
        <f>G67/H67</f>
        <v>1.322972972972973E-3</v>
      </c>
      <c r="V67" s="192"/>
    </row>
    <row r="68" spans="1:22" x14ac:dyDescent="0.25">
      <c r="A68" s="195">
        <f>F68-E68</f>
        <v>826</v>
      </c>
      <c r="B68" s="195"/>
      <c r="C68" s="195"/>
      <c r="D68" s="190" t="s">
        <v>254</v>
      </c>
      <c r="E68" s="193">
        <f>E51</f>
        <v>44460</v>
      </c>
      <c r="F68" s="193">
        <f>F51</f>
        <v>45286</v>
      </c>
      <c r="G68" s="227">
        <v>2.4</v>
      </c>
      <c r="H68" s="195">
        <f>F68-E68</f>
        <v>826</v>
      </c>
      <c r="I68" s="229">
        <f>G68/H68</f>
        <v>2.9055690072639223E-3</v>
      </c>
      <c r="V68" s="192"/>
    </row>
  </sheetData>
  <mergeCells count="13">
    <mergeCell ref="U2:X2"/>
    <mergeCell ref="E2:F2"/>
    <mergeCell ref="I2:J2"/>
    <mergeCell ref="M10:O10"/>
    <mergeCell ref="Q10:S10"/>
    <mergeCell ref="U10:W10"/>
    <mergeCell ref="E10:G10"/>
    <mergeCell ref="I10:K10"/>
    <mergeCell ref="G9:I9"/>
    <mergeCell ref="K9:M9"/>
    <mergeCell ref="O9:Q9"/>
    <mergeCell ref="S9:U9"/>
    <mergeCell ref="W9:Y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3" t="s">
        <v>204</v>
      </c>
      <c r="D2" s="255"/>
      <c r="E2" s="191" t="s">
        <v>217</v>
      </c>
      <c r="F2" s="253" t="s">
        <v>205</v>
      </c>
      <c r="G2" s="25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3" t="s">
        <v>220</v>
      </c>
      <c r="S2" s="254"/>
      <c r="T2" s="254"/>
      <c r="U2" s="25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6"/>
      <c r="D10" s="257"/>
      <c r="E10" s="258"/>
      <c r="F10" s="256"/>
      <c r="G10" s="257"/>
      <c r="H10" s="258"/>
      <c r="J10" s="256"/>
      <c r="K10" s="257"/>
      <c r="L10" s="258"/>
      <c r="N10" s="259"/>
      <c r="O10" s="260"/>
      <c r="P10" s="261"/>
      <c r="R10" s="256"/>
      <c r="S10" s="257"/>
      <c r="T10" s="25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2" t="s">
        <v>192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2024-02-24T20:48:28Z</dcterms:modified>
</cp:coreProperties>
</file>