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2.xml" ContentType="application/vnd.openxmlformats-officedocument.drawing+xml"/>
  <Override PartName="/xl/tables/table8.xml" ContentType="application/vnd.openxmlformats-officedocument.spreadsheetml.tab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3.xml" ContentType="application/vnd.openxmlformats-officedocument.drawing+xml"/>
  <Override PartName="/xl/tables/table9.xml" ContentType="application/vnd.openxmlformats-officedocument.spreadsheetml.tab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drawings/drawing14.xml" ContentType="application/vnd.openxmlformats-officedocument.drawing+xml"/>
  <Override PartName="/xl/tables/table10.xml" ContentType="application/vnd.openxmlformats-officedocument.spreadsheetml.tab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drawings/drawing15.xml" ContentType="application/vnd.openxmlformats-officedocument.drawing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drawings/drawing19.xml" ContentType="application/vnd.openxmlformats-officedocument.drawing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tables/table11.xml" ContentType="application/vnd.openxmlformats-officedocument.spreadsheetml.tab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8104c48efaf70025/Desktop/"/>
    </mc:Choice>
  </mc:AlternateContent>
  <xr:revisionPtr revIDLastSave="37" documentId="8_{CC40B336-A1F1-406E-9A9B-B6B3917DC84C}" xr6:coauthVersionLast="47" xr6:coauthVersionMax="47" xr10:uidLastSave="{75ACB299-8169-4F71-AE4A-C7A9DEC89B06}"/>
  <bookViews>
    <workbookView xWindow="-120" yWindow="-120" windowWidth="29040" windowHeight="15720" firstSheet="18" activeTab="25" xr2:uid="{00000000-000D-0000-FFFF-FFFF00000000}"/>
  </bookViews>
  <sheets>
    <sheet name="Sheet1" sheetId="1" r:id="rId1"/>
    <sheet name="FinFET_v9_Makale.in" sheetId="2" r:id="rId2"/>
    <sheet name="FinFET_v9_Makale_Try_La2O3.in" sheetId="4" r:id="rId3"/>
    <sheet name="FinFET_v9_Makale_Try_SOI.in" sheetId="5" r:id="rId4"/>
    <sheet name="FinFET_v92 ve FinFET_v94.in" sheetId="6" r:id="rId5"/>
    <sheet name="FinFET_v94.in Sapp-HfO2-TiO2" sheetId="7" r:id="rId6"/>
    <sheet name="FinFET_v94R_BOXSiO2" sheetId="8" r:id="rId7"/>
    <sheet name="FinFET_v95_BOXSiO2 (HfO2)" sheetId="9" r:id="rId8"/>
    <sheet name="FinFET_v96_Bulk_Added" sheetId="10" r:id="rId9"/>
    <sheet name="FinFET_v96_Eq_Kappa_BOX=HfO2" sheetId="11" r:id="rId10"/>
    <sheet name="FinFET_v97_Maxwell Garnet" sheetId="14" r:id="rId11"/>
    <sheet name="FinFET_v97_QTUNN_FN_SCHENK_BBT_" sheetId="15" r:id="rId12"/>
    <sheet name="FinFET_v98_HEI_HHI" sheetId="17" r:id="rId13"/>
    <sheet name="FinFET_v98_HEI_HHI w PENN MODEL" sheetId="19" r:id="rId14"/>
    <sheet name="Keff_V2" sheetId="18" r:id="rId15"/>
    <sheet name="Keff" sheetId="16" r:id="rId16"/>
    <sheet name="FinFET_v97 kappa vs thickness" sheetId="12" r:id="rId17"/>
    <sheet name="Maxwell Garnet model " sheetId="13" r:id="rId18"/>
    <sheet name="No.1" sheetId="29" r:id="rId19"/>
    <sheet name="No.2" sheetId="23" r:id="rId20"/>
    <sheet name="No.3" sheetId="24" r:id="rId21"/>
    <sheet name="No.4" sheetId="25" r:id="rId22"/>
    <sheet name="No.5" sheetId="32" r:id="rId23"/>
    <sheet name="No.6" sheetId="30" r:id="rId24"/>
    <sheet name="No.7" sheetId="28" r:id="rId25"/>
    <sheet name="FinFET_v98C_FOM_NORMALIZED" sheetId="20" r:id="rId2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20" l="1"/>
  <c r="G33" i="20"/>
  <c r="G45" i="20" s="1"/>
  <c r="H33" i="20"/>
  <c r="X37" i="20"/>
  <c r="X36" i="20"/>
  <c r="T36" i="20"/>
  <c r="G46" i="20"/>
  <c r="Z32" i="20"/>
  <c r="Y32" i="20"/>
  <c r="X32" i="20"/>
  <c r="W36" i="20" s="1"/>
  <c r="W32" i="20"/>
  <c r="U36" i="20" s="1"/>
  <c r="V32" i="20"/>
  <c r="U32" i="20"/>
  <c r="V36" i="20" s="1"/>
  <c r="T32" i="20"/>
  <c r="P36" i="20" s="1"/>
  <c r="S32" i="20"/>
  <c r="R32" i="20"/>
  <c r="Q32" i="20"/>
  <c r="P32" i="20"/>
  <c r="N36" i="20" s="1"/>
  <c r="O32" i="20"/>
  <c r="N32" i="20"/>
  <c r="Q36" i="20" s="1"/>
  <c r="M32" i="20"/>
  <c r="K32" i="20"/>
  <c r="K36" i="20" s="1"/>
  <c r="J32" i="20"/>
  <c r="J36" i="20" s="1"/>
  <c r="I32" i="20"/>
  <c r="I36" i="20" s="1"/>
  <c r="H32" i="20"/>
  <c r="H36" i="20" s="1"/>
  <c r="G32" i="20"/>
  <c r="L32" i="20" s="1"/>
  <c r="X31" i="20"/>
  <c r="W31" i="20"/>
  <c r="V31" i="20"/>
  <c r="U31" i="20"/>
  <c r="T31" i="20"/>
  <c r="R31" i="20"/>
  <c r="Q31" i="20"/>
  <c r="P31" i="20"/>
  <c r="O31" i="20"/>
  <c r="N31" i="20"/>
  <c r="AB29" i="20"/>
  <c r="AD29" i="20" s="1"/>
  <c r="Z28" i="20"/>
  <c r="AB28" i="20" s="1"/>
  <c r="AD28" i="20" s="1"/>
  <c r="Z27" i="20"/>
  <c r="Z33" i="20" s="1"/>
  <c r="Y27" i="20"/>
  <c r="Y33" i="20" s="1"/>
  <c r="X27" i="20"/>
  <c r="X33" i="20" s="1"/>
  <c r="W27" i="20"/>
  <c r="W33" i="20" s="1"/>
  <c r="V27" i="20"/>
  <c r="V33" i="20" s="1"/>
  <c r="U27" i="20"/>
  <c r="U33" i="20" s="1"/>
  <c r="T27" i="20"/>
  <c r="T33" i="20" s="1"/>
  <c r="S27" i="20"/>
  <c r="S33" i="20" s="1"/>
  <c r="R27" i="20"/>
  <c r="R33" i="20" s="1"/>
  <c r="O37" i="20" s="1"/>
  <c r="Q27" i="20"/>
  <c r="Q33" i="20" s="1"/>
  <c r="P27" i="20"/>
  <c r="P33" i="20" s="1"/>
  <c r="O27" i="20"/>
  <c r="O33" i="20" s="1"/>
  <c r="N27" i="20"/>
  <c r="N33" i="20" s="1"/>
  <c r="M27" i="20"/>
  <c r="M33" i="20" s="1"/>
  <c r="K27" i="20"/>
  <c r="K33" i="20" s="1"/>
  <c r="J27" i="20"/>
  <c r="J33" i="20" s="1"/>
  <c r="I27" i="20"/>
  <c r="I33" i="20" s="1"/>
  <c r="AD26" i="20"/>
  <c r="AA26" i="20"/>
  <c r="AC26" i="20" s="1"/>
  <c r="L26" i="20"/>
  <c r="AB25" i="20"/>
  <c r="AD25" i="20" s="1"/>
  <c r="L25" i="20"/>
  <c r="AA25" i="20" s="1"/>
  <c r="AC25" i="20" s="1"/>
  <c r="AB24" i="20"/>
  <c r="AD24" i="20" s="1"/>
  <c r="L24" i="20"/>
  <c r="AA24" i="20" s="1"/>
  <c r="AC24" i="20" s="1"/>
  <c r="L23" i="20"/>
  <c r="AB23" i="20" s="1"/>
  <c r="AD23" i="20" s="1"/>
  <c r="L22" i="20"/>
  <c r="AB22" i="20" s="1"/>
  <c r="AD22" i="20" s="1"/>
  <c r="AD21" i="20"/>
  <c r="AB21" i="20"/>
  <c r="AA21" i="20"/>
  <c r="AC21" i="20" s="1"/>
  <c r="L21" i="20"/>
  <c r="L20" i="20"/>
  <c r="AB20" i="20" s="1"/>
  <c r="AD20" i="20" s="1"/>
  <c r="L19" i="20"/>
  <c r="AA18" i="20"/>
  <c r="AC18" i="20" s="1"/>
  <c r="L18" i="20"/>
  <c r="AB18" i="20" s="1"/>
  <c r="AD18" i="20" s="1"/>
  <c r="Y17" i="20"/>
  <c r="T17" i="20"/>
  <c r="Q17" i="20"/>
  <c r="G17" i="20"/>
  <c r="Y16" i="20"/>
  <c r="Q16" i="20"/>
  <c r="Q11" i="20" s="1"/>
  <c r="Y15" i="20"/>
  <c r="Y11" i="20" s="1"/>
  <c r="X15" i="20"/>
  <c r="Q15" i="20"/>
  <c r="L14" i="20"/>
  <c r="G14" i="20" s="1"/>
  <c r="K14" i="20"/>
  <c r="J14" i="20"/>
  <c r="I14" i="20"/>
  <c r="H14" i="20"/>
  <c r="Y13" i="20"/>
  <c r="U13" i="20"/>
  <c r="T13" i="20"/>
  <c r="Q13" i="20"/>
  <c r="Y12" i="20"/>
  <c r="X12" i="20"/>
  <c r="W12" i="20"/>
  <c r="V12" i="20"/>
  <c r="U12" i="20"/>
  <c r="T12" i="20"/>
  <c r="S12" i="20"/>
  <c r="R12" i="20"/>
  <c r="Q12" i="20"/>
  <c r="P12" i="20"/>
  <c r="O12" i="20"/>
  <c r="M12" i="20"/>
  <c r="AE10" i="20"/>
  <c r="Z10" i="20"/>
  <c r="Z16" i="20" s="1"/>
  <c r="X10" i="20"/>
  <c r="X16" i="20" s="1"/>
  <c r="W10" i="20"/>
  <c r="W13" i="20" s="1"/>
  <c r="V10" i="20"/>
  <c r="V15" i="20" s="1"/>
  <c r="U10" i="20"/>
  <c r="U15" i="20" s="1"/>
  <c r="T10" i="20"/>
  <c r="T16" i="20" s="1"/>
  <c r="S10" i="20"/>
  <c r="S16" i="20" s="1"/>
  <c r="R10" i="20"/>
  <c r="R17" i="20" s="1"/>
  <c r="P10" i="20"/>
  <c r="P17" i="20" s="1"/>
  <c r="O10" i="20"/>
  <c r="O17" i="20" s="1"/>
  <c r="N10" i="20"/>
  <c r="N16" i="20" s="1"/>
  <c r="M10" i="20"/>
  <c r="M17" i="20" s="1"/>
  <c r="L10" i="20"/>
  <c r="L16" i="20" s="1"/>
  <c r="K10" i="20"/>
  <c r="K16" i="20" s="1"/>
  <c r="J10" i="20"/>
  <c r="J15" i="20" s="1"/>
  <c r="I10" i="20"/>
  <c r="I15" i="20" s="1"/>
  <c r="H10" i="20"/>
  <c r="H16" i="20" s="1"/>
  <c r="G10" i="20"/>
  <c r="G16" i="20" s="1"/>
  <c r="L4" i="20"/>
  <c r="K4" i="20"/>
  <c r="J4" i="20"/>
  <c r="I4" i="20"/>
  <c r="H4" i="20"/>
  <c r="G4" i="20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0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15" i="18"/>
  <c r="G33" i="19"/>
  <c r="M37" i="20" l="1"/>
  <c r="G51" i="20"/>
  <c r="S11" i="20"/>
  <c r="S13" i="20"/>
  <c r="K15" i="20"/>
  <c r="S15" i="20"/>
  <c r="I16" i="20"/>
  <c r="U16" i="20"/>
  <c r="U11" i="20" s="1"/>
  <c r="X17" i="20"/>
  <c r="L27" i="20"/>
  <c r="L33" i="20" s="1"/>
  <c r="N15" i="20"/>
  <c r="T15" i="20"/>
  <c r="T11" i="20" s="1"/>
  <c r="P16" i="20"/>
  <c r="S17" i="20"/>
  <c r="O13" i="20"/>
  <c r="O15" i="20"/>
  <c r="X11" i="20"/>
  <c r="P13" i="20"/>
  <c r="X13" i="20"/>
  <c r="P15" i="20"/>
  <c r="R16" i="20"/>
  <c r="H17" i="20"/>
  <c r="U17" i="20"/>
  <c r="G15" i="20"/>
  <c r="G11" i="20" s="1"/>
  <c r="J17" i="20"/>
  <c r="V17" i="20"/>
  <c r="R13" i="20"/>
  <c r="H15" i="20"/>
  <c r="H11" i="20" s="1"/>
  <c r="R15" i="20"/>
  <c r="R11" i="20" s="1"/>
  <c r="K17" i="20"/>
  <c r="W17" i="20"/>
  <c r="AB19" i="20"/>
  <c r="AD19" i="20" s="1"/>
  <c r="G53" i="20"/>
  <c r="G62" i="20"/>
  <c r="G50" i="20"/>
  <c r="L37" i="20"/>
  <c r="G54" i="20"/>
  <c r="R37" i="20"/>
  <c r="G60" i="20"/>
  <c r="U37" i="20"/>
  <c r="G61" i="20"/>
  <c r="W37" i="20"/>
  <c r="N37" i="20"/>
  <c r="G56" i="20"/>
  <c r="P37" i="20"/>
  <c r="G57" i="20"/>
  <c r="P11" i="20"/>
  <c r="G59" i="20"/>
  <c r="V37" i="20"/>
  <c r="G48" i="20"/>
  <c r="J37" i="20"/>
  <c r="G49" i="20"/>
  <c r="K37" i="20"/>
  <c r="Q37" i="20"/>
  <c r="G55" i="20"/>
  <c r="AA27" i="20"/>
  <c r="AC27" i="20" s="1"/>
  <c r="G58" i="20"/>
  <c r="T37" i="20"/>
  <c r="AA28" i="20"/>
  <c r="AC28" i="20" s="1"/>
  <c r="W15" i="20"/>
  <c r="O16" i="20"/>
  <c r="O11" i="20" s="1"/>
  <c r="AB27" i="20"/>
  <c r="G36" i="20"/>
  <c r="G37" i="20"/>
  <c r="G52" i="20"/>
  <c r="L17" i="20"/>
  <c r="M13" i="20"/>
  <c r="L15" i="20"/>
  <c r="L11" i="20" s="1"/>
  <c r="N13" i="20"/>
  <c r="M15" i="20"/>
  <c r="I17" i="20"/>
  <c r="AA19" i="20"/>
  <c r="AC19" i="20" s="1"/>
  <c r="AB26" i="20"/>
  <c r="AD27" i="20"/>
  <c r="H37" i="20"/>
  <c r="Z15" i="20"/>
  <c r="Z11" i="20" s="1"/>
  <c r="AA22" i="20"/>
  <c r="AC22" i="20" s="1"/>
  <c r="V16" i="20"/>
  <c r="V11" i="20" s="1"/>
  <c r="N17" i="20"/>
  <c r="N11" i="20" s="1"/>
  <c r="AA20" i="20"/>
  <c r="AC20" i="20" s="1"/>
  <c r="V13" i="20"/>
  <c r="M16" i="20"/>
  <c r="AA23" i="20"/>
  <c r="AC23" i="20" s="1"/>
  <c r="J16" i="20"/>
  <c r="Z17" i="20"/>
  <c r="W16" i="20"/>
  <c r="AD26" i="19"/>
  <c r="Q28" i="18"/>
  <c r="Q29" i="18"/>
  <c r="Q30" i="18"/>
  <c r="P36" i="18"/>
  <c r="B36" i="18"/>
  <c r="C30" i="18"/>
  <c r="C29" i="18"/>
  <c r="C28" i="18"/>
  <c r="L14" i="19"/>
  <c r="G14" i="19" s="1"/>
  <c r="K14" i="19"/>
  <c r="J14" i="19"/>
  <c r="I14" i="19"/>
  <c r="H14" i="19"/>
  <c r="X37" i="19"/>
  <c r="X36" i="19"/>
  <c r="H33" i="19"/>
  <c r="G46" i="19" s="1"/>
  <c r="G45" i="19"/>
  <c r="Y32" i="19"/>
  <c r="X32" i="19"/>
  <c r="W36" i="19" s="1"/>
  <c r="W32" i="19"/>
  <c r="U36" i="19" s="1"/>
  <c r="U32" i="19"/>
  <c r="V36" i="19" s="1"/>
  <c r="V32" i="19"/>
  <c r="T36" i="19" s="1"/>
  <c r="T32" i="19"/>
  <c r="P36" i="19" s="1"/>
  <c r="P32" i="19"/>
  <c r="N36" i="19" s="1"/>
  <c r="N32" i="19"/>
  <c r="Q36" i="19" s="1"/>
  <c r="Q32" i="19"/>
  <c r="S32" i="19"/>
  <c r="R32" i="19"/>
  <c r="O32" i="19"/>
  <c r="M32" i="19"/>
  <c r="K32" i="19"/>
  <c r="K36" i="19" s="1"/>
  <c r="J32" i="19"/>
  <c r="J36" i="19" s="1"/>
  <c r="I32" i="19"/>
  <c r="I36" i="19" s="1"/>
  <c r="H32" i="19"/>
  <c r="H36" i="19" s="1"/>
  <c r="G32" i="19"/>
  <c r="G36" i="19" s="1"/>
  <c r="X31" i="19"/>
  <c r="W31" i="19"/>
  <c r="U31" i="19"/>
  <c r="V31" i="19"/>
  <c r="T31" i="19"/>
  <c r="P31" i="19"/>
  <c r="N31" i="19"/>
  <c r="Q31" i="19"/>
  <c r="R31" i="19"/>
  <c r="O31" i="19"/>
  <c r="AB29" i="19"/>
  <c r="AD29" i="19" s="1"/>
  <c r="Z28" i="19"/>
  <c r="AA28" i="19" s="1"/>
  <c r="AC28" i="19" s="1"/>
  <c r="Z27" i="19"/>
  <c r="Y27" i="19"/>
  <c r="Y33" i="19" s="1"/>
  <c r="G62" i="19" s="1"/>
  <c r="X27" i="19"/>
  <c r="X33" i="19" s="1"/>
  <c r="W27" i="19"/>
  <c r="W33" i="19" s="1"/>
  <c r="U27" i="19"/>
  <c r="U33" i="19" s="1"/>
  <c r="V27" i="19"/>
  <c r="V33" i="19" s="1"/>
  <c r="G58" i="19" s="1"/>
  <c r="T27" i="19"/>
  <c r="T33" i="19" s="1"/>
  <c r="P27" i="19"/>
  <c r="P33" i="19" s="1"/>
  <c r="N27" i="19"/>
  <c r="N33" i="19" s="1"/>
  <c r="Q27" i="19"/>
  <c r="Q33" i="19" s="1"/>
  <c r="S27" i="19"/>
  <c r="S33" i="19" s="1"/>
  <c r="G53" i="19" s="1"/>
  <c r="R27" i="19"/>
  <c r="R33" i="19" s="1"/>
  <c r="O27" i="19"/>
  <c r="O33" i="19" s="1"/>
  <c r="M27" i="19"/>
  <c r="M33" i="19" s="1"/>
  <c r="G50" i="19" s="1"/>
  <c r="K27" i="19"/>
  <c r="K33" i="19" s="1"/>
  <c r="J27" i="19"/>
  <c r="I27" i="19"/>
  <c r="I33" i="19" s="1"/>
  <c r="G47" i="19" s="1"/>
  <c r="L26" i="19"/>
  <c r="AB26" i="19" s="1"/>
  <c r="AB25" i="19"/>
  <c r="AD25" i="19" s="1"/>
  <c r="L25" i="19"/>
  <c r="AA25" i="19" s="1"/>
  <c r="L24" i="19"/>
  <c r="AB24" i="19" s="1"/>
  <c r="AD24" i="19" s="1"/>
  <c r="L23" i="19"/>
  <c r="AB23" i="19" s="1"/>
  <c r="AD23" i="19" s="1"/>
  <c r="L22" i="19"/>
  <c r="AB22" i="19" s="1"/>
  <c r="AD22" i="19" s="1"/>
  <c r="L21" i="19"/>
  <c r="AB21" i="19" s="1"/>
  <c r="AD21" i="19" s="1"/>
  <c r="L20" i="19"/>
  <c r="AB20" i="19" s="1"/>
  <c r="AD20" i="19" s="1"/>
  <c r="L19" i="19"/>
  <c r="AA18" i="19"/>
  <c r="AC18" i="19" s="1"/>
  <c r="L18" i="19"/>
  <c r="AB18" i="19" s="1"/>
  <c r="AD18" i="19" s="1"/>
  <c r="Y17" i="19"/>
  <c r="Q17" i="19"/>
  <c r="Y16" i="19"/>
  <c r="Q16" i="19"/>
  <c r="Y15" i="19"/>
  <c r="Q15" i="19"/>
  <c r="Y12" i="19"/>
  <c r="Q12" i="19"/>
  <c r="O12" i="19"/>
  <c r="Y13" i="19"/>
  <c r="Q13" i="19"/>
  <c r="AE10" i="19"/>
  <c r="Z10" i="19"/>
  <c r="Z15" i="19" s="1"/>
  <c r="X10" i="19"/>
  <c r="X17" i="19" s="1"/>
  <c r="W10" i="19"/>
  <c r="W15" i="19" s="1"/>
  <c r="U10" i="19"/>
  <c r="U17" i="19" s="1"/>
  <c r="V10" i="19"/>
  <c r="V17" i="19" s="1"/>
  <c r="T10" i="19"/>
  <c r="T16" i="19" s="1"/>
  <c r="P10" i="19"/>
  <c r="P12" i="19" s="1"/>
  <c r="N10" i="19"/>
  <c r="N13" i="19" s="1"/>
  <c r="S10" i="19"/>
  <c r="S15" i="19" s="1"/>
  <c r="R10" i="19"/>
  <c r="R15" i="19" s="1"/>
  <c r="O10" i="19"/>
  <c r="O15" i="19" s="1"/>
  <c r="M10" i="19"/>
  <c r="M15" i="19" s="1"/>
  <c r="L10" i="19"/>
  <c r="L17" i="19" s="1"/>
  <c r="K10" i="19"/>
  <c r="K17" i="19" s="1"/>
  <c r="J10" i="19"/>
  <c r="J17" i="19" s="1"/>
  <c r="I10" i="19"/>
  <c r="H10" i="19"/>
  <c r="H16" i="19" s="1"/>
  <c r="G10" i="19"/>
  <c r="G17" i="19" s="1"/>
  <c r="L4" i="19"/>
  <c r="K4" i="19"/>
  <c r="J4" i="19"/>
  <c r="I4" i="19"/>
  <c r="H4" i="19"/>
  <c r="G4" i="19"/>
  <c r="I29" i="18"/>
  <c r="I28" i="18"/>
  <c r="G30" i="18"/>
  <c r="G29" i="18"/>
  <c r="G28" i="18"/>
  <c r="D30" i="18"/>
  <c r="D29" i="18"/>
  <c r="D28" i="18"/>
  <c r="F30" i="18"/>
  <c r="F29" i="18"/>
  <c r="F28" i="18"/>
  <c r="L29" i="18"/>
  <c r="L28" i="18"/>
  <c r="K30" i="18"/>
  <c r="K29" i="18"/>
  <c r="K28" i="18"/>
  <c r="J30" i="18"/>
  <c r="J29" i="18"/>
  <c r="J28" i="18"/>
  <c r="M29" i="18"/>
  <c r="M28" i="18"/>
  <c r="N30" i="18"/>
  <c r="N29" i="18"/>
  <c r="N28" i="18"/>
  <c r="O29" i="18"/>
  <c r="O28" i="18"/>
  <c r="H29" i="18"/>
  <c r="E30" i="18"/>
  <c r="E29" i="18"/>
  <c r="E28" i="18"/>
  <c r="T30" i="18"/>
  <c r="O22" i="18"/>
  <c r="N22" i="18"/>
  <c r="M22" i="18"/>
  <c r="K22" i="18"/>
  <c r="L22" i="18"/>
  <c r="J22" i="18"/>
  <c r="F22" i="18"/>
  <c r="D22" i="18"/>
  <c r="G22" i="18"/>
  <c r="I22" i="18"/>
  <c r="H22" i="18"/>
  <c r="E22" i="18"/>
  <c r="C22" i="18"/>
  <c r="O21" i="18"/>
  <c r="N21" i="18"/>
  <c r="M21" i="18"/>
  <c r="K21" i="18"/>
  <c r="L21" i="18"/>
  <c r="J21" i="18"/>
  <c r="F21" i="18"/>
  <c r="D21" i="18"/>
  <c r="G21" i="18"/>
  <c r="I21" i="18"/>
  <c r="H21" i="18"/>
  <c r="E21" i="18"/>
  <c r="C21" i="18"/>
  <c r="C26" i="18" s="1"/>
  <c r="O20" i="18"/>
  <c r="N20" i="18"/>
  <c r="M20" i="18"/>
  <c r="K20" i="18"/>
  <c r="L20" i="18"/>
  <c r="J20" i="18"/>
  <c r="F20" i="18"/>
  <c r="D20" i="18"/>
  <c r="G20" i="18"/>
  <c r="I20" i="18"/>
  <c r="H20" i="18"/>
  <c r="E20" i="18"/>
  <c r="C20" i="18"/>
  <c r="C25" i="18" s="1"/>
  <c r="O19" i="18"/>
  <c r="N19" i="18"/>
  <c r="M19" i="18"/>
  <c r="K19" i="18"/>
  <c r="L19" i="18"/>
  <c r="J19" i="18"/>
  <c r="F19" i="18"/>
  <c r="D19" i="18"/>
  <c r="G19" i="18"/>
  <c r="I19" i="18"/>
  <c r="H19" i="18"/>
  <c r="E19" i="18"/>
  <c r="C19" i="18"/>
  <c r="C24" i="18" s="1"/>
  <c r="J20" i="16"/>
  <c r="F21" i="16"/>
  <c r="G21" i="16" s="1"/>
  <c r="E20" i="16"/>
  <c r="F20" i="16" s="1"/>
  <c r="L19" i="16"/>
  <c r="N19" i="16" s="1"/>
  <c r="B21" i="16"/>
  <c r="C21" i="16" s="1"/>
  <c r="B20" i="16"/>
  <c r="C20" i="16" s="1"/>
  <c r="B19" i="16"/>
  <c r="C19" i="16" s="1"/>
  <c r="D19" i="16" s="1"/>
  <c r="C16" i="16"/>
  <c r="D16" i="16"/>
  <c r="E16" i="16"/>
  <c r="F16" i="16"/>
  <c r="G16" i="16"/>
  <c r="H16" i="16"/>
  <c r="I16" i="16"/>
  <c r="J16" i="16"/>
  <c r="K16" i="16"/>
  <c r="L16" i="16"/>
  <c r="M16" i="16"/>
  <c r="N16" i="16"/>
  <c r="B16" i="16"/>
  <c r="C15" i="16"/>
  <c r="D15" i="16"/>
  <c r="E15" i="16"/>
  <c r="F15" i="16"/>
  <c r="G15" i="16"/>
  <c r="H15" i="16"/>
  <c r="I15" i="16"/>
  <c r="J15" i="16"/>
  <c r="K15" i="16"/>
  <c r="L15" i="16"/>
  <c r="L22" i="16" s="1"/>
  <c r="M15" i="16"/>
  <c r="N15" i="16"/>
  <c r="N22" i="16" s="1"/>
  <c r="B15" i="16"/>
  <c r="C14" i="16"/>
  <c r="D14" i="16"/>
  <c r="E14" i="16"/>
  <c r="E22" i="16" s="1"/>
  <c r="F14" i="16"/>
  <c r="G14" i="16"/>
  <c r="H14" i="16"/>
  <c r="I14" i="16"/>
  <c r="I22" i="16" s="1"/>
  <c r="I23" i="16" s="1"/>
  <c r="J14" i="16"/>
  <c r="K14" i="16"/>
  <c r="L14" i="16"/>
  <c r="M14" i="16"/>
  <c r="M24" i="16" s="1"/>
  <c r="M25" i="16" s="1"/>
  <c r="N14" i="16"/>
  <c r="N24" i="16" s="1"/>
  <c r="B14" i="16"/>
  <c r="C13" i="16"/>
  <c r="C22" i="16" s="1"/>
  <c r="C23" i="16" s="1"/>
  <c r="D13" i="16"/>
  <c r="D22" i="16" s="1"/>
  <c r="E13" i="16"/>
  <c r="E24" i="16" s="1"/>
  <c r="E25" i="16" s="1"/>
  <c r="F13" i="16"/>
  <c r="G13" i="16"/>
  <c r="G22" i="16" s="1"/>
  <c r="G23" i="16" s="1"/>
  <c r="H13" i="16"/>
  <c r="H24" i="16" s="1"/>
  <c r="H25" i="16" s="1"/>
  <c r="I13" i="16"/>
  <c r="I17" i="16" s="1"/>
  <c r="J13" i="16"/>
  <c r="J22" i="16" s="1"/>
  <c r="J23" i="16" s="1"/>
  <c r="K13" i="16"/>
  <c r="L13" i="16"/>
  <c r="L17" i="16" s="1"/>
  <c r="M13" i="16"/>
  <c r="N13" i="16"/>
  <c r="N17" i="16" s="1"/>
  <c r="B13" i="16"/>
  <c r="B24" i="16" s="1"/>
  <c r="B25" i="16" s="1"/>
  <c r="C26" i="16" l="1"/>
  <c r="G20" i="16"/>
  <c r="K20" i="16"/>
  <c r="C27" i="16"/>
  <c r="H20" i="16"/>
  <c r="G19" i="16"/>
  <c r="H19" i="16" s="1"/>
  <c r="D26" i="16"/>
  <c r="D27" i="16" s="1"/>
  <c r="K17" i="16"/>
  <c r="D24" i="16"/>
  <c r="D25" i="16" s="1"/>
  <c r="C24" i="16"/>
  <c r="C25" i="16" s="1"/>
  <c r="H21" i="16"/>
  <c r="AB28" i="19"/>
  <c r="AD28" i="19" s="1"/>
  <c r="AD27" i="19"/>
  <c r="F22" i="16"/>
  <c r="H22" i="16"/>
  <c r="H23" i="16" s="1"/>
  <c r="G24" i="16"/>
  <c r="G25" i="16" s="1"/>
  <c r="K22" i="16"/>
  <c r="K23" i="16" s="1"/>
  <c r="L20" i="16"/>
  <c r="L26" i="16" s="1"/>
  <c r="L27" i="16" s="1"/>
  <c r="M22" i="16"/>
  <c r="AA21" i="19"/>
  <c r="AC21" i="19" s="1"/>
  <c r="E19" i="16"/>
  <c r="K11" i="20"/>
  <c r="M17" i="16"/>
  <c r="K24" i="16"/>
  <c r="K25" i="16" s="1"/>
  <c r="J11" i="20"/>
  <c r="I24" i="16"/>
  <c r="I25" i="16" s="1"/>
  <c r="I11" i="20"/>
  <c r="M11" i="20"/>
  <c r="G47" i="20"/>
  <c r="I37" i="20"/>
  <c r="W11" i="20"/>
  <c r="Q33" i="18"/>
  <c r="Q34" i="18" s="1"/>
  <c r="Q31" i="18"/>
  <c r="Q32" i="18" s="1"/>
  <c r="C31" i="18"/>
  <c r="C33" i="18"/>
  <c r="C34" i="18" s="1"/>
  <c r="AA22" i="19"/>
  <c r="AC22" i="19" s="1"/>
  <c r="L27" i="19"/>
  <c r="L33" i="19" s="1"/>
  <c r="W16" i="19"/>
  <c r="M13" i="19"/>
  <c r="T13" i="19"/>
  <c r="V13" i="19"/>
  <c r="U13" i="19"/>
  <c r="Z33" i="19"/>
  <c r="M17" i="19"/>
  <c r="X13" i="19"/>
  <c r="G37" i="19"/>
  <c r="M12" i="19"/>
  <c r="Y11" i="19"/>
  <c r="L32" i="19"/>
  <c r="Q11" i="19"/>
  <c r="P13" i="19"/>
  <c r="M16" i="19"/>
  <c r="W13" i="19"/>
  <c r="I16" i="19"/>
  <c r="X16" i="19"/>
  <c r="J16" i="19"/>
  <c r="K16" i="19"/>
  <c r="Z16" i="19"/>
  <c r="L16" i="19"/>
  <c r="O13" i="19"/>
  <c r="O17" i="19"/>
  <c r="R13" i="19"/>
  <c r="R12" i="19"/>
  <c r="O16" i="19"/>
  <c r="R17" i="19"/>
  <c r="S13" i="19"/>
  <c r="S12" i="19"/>
  <c r="R16" i="19"/>
  <c r="S17" i="19"/>
  <c r="S16" i="19"/>
  <c r="V16" i="19"/>
  <c r="Z17" i="19"/>
  <c r="U16" i="19"/>
  <c r="G59" i="19"/>
  <c r="V37" i="19"/>
  <c r="G60" i="19"/>
  <c r="U37" i="19"/>
  <c r="G49" i="19"/>
  <c r="K37" i="19"/>
  <c r="G57" i="19"/>
  <c r="P37" i="19"/>
  <c r="G61" i="19"/>
  <c r="W37" i="19"/>
  <c r="L37" i="19"/>
  <c r="O37" i="19"/>
  <c r="G52" i="19"/>
  <c r="M37" i="19"/>
  <c r="G51" i="19"/>
  <c r="R37" i="19"/>
  <c r="G54" i="19"/>
  <c r="Q37" i="19"/>
  <c r="G55" i="19"/>
  <c r="N37" i="19"/>
  <c r="G56" i="19"/>
  <c r="T37" i="19"/>
  <c r="H37" i="19"/>
  <c r="Z32" i="19"/>
  <c r="I37" i="19"/>
  <c r="J33" i="19"/>
  <c r="AA20" i="19"/>
  <c r="AC20" i="19" s="1"/>
  <c r="G15" i="19"/>
  <c r="AC25" i="19"/>
  <c r="H15" i="19"/>
  <c r="I15" i="19"/>
  <c r="V15" i="19"/>
  <c r="AA23" i="19"/>
  <c r="AC23" i="19" s="1"/>
  <c r="J15" i="19"/>
  <c r="U15" i="19"/>
  <c r="K15" i="19"/>
  <c r="P17" i="19"/>
  <c r="L15" i="19"/>
  <c r="H17" i="19"/>
  <c r="T17" i="19"/>
  <c r="AA26" i="19"/>
  <c r="AC26" i="19" s="1"/>
  <c r="V12" i="19"/>
  <c r="I17" i="19"/>
  <c r="AA19" i="19"/>
  <c r="AC19" i="19" s="1"/>
  <c r="U12" i="19"/>
  <c r="N16" i="19"/>
  <c r="AB19" i="19"/>
  <c r="AD19" i="19" s="1"/>
  <c r="AA24" i="19"/>
  <c r="AC24" i="19" s="1"/>
  <c r="W12" i="19"/>
  <c r="G16" i="19"/>
  <c r="P16" i="19"/>
  <c r="W17" i="19"/>
  <c r="N15" i="19"/>
  <c r="P15" i="19"/>
  <c r="T15" i="19"/>
  <c r="N17" i="19"/>
  <c r="T12" i="19"/>
  <c r="X15" i="19"/>
  <c r="X12" i="19"/>
  <c r="J33" i="18"/>
  <c r="J34" i="18" s="1"/>
  <c r="L23" i="18"/>
  <c r="J31" i="18"/>
  <c r="J32" i="18" s="1"/>
  <c r="I23" i="18"/>
  <c r="G23" i="18"/>
  <c r="G33" i="18" s="1"/>
  <c r="G34" i="18" s="1"/>
  <c r="I31" i="18"/>
  <c r="I35" i="18" s="1"/>
  <c r="I36" i="18" s="1"/>
  <c r="G31" i="18"/>
  <c r="G32" i="18" s="1"/>
  <c r="H23" i="18"/>
  <c r="E33" i="18"/>
  <c r="E34" i="18" s="1"/>
  <c r="O31" i="18"/>
  <c r="D23" i="18"/>
  <c r="F23" i="18"/>
  <c r="O23" i="18"/>
  <c r="N31" i="18"/>
  <c r="M31" i="18"/>
  <c r="E31" i="18"/>
  <c r="E32" i="18" s="1"/>
  <c r="O33" i="18"/>
  <c r="E23" i="18"/>
  <c r="C23" i="18"/>
  <c r="F31" i="18"/>
  <c r="F32" i="18" s="1"/>
  <c r="L31" i="18"/>
  <c r="L32" i="18" s="1"/>
  <c r="K33" i="18"/>
  <c r="K34" i="18" s="1"/>
  <c r="M23" i="18"/>
  <c r="K23" i="18"/>
  <c r="J23" i="18"/>
  <c r="N33" i="18"/>
  <c r="N34" i="18" s="1"/>
  <c r="N23" i="18"/>
  <c r="K31" i="18"/>
  <c r="K32" i="18" s="1"/>
  <c r="H33" i="18"/>
  <c r="H34" i="18" s="1"/>
  <c r="I33" i="18"/>
  <c r="I34" i="18" s="1"/>
  <c r="H31" i="18"/>
  <c r="D33" i="18"/>
  <c r="D34" i="18" s="1"/>
  <c r="H28" i="18"/>
  <c r="F33" i="18"/>
  <c r="F34" i="18" s="1"/>
  <c r="D31" i="18"/>
  <c r="D32" i="18" s="1"/>
  <c r="F23" i="16"/>
  <c r="B22" i="16"/>
  <c r="B23" i="16" s="1"/>
  <c r="E17" i="16"/>
  <c r="D17" i="16"/>
  <c r="B17" i="16"/>
  <c r="C17" i="16"/>
  <c r="F17" i="16"/>
  <c r="F24" i="16" s="1"/>
  <c r="F25" i="16" s="1"/>
  <c r="G17" i="16"/>
  <c r="J17" i="16"/>
  <c r="H17" i="16"/>
  <c r="G33" i="17"/>
  <c r="H33" i="17"/>
  <c r="Z28" i="17"/>
  <c r="W11" i="19" l="1"/>
  <c r="G26" i="16"/>
  <c r="G27" i="16" s="1"/>
  <c r="M19" i="16"/>
  <c r="I19" i="16"/>
  <c r="E26" i="16"/>
  <c r="E27" i="16" s="1"/>
  <c r="F19" i="16"/>
  <c r="F26" i="16" s="1"/>
  <c r="F27" i="16" s="1"/>
  <c r="K19" i="16"/>
  <c r="K26" i="16" s="1"/>
  <c r="J19" i="16"/>
  <c r="J26" i="16" s="1"/>
  <c r="J27" i="16" s="1"/>
  <c r="AB27" i="19"/>
  <c r="I21" i="16"/>
  <c r="K21" i="16" s="1"/>
  <c r="H27" i="16"/>
  <c r="H26" i="16"/>
  <c r="I20" i="16"/>
  <c r="Q35" i="18"/>
  <c r="C35" i="18"/>
  <c r="C36" i="18" s="1"/>
  <c r="C32" i="18"/>
  <c r="AA27" i="19"/>
  <c r="AC27" i="19" s="1"/>
  <c r="X11" i="19"/>
  <c r="V11" i="19"/>
  <c r="Z11" i="19"/>
  <c r="J11" i="19"/>
  <c r="M11" i="19"/>
  <c r="S11" i="19"/>
  <c r="L11" i="19"/>
  <c r="R11" i="19"/>
  <c r="U11" i="19"/>
  <c r="O11" i="19"/>
  <c r="K11" i="19"/>
  <c r="P11" i="19"/>
  <c r="N11" i="19"/>
  <c r="I11" i="19"/>
  <c r="H11" i="19"/>
  <c r="G11" i="19"/>
  <c r="G48" i="19"/>
  <c r="J37" i="19"/>
  <c r="T11" i="19"/>
  <c r="G35" i="18"/>
  <c r="G36" i="18" s="1"/>
  <c r="E35" i="18"/>
  <c r="E36" i="18" s="1"/>
  <c r="H35" i="18"/>
  <c r="H36" i="18" s="1"/>
  <c r="M35" i="18"/>
  <c r="M36" i="18" s="1"/>
  <c r="B26" i="16"/>
  <c r="B27" i="16" s="1"/>
  <c r="G46" i="17"/>
  <c r="G45" i="17"/>
  <c r="X37" i="17"/>
  <c r="X36" i="17"/>
  <c r="W36" i="17"/>
  <c r="V36" i="17"/>
  <c r="H37" i="17"/>
  <c r="G37" i="17"/>
  <c r="Y32" i="17"/>
  <c r="X32" i="17"/>
  <c r="W32" i="17"/>
  <c r="V32" i="17"/>
  <c r="U36" i="17" s="1"/>
  <c r="U32" i="17"/>
  <c r="T36" i="17" s="1"/>
  <c r="T32" i="17"/>
  <c r="S36" i="17" s="1"/>
  <c r="S32" i="17"/>
  <c r="R36" i="17" s="1"/>
  <c r="R32" i="17"/>
  <c r="Q36" i="17" s="1"/>
  <c r="Q32" i="17"/>
  <c r="P32" i="17"/>
  <c r="O32" i="17"/>
  <c r="N32" i="17"/>
  <c r="M32" i="17"/>
  <c r="K32" i="17"/>
  <c r="K36" i="17" s="1"/>
  <c r="J32" i="17"/>
  <c r="J36" i="17" s="1"/>
  <c r="I32" i="17"/>
  <c r="I36" i="17" s="1"/>
  <c r="H32" i="17"/>
  <c r="H36" i="17" s="1"/>
  <c r="G32" i="17"/>
  <c r="L32" i="17" s="1"/>
  <c r="X31" i="17"/>
  <c r="W31" i="17"/>
  <c r="V31" i="17"/>
  <c r="U31" i="17"/>
  <c r="T31" i="17"/>
  <c r="S31" i="17"/>
  <c r="R31" i="17"/>
  <c r="Q31" i="17"/>
  <c r="O31" i="17"/>
  <c r="N31" i="17"/>
  <c r="AB29" i="17"/>
  <c r="AD29" i="17" s="1"/>
  <c r="Z27" i="17"/>
  <c r="Z33" i="17" s="1"/>
  <c r="Y27" i="17"/>
  <c r="X27" i="17"/>
  <c r="X33" i="17" s="1"/>
  <c r="W27" i="17"/>
  <c r="W33" i="17" s="1"/>
  <c r="V27" i="17"/>
  <c r="V33" i="17" s="1"/>
  <c r="U27" i="17"/>
  <c r="U33" i="17" s="1"/>
  <c r="T27" i="17"/>
  <c r="T33" i="17" s="1"/>
  <c r="S27" i="17"/>
  <c r="S33" i="17" s="1"/>
  <c r="R27" i="17"/>
  <c r="R33" i="17" s="1"/>
  <c r="Q27" i="17"/>
  <c r="Q33" i="17" s="1"/>
  <c r="P27" i="17"/>
  <c r="O27" i="17"/>
  <c r="O33" i="17" s="1"/>
  <c r="N27" i="17"/>
  <c r="N33" i="17" s="1"/>
  <c r="M27" i="17"/>
  <c r="M33" i="17" s="1"/>
  <c r="K27" i="17"/>
  <c r="K33" i="17" s="1"/>
  <c r="J27" i="17"/>
  <c r="J33" i="17" s="1"/>
  <c r="I27" i="17"/>
  <c r="I33" i="17" s="1"/>
  <c r="L26" i="17"/>
  <c r="AB26" i="17" s="1"/>
  <c r="AD26" i="17" s="1"/>
  <c r="AB25" i="17"/>
  <c r="AD25" i="17" s="1"/>
  <c r="L25" i="17"/>
  <c r="AA25" i="17" s="1"/>
  <c r="AC25" i="17" s="1"/>
  <c r="L24" i="17"/>
  <c r="AB24" i="17" s="1"/>
  <c r="AD24" i="17" s="1"/>
  <c r="L23" i="17"/>
  <c r="AB23" i="17" s="1"/>
  <c r="AD23" i="17" s="1"/>
  <c r="L22" i="17"/>
  <c r="AB22" i="17" s="1"/>
  <c r="AD22" i="17" s="1"/>
  <c r="L21" i="17"/>
  <c r="AB21" i="17" s="1"/>
  <c r="AD21" i="17" s="1"/>
  <c r="L20" i="17"/>
  <c r="AB20" i="17" s="1"/>
  <c r="AD20" i="17" s="1"/>
  <c r="L19" i="17"/>
  <c r="AA18" i="17"/>
  <c r="AC18" i="17" s="1"/>
  <c r="L18" i="17"/>
  <c r="AB18" i="17" s="1"/>
  <c r="AD18" i="17" s="1"/>
  <c r="Z17" i="17"/>
  <c r="Y17" i="17"/>
  <c r="X17" i="17"/>
  <c r="Q17" i="17"/>
  <c r="M17" i="17"/>
  <c r="L17" i="17"/>
  <c r="Z16" i="17"/>
  <c r="Y16" i="17"/>
  <c r="T16" i="17"/>
  <c r="Q16" i="17"/>
  <c r="M16" i="17"/>
  <c r="L16" i="17"/>
  <c r="K16" i="17"/>
  <c r="J16" i="17"/>
  <c r="Y15" i="17"/>
  <c r="Q15" i="17"/>
  <c r="Z14" i="17"/>
  <c r="Y14" i="17"/>
  <c r="Y12" i="17" s="1"/>
  <c r="Q14" i="17"/>
  <c r="Q12" i="17" s="1"/>
  <c r="M14" i="17"/>
  <c r="M12" i="17" s="1"/>
  <c r="L14" i="17"/>
  <c r="Y13" i="17"/>
  <c r="T13" i="17"/>
  <c r="Q13" i="17"/>
  <c r="M13" i="17"/>
  <c r="AE10" i="17"/>
  <c r="Z10" i="17"/>
  <c r="Z15" i="17" s="1"/>
  <c r="X10" i="17"/>
  <c r="X15" i="17" s="1"/>
  <c r="W10" i="17"/>
  <c r="W17" i="17" s="1"/>
  <c r="V10" i="17"/>
  <c r="V14" i="17" s="1"/>
  <c r="V12" i="17" s="1"/>
  <c r="U10" i="17"/>
  <c r="U17" i="17" s="1"/>
  <c r="T10" i="17"/>
  <c r="T17" i="17" s="1"/>
  <c r="S10" i="17"/>
  <c r="S16" i="17" s="1"/>
  <c r="R10" i="17"/>
  <c r="R16" i="17" s="1"/>
  <c r="P10" i="17"/>
  <c r="P13" i="17" s="1"/>
  <c r="O10" i="17"/>
  <c r="O15" i="17" s="1"/>
  <c r="N10" i="17"/>
  <c r="N15" i="17" s="1"/>
  <c r="M10" i="17"/>
  <c r="M15" i="17" s="1"/>
  <c r="L10" i="17"/>
  <c r="L15" i="17" s="1"/>
  <c r="K10" i="17"/>
  <c r="K17" i="17" s="1"/>
  <c r="J10" i="17"/>
  <c r="J17" i="17" s="1"/>
  <c r="I10" i="17"/>
  <c r="I14" i="17" s="1"/>
  <c r="H10" i="17"/>
  <c r="H14" i="17" s="1"/>
  <c r="G10" i="17"/>
  <c r="G16" i="17" s="1"/>
  <c r="L4" i="17"/>
  <c r="K4" i="17"/>
  <c r="J4" i="17"/>
  <c r="I4" i="17"/>
  <c r="H4" i="17"/>
  <c r="G4" i="17"/>
  <c r="M21" i="16" l="1"/>
  <c r="K27" i="16"/>
  <c r="N13" i="17"/>
  <c r="O13" i="17"/>
  <c r="V13" i="17"/>
  <c r="N14" i="17"/>
  <c r="N12" i="17" s="1"/>
  <c r="U16" i="17"/>
  <c r="Y11" i="17"/>
  <c r="G62" i="17"/>
  <c r="Y33" i="17"/>
  <c r="O14" i="17"/>
  <c r="O12" i="17" s="1"/>
  <c r="V16" i="17"/>
  <c r="U13" i="17"/>
  <c r="W13" i="17"/>
  <c r="L11" i="17"/>
  <c r="R13" i="17"/>
  <c r="X13" i="17"/>
  <c r="H16" i="17"/>
  <c r="N16" i="17"/>
  <c r="N11" i="17" s="1"/>
  <c r="W16" i="17"/>
  <c r="N17" i="17"/>
  <c r="AA22" i="17"/>
  <c r="AC22" i="17" s="1"/>
  <c r="M20" i="16"/>
  <c r="M26" i="16" s="1"/>
  <c r="I26" i="16"/>
  <c r="I27" i="16" s="1"/>
  <c r="M11" i="17"/>
  <c r="S13" i="17"/>
  <c r="X14" i="17"/>
  <c r="X12" i="17" s="1"/>
  <c r="I16" i="17"/>
  <c r="O16" i="17"/>
  <c r="O11" i="17" s="1"/>
  <c r="X16" i="17"/>
  <c r="O17" i="17"/>
  <c r="G53" i="17"/>
  <c r="P33" i="17"/>
  <c r="N35" i="18"/>
  <c r="J35" i="18"/>
  <c r="J36" i="18" s="1"/>
  <c r="D35" i="18"/>
  <c r="D36" i="18" s="1"/>
  <c r="Q11" i="17"/>
  <c r="Z11" i="17"/>
  <c r="X11" i="17"/>
  <c r="Q37" i="17"/>
  <c r="G55" i="17"/>
  <c r="R37" i="17"/>
  <c r="G56" i="17"/>
  <c r="G58" i="17"/>
  <c r="T37" i="17"/>
  <c r="G59" i="17"/>
  <c r="U37" i="17"/>
  <c r="G48" i="17"/>
  <c r="J37" i="17"/>
  <c r="G60" i="17"/>
  <c r="V37" i="17"/>
  <c r="G49" i="17"/>
  <c r="K37" i="17"/>
  <c r="G61" i="17"/>
  <c r="W37" i="17"/>
  <c r="G50" i="17"/>
  <c r="L37" i="17"/>
  <c r="M37" i="17"/>
  <c r="G51" i="17"/>
  <c r="G57" i="17"/>
  <c r="S37" i="17"/>
  <c r="N37" i="17"/>
  <c r="G52" i="17"/>
  <c r="O37" i="17"/>
  <c r="G54" i="17"/>
  <c r="G36" i="17"/>
  <c r="Z32" i="17"/>
  <c r="P15" i="17"/>
  <c r="R15" i="17"/>
  <c r="AA20" i="17"/>
  <c r="AC20" i="17" s="1"/>
  <c r="G15" i="17"/>
  <c r="S15" i="17"/>
  <c r="L27" i="17"/>
  <c r="AB27" i="17" s="1"/>
  <c r="AD27" i="17" s="1"/>
  <c r="P14" i="17"/>
  <c r="P12" i="17" s="1"/>
  <c r="T15" i="17"/>
  <c r="T11" i="17" s="1"/>
  <c r="P17" i="17"/>
  <c r="U15" i="17"/>
  <c r="U11" i="17" s="1"/>
  <c r="J15" i="17"/>
  <c r="J11" i="17" s="1"/>
  <c r="V15" i="17"/>
  <c r="V11" i="17" s="1"/>
  <c r="S14" i="17"/>
  <c r="S12" i="17" s="1"/>
  <c r="W15" i="17"/>
  <c r="AA21" i="17"/>
  <c r="AC21" i="17" s="1"/>
  <c r="T14" i="17"/>
  <c r="T12" i="17" s="1"/>
  <c r="P16" i="17"/>
  <c r="V17" i="17"/>
  <c r="AB19" i="17"/>
  <c r="AD19" i="17" s="1"/>
  <c r="AA24" i="17"/>
  <c r="AC24" i="17" s="1"/>
  <c r="H15" i="17"/>
  <c r="I15" i="17"/>
  <c r="AA23" i="17"/>
  <c r="AC23" i="17" s="1"/>
  <c r="R14" i="17"/>
  <c r="R12" i="17" s="1"/>
  <c r="R17" i="17"/>
  <c r="K15" i="17"/>
  <c r="K11" i="17" s="1"/>
  <c r="G17" i="17"/>
  <c r="S17" i="17"/>
  <c r="G14" i="17"/>
  <c r="H17" i="17"/>
  <c r="AA26" i="17"/>
  <c r="AC26" i="17" s="1"/>
  <c r="U14" i="17"/>
  <c r="U12" i="17" s="1"/>
  <c r="I17" i="17"/>
  <c r="AA19" i="17"/>
  <c r="AC19" i="17" s="1"/>
  <c r="K14" i="17"/>
  <c r="W14" i="17"/>
  <c r="W12" i="17" s="1"/>
  <c r="N20" i="16" l="1"/>
  <c r="N26" i="16" s="1"/>
  <c r="N27" i="16" s="1"/>
  <c r="M27" i="16"/>
  <c r="L33" i="17"/>
  <c r="AA27" i="17"/>
  <c r="AC27" i="17" s="1"/>
  <c r="W11" i="17"/>
  <c r="R11" i="17"/>
  <c r="N36" i="18"/>
  <c r="O35" i="18"/>
  <c r="O36" i="18" s="1"/>
  <c r="K35" i="18"/>
  <c r="K36" i="18" s="1"/>
  <c r="L35" i="18"/>
  <c r="L36" i="18" s="1"/>
  <c r="F35" i="18"/>
  <c r="F36" i="18" s="1"/>
  <c r="I11" i="17"/>
  <c r="S11" i="17"/>
  <c r="G11" i="17"/>
  <c r="P11" i="17"/>
  <c r="H11" i="17"/>
  <c r="G47" i="17"/>
  <c r="I37" i="17"/>
  <c r="AB25" i="15"/>
  <c r="AD25" i="15" s="1"/>
  <c r="AA18" i="15"/>
  <c r="AC18" i="15" s="1"/>
  <c r="AB29" i="15"/>
  <c r="AD29" i="15" s="1"/>
  <c r="D4" i="16"/>
  <c r="G45" i="15"/>
  <c r="H33" i="15"/>
  <c r="G33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Q50" i="13" l="1"/>
  <c r="Q52" i="13" s="1"/>
  <c r="K50" i="13"/>
  <c r="K52" i="13" s="1"/>
  <c r="E50" i="13"/>
  <c r="R49" i="13"/>
  <c r="L49" i="13"/>
  <c r="F49" i="13"/>
  <c r="F55" i="13" s="1"/>
  <c r="S48" i="13"/>
  <c r="M48" i="13"/>
  <c r="G48" i="13"/>
  <c r="T47" i="13"/>
  <c r="N47" i="13"/>
  <c r="H47" i="13"/>
  <c r="U46" i="13"/>
  <c r="O46" i="13"/>
  <c r="O56" i="13" s="1"/>
  <c r="I46" i="13"/>
  <c r="I56" i="13" s="1"/>
  <c r="C46" i="13"/>
  <c r="C55" i="13" s="1"/>
  <c r="T45" i="13"/>
  <c r="S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U50" i="13" s="1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J36" i="13"/>
  <c r="I36" i="13"/>
  <c r="G36" i="13"/>
  <c r="H36" i="13" s="1"/>
  <c r="J35" i="13"/>
  <c r="I35" i="13"/>
  <c r="G35" i="13"/>
  <c r="H35" i="13" s="1"/>
  <c r="J34" i="13"/>
  <c r="I34" i="13"/>
  <c r="G34" i="13"/>
  <c r="H34" i="13" s="1"/>
  <c r="J33" i="13"/>
  <c r="I33" i="13"/>
  <c r="G33" i="13"/>
  <c r="H33" i="13" s="1"/>
  <c r="J32" i="13"/>
  <c r="I32" i="13"/>
  <c r="G32" i="13"/>
  <c r="H32" i="13" s="1"/>
  <c r="J31" i="13"/>
  <c r="I31" i="13"/>
  <c r="G31" i="13"/>
  <c r="H31" i="13" s="1"/>
  <c r="J30" i="13"/>
  <c r="I30" i="13"/>
  <c r="G30" i="13"/>
  <c r="H30" i="13" s="1"/>
  <c r="J29" i="13"/>
  <c r="I29" i="13"/>
  <c r="G29" i="13"/>
  <c r="H29" i="13" s="1"/>
  <c r="J28" i="13"/>
  <c r="I28" i="13"/>
  <c r="G28" i="13"/>
  <c r="H28" i="13" s="1"/>
  <c r="J27" i="13"/>
  <c r="I27" i="13"/>
  <c r="G27" i="13"/>
  <c r="H27" i="13" s="1"/>
  <c r="J26" i="13"/>
  <c r="I26" i="13"/>
  <c r="G26" i="13"/>
  <c r="H26" i="13" s="1"/>
  <c r="N22" i="13"/>
  <c r="M22" i="13"/>
  <c r="L22" i="13"/>
  <c r="I22" i="13"/>
  <c r="H22" i="13"/>
  <c r="G22" i="13"/>
  <c r="N21" i="13"/>
  <c r="M21" i="13"/>
  <c r="L21" i="13"/>
  <c r="I21" i="13"/>
  <c r="H21" i="13"/>
  <c r="G21" i="13"/>
  <c r="N20" i="13"/>
  <c r="M20" i="13"/>
  <c r="L20" i="13"/>
  <c r="I20" i="13"/>
  <c r="H20" i="13"/>
  <c r="G20" i="13"/>
  <c r="N19" i="13"/>
  <c r="M19" i="13"/>
  <c r="L19" i="13"/>
  <c r="I19" i="13"/>
  <c r="H19" i="13"/>
  <c r="G19" i="13"/>
  <c r="N18" i="13"/>
  <c r="M18" i="13"/>
  <c r="L18" i="13"/>
  <c r="I18" i="13"/>
  <c r="H18" i="13"/>
  <c r="G18" i="13"/>
  <c r="N17" i="13"/>
  <c r="M17" i="13"/>
  <c r="L17" i="13"/>
  <c r="I17" i="13"/>
  <c r="H17" i="13"/>
  <c r="G17" i="13"/>
  <c r="N16" i="13"/>
  <c r="M16" i="13"/>
  <c r="L16" i="13"/>
  <c r="I16" i="13"/>
  <c r="H16" i="13"/>
  <c r="G16" i="13"/>
  <c r="N15" i="13"/>
  <c r="M15" i="13"/>
  <c r="L15" i="13"/>
  <c r="I15" i="13"/>
  <c r="H15" i="13"/>
  <c r="G15" i="13"/>
  <c r="N14" i="13"/>
  <c r="M14" i="13"/>
  <c r="L14" i="13"/>
  <c r="I14" i="13"/>
  <c r="H14" i="13"/>
  <c r="G14" i="13"/>
  <c r="N13" i="13"/>
  <c r="M13" i="13"/>
  <c r="L13" i="13"/>
  <c r="I13" i="13"/>
  <c r="H13" i="13"/>
  <c r="G13" i="13"/>
  <c r="N12" i="13"/>
  <c r="M12" i="13"/>
  <c r="L12" i="13"/>
  <c r="I12" i="13"/>
  <c r="H12" i="13"/>
  <c r="G12" i="13"/>
  <c r="N11" i="13"/>
  <c r="M11" i="13"/>
  <c r="L11" i="13"/>
  <c r="I11" i="13"/>
  <c r="H11" i="13"/>
  <c r="G11" i="13"/>
  <c r="N10" i="13"/>
  <c r="M10" i="13"/>
  <c r="L10" i="13"/>
  <c r="I10" i="13"/>
  <c r="H10" i="13"/>
  <c r="G10" i="13"/>
  <c r="N9" i="13"/>
  <c r="M9" i="13"/>
  <c r="L9" i="13"/>
  <c r="I9" i="13"/>
  <c r="H9" i="13"/>
  <c r="G9" i="13"/>
  <c r="E6" i="13"/>
  <c r="Q23" i="12"/>
  <c r="Q24" i="12" s="1"/>
  <c r="M23" i="12"/>
  <c r="M24" i="12" s="1"/>
  <c r="O21" i="12"/>
  <c r="M16" i="12" s="1"/>
  <c r="Q16" i="12"/>
  <c r="G59" i="15"/>
  <c r="K7" i="16" s="1"/>
  <c r="G53" i="15"/>
  <c r="E7" i="16" s="1"/>
  <c r="G47" i="15"/>
  <c r="F4" i="16" s="1"/>
  <c r="G46" i="15"/>
  <c r="E4" i="16" s="1"/>
  <c r="X37" i="15"/>
  <c r="M37" i="15"/>
  <c r="H37" i="15"/>
  <c r="G37" i="15"/>
  <c r="X36" i="15"/>
  <c r="W36" i="15"/>
  <c r="V36" i="15"/>
  <c r="U36" i="15"/>
  <c r="T36" i="15"/>
  <c r="S36" i="15"/>
  <c r="R36" i="15"/>
  <c r="Q36" i="15"/>
  <c r="H36" i="15"/>
  <c r="G36" i="15"/>
  <c r="K32" i="15"/>
  <c r="Z32" i="15" s="1"/>
  <c r="J32" i="15"/>
  <c r="J36" i="15" s="1"/>
  <c r="I32" i="15"/>
  <c r="I36" i="15" s="1"/>
  <c r="H32" i="15"/>
  <c r="G32" i="15"/>
  <c r="L32" i="15" s="1"/>
  <c r="X31" i="15"/>
  <c r="W31" i="15"/>
  <c r="V31" i="15"/>
  <c r="U31" i="15"/>
  <c r="T31" i="15"/>
  <c r="S31" i="15"/>
  <c r="R31" i="15"/>
  <c r="Q31" i="15"/>
  <c r="O31" i="15"/>
  <c r="N31" i="15"/>
  <c r="Z27" i="15"/>
  <c r="Z33" i="15" s="1"/>
  <c r="Y27" i="15"/>
  <c r="Y33" i="15" s="1"/>
  <c r="G62" i="15" s="1"/>
  <c r="N7" i="16" s="1"/>
  <c r="X27" i="15"/>
  <c r="X33" i="15" s="1"/>
  <c r="W37" i="15" s="1"/>
  <c r="W27" i="15"/>
  <c r="W33" i="15" s="1"/>
  <c r="V37" i="15" s="1"/>
  <c r="V27" i="15"/>
  <c r="V33" i="15" s="1"/>
  <c r="U37" i="15" s="1"/>
  <c r="U27" i="15"/>
  <c r="U33" i="15" s="1"/>
  <c r="G58" i="15" s="1"/>
  <c r="J7" i="16" s="1"/>
  <c r="T27" i="15"/>
  <c r="T33" i="15" s="1"/>
  <c r="G57" i="15" s="1"/>
  <c r="I7" i="16" s="1"/>
  <c r="S27" i="15"/>
  <c r="S33" i="15" s="1"/>
  <c r="R37" i="15" s="1"/>
  <c r="R27" i="15"/>
  <c r="R33" i="15" s="1"/>
  <c r="Q37" i="15" s="1"/>
  <c r="Q27" i="15"/>
  <c r="Q33" i="15" s="1"/>
  <c r="O37" i="15" s="1"/>
  <c r="P27" i="15"/>
  <c r="P33" i="15" s="1"/>
  <c r="O27" i="15"/>
  <c r="O33" i="15" s="1"/>
  <c r="N27" i="15"/>
  <c r="N33" i="15" s="1"/>
  <c r="G51" i="15" s="1"/>
  <c r="C7" i="16" s="1"/>
  <c r="M27" i="15"/>
  <c r="M33" i="15" s="1"/>
  <c r="G50" i="15" s="1"/>
  <c r="B7" i="16" s="1"/>
  <c r="K27" i="15"/>
  <c r="K33" i="15" s="1"/>
  <c r="K37" i="15" s="1"/>
  <c r="J27" i="15"/>
  <c r="J33" i="15" s="1"/>
  <c r="J37" i="15" s="1"/>
  <c r="I27" i="15"/>
  <c r="I33" i="15" s="1"/>
  <c r="I37" i="15" s="1"/>
  <c r="L26" i="15"/>
  <c r="L25" i="15"/>
  <c r="AA25" i="15" s="1"/>
  <c r="AC25" i="15" s="1"/>
  <c r="L24" i="15"/>
  <c r="L23" i="15"/>
  <c r="L22" i="15"/>
  <c r="L21" i="15"/>
  <c r="L20" i="15"/>
  <c r="L19" i="15"/>
  <c r="L18" i="15"/>
  <c r="AB18" i="15" s="1"/>
  <c r="AD18" i="15" s="1"/>
  <c r="Y17" i="15"/>
  <c r="X17" i="15"/>
  <c r="W17" i="15"/>
  <c r="R17" i="15"/>
  <c r="Q17" i="15"/>
  <c r="Q11" i="15" s="1"/>
  <c r="P17" i="15"/>
  <c r="K17" i="15"/>
  <c r="J17" i="15"/>
  <c r="Z16" i="15"/>
  <c r="Y16" i="15"/>
  <c r="X16" i="15"/>
  <c r="S16" i="15"/>
  <c r="R16" i="15"/>
  <c r="Q16" i="15"/>
  <c r="M16" i="15"/>
  <c r="L16" i="15"/>
  <c r="K16" i="15"/>
  <c r="G16" i="15"/>
  <c r="Z15" i="15"/>
  <c r="Y15" i="15"/>
  <c r="U15" i="15"/>
  <c r="Q15" i="15"/>
  <c r="P15" i="15"/>
  <c r="O15" i="15"/>
  <c r="K15" i="15"/>
  <c r="J15" i="15"/>
  <c r="I15" i="15"/>
  <c r="Y14" i="15"/>
  <c r="X14" i="15"/>
  <c r="W14" i="15"/>
  <c r="R14" i="15"/>
  <c r="Q14" i="15"/>
  <c r="P14" i="15"/>
  <c r="L14" i="15"/>
  <c r="K14" i="15"/>
  <c r="I14" i="15"/>
  <c r="Y13" i="15"/>
  <c r="X13" i="15"/>
  <c r="W13" i="15"/>
  <c r="V13" i="15"/>
  <c r="R13" i="15"/>
  <c r="Q13" i="15"/>
  <c r="P13" i="15"/>
  <c r="AE10" i="15"/>
  <c r="Z10" i="15"/>
  <c r="Z17" i="15" s="1"/>
  <c r="X10" i="15"/>
  <c r="X15" i="15" s="1"/>
  <c r="W10" i="15"/>
  <c r="W16" i="15" s="1"/>
  <c r="V10" i="15"/>
  <c r="V16" i="15" s="1"/>
  <c r="U10" i="15"/>
  <c r="T10" i="15"/>
  <c r="T17" i="15" s="1"/>
  <c r="S10" i="15"/>
  <c r="S15" i="15" s="1"/>
  <c r="R10" i="15"/>
  <c r="R15" i="15" s="1"/>
  <c r="R11" i="15" s="1"/>
  <c r="P10" i="15"/>
  <c r="P16" i="15" s="1"/>
  <c r="O10" i="15"/>
  <c r="O17" i="15" s="1"/>
  <c r="N10" i="15"/>
  <c r="M10" i="15"/>
  <c r="M15" i="15" s="1"/>
  <c r="L10" i="15"/>
  <c r="L15" i="15" s="1"/>
  <c r="K10" i="15"/>
  <c r="J10" i="15"/>
  <c r="J16" i="15" s="1"/>
  <c r="I10" i="15"/>
  <c r="I17" i="15" s="1"/>
  <c r="H10" i="15"/>
  <c r="G10" i="15"/>
  <c r="G15" i="15" s="1"/>
  <c r="L4" i="15"/>
  <c r="K4" i="15"/>
  <c r="J4" i="15"/>
  <c r="I4" i="15"/>
  <c r="H4" i="15"/>
  <c r="G4" i="15"/>
  <c r="G58" i="14"/>
  <c r="G57" i="14"/>
  <c r="G55" i="14"/>
  <c r="G51" i="14"/>
  <c r="G50" i="14"/>
  <c r="G45" i="14"/>
  <c r="X36" i="14"/>
  <c r="W36" i="14"/>
  <c r="S36" i="14"/>
  <c r="O36" i="14"/>
  <c r="N36" i="14"/>
  <c r="M36" i="14"/>
  <c r="K36" i="14"/>
  <c r="G36" i="14"/>
  <c r="X35" i="14"/>
  <c r="W35" i="14"/>
  <c r="V35" i="14"/>
  <c r="U35" i="14"/>
  <c r="S35" i="14"/>
  <c r="R35" i="14"/>
  <c r="Q35" i="14"/>
  <c r="P35" i="14"/>
  <c r="O35" i="14"/>
  <c r="N35" i="14"/>
  <c r="M35" i="14"/>
  <c r="L35" i="14"/>
  <c r="K35" i="14"/>
  <c r="G35" i="14"/>
  <c r="Z32" i="14"/>
  <c r="Y32" i="14"/>
  <c r="G61" i="14" s="1"/>
  <c r="X32" i="14"/>
  <c r="P36" i="14" s="1"/>
  <c r="W32" i="14"/>
  <c r="G60" i="14" s="1"/>
  <c r="V32" i="14"/>
  <c r="G53" i="14" s="1"/>
  <c r="U32" i="14"/>
  <c r="Q36" i="14" s="1"/>
  <c r="T32" i="14"/>
  <c r="G52" i="14" s="1"/>
  <c r="S32" i="14"/>
  <c r="R36" i="14" s="1"/>
  <c r="R32" i="14"/>
  <c r="Q32" i="14"/>
  <c r="P32" i="14"/>
  <c r="O32" i="14"/>
  <c r="G54" i="14" s="1"/>
  <c r="N32" i="14"/>
  <c r="M32" i="14"/>
  <c r="U36" i="14" s="1"/>
  <c r="K32" i="14"/>
  <c r="G48" i="14" s="1"/>
  <c r="J32" i="14"/>
  <c r="J36" i="14" s="1"/>
  <c r="I32" i="14"/>
  <c r="I36" i="14" s="1"/>
  <c r="H32" i="14"/>
  <c r="H36" i="14" s="1"/>
  <c r="G32" i="14"/>
  <c r="G44" i="14" s="1"/>
  <c r="K31" i="14"/>
  <c r="Z31" i="14" s="1"/>
  <c r="J31" i="14"/>
  <c r="J35" i="14" s="1"/>
  <c r="I31" i="14"/>
  <c r="I35" i="14" s="1"/>
  <c r="H31" i="14"/>
  <c r="H35" i="14" s="1"/>
  <c r="G31" i="14"/>
  <c r="L31" i="14" s="1"/>
  <c r="X30" i="14"/>
  <c r="W30" i="14"/>
  <c r="V30" i="14"/>
  <c r="U30" i="14"/>
  <c r="S30" i="14"/>
  <c r="R30" i="14"/>
  <c r="Q30" i="14"/>
  <c r="P30" i="14"/>
  <c r="O30" i="14"/>
  <c r="M30" i="14"/>
  <c r="AJ27" i="14"/>
  <c r="AH27" i="14"/>
  <c r="AF27" i="14"/>
  <c r="AD27" i="14"/>
  <c r="Z27" i="14"/>
  <c r="L27" i="14"/>
  <c r="AJ26" i="14"/>
  <c r="AH26" i="14"/>
  <c r="AF26" i="14"/>
  <c r="AD26" i="14"/>
  <c r="Z26" i="14"/>
  <c r="L26" i="14"/>
  <c r="AJ25" i="14"/>
  <c r="AH25" i="14"/>
  <c r="AF25" i="14"/>
  <c r="AD25" i="14"/>
  <c r="Z25" i="14"/>
  <c r="L25" i="14"/>
  <c r="AJ24" i="14"/>
  <c r="AH24" i="14"/>
  <c r="AF24" i="14"/>
  <c r="AD24" i="14"/>
  <c r="Z24" i="14"/>
  <c r="L24" i="14"/>
  <c r="AJ23" i="14"/>
  <c r="AH23" i="14"/>
  <c r="AF23" i="14"/>
  <c r="AD23" i="14"/>
  <c r="Z23" i="14"/>
  <c r="L23" i="14"/>
  <c r="AJ22" i="14"/>
  <c r="AH22" i="14"/>
  <c r="AF22" i="14"/>
  <c r="AD22" i="14"/>
  <c r="Z22" i="14"/>
  <c r="L22" i="14"/>
  <c r="AJ21" i="14"/>
  <c r="AH21" i="14"/>
  <c r="AF21" i="14"/>
  <c r="AD21" i="14"/>
  <c r="Z21" i="14"/>
  <c r="L21" i="14"/>
  <c r="AJ20" i="14"/>
  <c r="AH20" i="14"/>
  <c r="AF20" i="14"/>
  <c r="AD20" i="14"/>
  <c r="Z20" i="14"/>
  <c r="L20" i="14"/>
  <c r="AJ19" i="14"/>
  <c r="AH19" i="14"/>
  <c r="AF19" i="14"/>
  <c r="AD19" i="14"/>
  <c r="Z19" i="14"/>
  <c r="L19" i="14"/>
  <c r="AJ18" i="14"/>
  <c r="AH18" i="14"/>
  <c r="AF18" i="14"/>
  <c r="AD18" i="14"/>
  <c r="Z18" i="14"/>
  <c r="L18" i="14"/>
  <c r="Y17" i="14"/>
  <c r="V17" i="14"/>
  <c r="U17" i="14"/>
  <c r="T17" i="14"/>
  <c r="O17" i="14"/>
  <c r="N17" i="14"/>
  <c r="I17" i="14"/>
  <c r="H17" i="14"/>
  <c r="Y16" i="14"/>
  <c r="W16" i="14"/>
  <c r="V16" i="14"/>
  <c r="Q16" i="14"/>
  <c r="P16" i="14"/>
  <c r="K16" i="14"/>
  <c r="J16" i="14"/>
  <c r="Y15" i="14"/>
  <c r="Y11" i="14" s="1"/>
  <c r="V15" i="14"/>
  <c r="U15" i="14"/>
  <c r="S15" i="14"/>
  <c r="O15" i="14"/>
  <c r="M15" i="14"/>
  <c r="I15" i="14"/>
  <c r="G15" i="14"/>
  <c r="Y14" i="14"/>
  <c r="V14" i="14"/>
  <c r="U14" i="14"/>
  <c r="T14" i="14"/>
  <c r="O14" i="14"/>
  <c r="N14" i="14"/>
  <c r="I14" i="14"/>
  <c r="H14" i="14"/>
  <c r="G14" i="14"/>
  <c r="Y13" i="14"/>
  <c r="V13" i="14"/>
  <c r="U13" i="14"/>
  <c r="T13" i="14"/>
  <c r="P13" i="14"/>
  <c r="O13" i="14"/>
  <c r="N13" i="14"/>
  <c r="V11" i="14"/>
  <c r="AE10" i="14"/>
  <c r="Z10" i="14"/>
  <c r="X10" i="14"/>
  <c r="X17" i="14" s="1"/>
  <c r="W10" i="14"/>
  <c r="W15" i="14" s="1"/>
  <c r="U10" i="14"/>
  <c r="U16" i="14" s="1"/>
  <c r="U11" i="14" s="1"/>
  <c r="T10" i="14"/>
  <c r="T16" i="14" s="1"/>
  <c r="S10" i="14"/>
  <c r="S17" i="14" s="1"/>
  <c r="R10" i="14"/>
  <c r="Q10" i="14"/>
  <c r="Q15" i="14" s="1"/>
  <c r="P10" i="14"/>
  <c r="P15" i="14" s="1"/>
  <c r="O10" i="14"/>
  <c r="O16" i="14" s="1"/>
  <c r="N10" i="14"/>
  <c r="N16" i="14" s="1"/>
  <c r="M10" i="14"/>
  <c r="M17" i="14" s="1"/>
  <c r="L10" i="14"/>
  <c r="K10" i="14"/>
  <c r="K15" i="14" s="1"/>
  <c r="J10" i="14"/>
  <c r="J15" i="14" s="1"/>
  <c r="I10" i="14"/>
  <c r="I16" i="14" s="1"/>
  <c r="I11" i="14" s="1"/>
  <c r="H10" i="14"/>
  <c r="H16" i="14" s="1"/>
  <c r="G10" i="14"/>
  <c r="G17" i="14" s="1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G57" i="11"/>
  <c r="G55" i="11"/>
  <c r="G54" i="11"/>
  <c r="G51" i="11"/>
  <c r="G49" i="11"/>
  <c r="G48" i="11"/>
  <c r="G43" i="11"/>
  <c r="X35" i="11"/>
  <c r="W35" i="11"/>
  <c r="S35" i="11"/>
  <c r="N35" i="11"/>
  <c r="M35" i="11"/>
  <c r="L35" i="11"/>
  <c r="K35" i="11"/>
  <c r="H35" i="11"/>
  <c r="X34" i="11"/>
  <c r="W34" i="11"/>
  <c r="V34" i="11"/>
  <c r="U34" i="11"/>
  <c r="S34" i="11"/>
  <c r="R34" i="11"/>
  <c r="Q34" i="11"/>
  <c r="P34" i="11"/>
  <c r="O34" i="11"/>
  <c r="N34" i="11"/>
  <c r="M34" i="11"/>
  <c r="L34" i="11"/>
  <c r="K34" i="11"/>
  <c r="G34" i="11"/>
  <c r="Y31" i="11"/>
  <c r="G60" i="11" s="1"/>
  <c r="X31" i="11"/>
  <c r="P35" i="11" s="1"/>
  <c r="W31" i="11"/>
  <c r="G59" i="11" s="1"/>
  <c r="V31" i="11"/>
  <c r="G52" i="11" s="1"/>
  <c r="U31" i="11"/>
  <c r="Q35" i="11" s="1"/>
  <c r="T31" i="11"/>
  <c r="S31" i="11"/>
  <c r="G50" i="11" s="1"/>
  <c r="R31" i="11"/>
  <c r="Q31" i="11"/>
  <c r="O35" i="11" s="1"/>
  <c r="P31" i="11"/>
  <c r="O31" i="11"/>
  <c r="N31" i="11"/>
  <c r="M31" i="11"/>
  <c r="G56" i="11" s="1"/>
  <c r="L31" i="11"/>
  <c r="K31" i="11"/>
  <c r="G47" i="11" s="1"/>
  <c r="J31" i="11"/>
  <c r="J35" i="11" s="1"/>
  <c r="I31" i="11"/>
  <c r="I35" i="11" s="1"/>
  <c r="H31" i="11"/>
  <c r="G44" i="11" s="1"/>
  <c r="G31" i="11"/>
  <c r="G35" i="11" s="1"/>
  <c r="Z30" i="11"/>
  <c r="K30" i="11"/>
  <c r="J30" i="11"/>
  <c r="J34" i="11" s="1"/>
  <c r="I30" i="11"/>
  <c r="I34" i="11" s="1"/>
  <c r="H30" i="11"/>
  <c r="H34" i="11" s="1"/>
  <c r="G30" i="11"/>
  <c r="L30" i="11" s="1"/>
  <c r="X29" i="11"/>
  <c r="W29" i="11"/>
  <c r="V29" i="11"/>
  <c r="U29" i="11"/>
  <c r="S29" i="11"/>
  <c r="R29" i="11"/>
  <c r="Q29" i="11"/>
  <c r="P29" i="11"/>
  <c r="O29" i="11"/>
  <c r="M29" i="11"/>
  <c r="AJ26" i="11"/>
  <c r="AH26" i="11"/>
  <c r="AF26" i="11"/>
  <c r="AD26" i="11"/>
  <c r="Z26" i="11"/>
  <c r="L26" i="11"/>
  <c r="AJ25" i="11"/>
  <c r="AH25" i="11"/>
  <c r="AF25" i="11"/>
  <c r="AD25" i="11"/>
  <c r="Z25" i="11"/>
  <c r="L25" i="11"/>
  <c r="AJ24" i="11"/>
  <c r="AH24" i="11"/>
  <c r="AF24" i="11"/>
  <c r="AD24" i="11"/>
  <c r="Z24" i="11"/>
  <c r="L24" i="11"/>
  <c r="AJ23" i="11"/>
  <c r="AH23" i="11"/>
  <c r="AF23" i="11"/>
  <c r="AD23" i="11"/>
  <c r="Z23" i="11"/>
  <c r="L23" i="11"/>
  <c r="AJ22" i="11"/>
  <c r="AH22" i="11"/>
  <c r="AF22" i="11"/>
  <c r="AD22" i="11"/>
  <c r="Z22" i="11"/>
  <c r="L22" i="11"/>
  <c r="AJ21" i="11"/>
  <c r="AH21" i="11"/>
  <c r="AF21" i="11"/>
  <c r="AD21" i="11"/>
  <c r="Z21" i="11"/>
  <c r="L21" i="11"/>
  <c r="AJ20" i="11"/>
  <c r="AH20" i="11"/>
  <c r="AF20" i="11"/>
  <c r="AD20" i="11"/>
  <c r="Z20" i="11"/>
  <c r="L20" i="11"/>
  <c r="AJ19" i="11"/>
  <c r="AH19" i="11"/>
  <c r="AF19" i="11"/>
  <c r="AD19" i="11"/>
  <c r="Z19" i="11"/>
  <c r="L19" i="11"/>
  <c r="AJ18" i="11"/>
  <c r="AH18" i="11"/>
  <c r="AF18" i="11"/>
  <c r="AD18" i="11"/>
  <c r="Z18" i="11"/>
  <c r="L18" i="11"/>
  <c r="AJ17" i="11"/>
  <c r="AH17" i="11"/>
  <c r="AF17" i="11"/>
  <c r="AD17" i="11"/>
  <c r="Z17" i="11"/>
  <c r="L17" i="11"/>
  <c r="Z16" i="11"/>
  <c r="Y16" i="11"/>
  <c r="V16" i="11"/>
  <c r="S16" i="11"/>
  <c r="G16" i="11"/>
  <c r="Z15" i="11"/>
  <c r="Y15" i="11"/>
  <c r="V15" i="11"/>
  <c r="N15" i="11"/>
  <c r="M15" i="11"/>
  <c r="H15" i="11"/>
  <c r="G15" i="11"/>
  <c r="Y14" i="11"/>
  <c r="V14" i="11"/>
  <c r="V11" i="11" s="1"/>
  <c r="R14" i="11"/>
  <c r="Q14" i="11"/>
  <c r="P14" i="11"/>
  <c r="L14" i="11"/>
  <c r="K14" i="11"/>
  <c r="J14" i="11"/>
  <c r="Z13" i="11"/>
  <c r="Y13" i="11"/>
  <c r="X13" i="11"/>
  <c r="V13" i="11"/>
  <c r="S13" i="11"/>
  <c r="R13" i="11"/>
  <c r="Q13" i="11"/>
  <c r="M13" i="11"/>
  <c r="L13" i="11"/>
  <c r="K13" i="11"/>
  <c r="G13" i="11"/>
  <c r="Y12" i="11"/>
  <c r="X12" i="11"/>
  <c r="V12" i="11"/>
  <c r="S12" i="11"/>
  <c r="R12" i="11"/>
  <c r="Q12" i="11"/>
  <c r="M12" i="11"/>
  <c r="Y11" i="11"/>
  <c r="AE10" i="11"/>
  <c r="Z10" i="11"/>
  <c r="Z14" i="11" s="1"/>
  <c r="Z11" i="11" s="1"/>
  <c r="X10" i="11"/>
  <c r="X16" i="11" s="1"/>
  <c r="W10" i="11"/>
  <c r="W16" i="11" s="1"/>
  <c r="U10" i="11"/>
  <c r="U16" i="11" s="1"/>
  <c r="T10" i="11"/>
  <c r="T14" i="11" s="1"/>
  <c r="S10" i="11"/>
  <c r="S15" i="11" s="1"/>
  <c r="R10" i="11"/>
  <c r="R16" i="11" s="1"/>
  <c r="Q10" i="11"/>
  <c r="Q16" i="11" s="1"/>
  <c r="P10" i="11"/>
  <c r="P13" i="11" s="1"/>
  <c r="O10" i="11"/>
  <c r="O13" i="11" s="1"/>
  <c r="N10" i="11"/>
  <c r="N14" i="11" s="1"/>
  <c r="M10" i="11"/>
  <c r="M16" i="11" s="1"/>
  <c r="L10" i="11"/>
  <c r="L16" i="11" s="1"/>
  <c r="K10" i="11"/>
  <c r="K16" i="11" s="1"/>
  <c r="J10" i="11"/>
  <c r="J16" i="11" s="1"/>
  <c r="I10" i="11"/>
  <c r="I13" i="11" s="1"/>
  <c r="H10" i="11"/>
  <c r="H14" i="11" s="1"/>
  <c r="G10" i="11"/>
  <c r="G14" i="11" s="1"/>
  <c r="G11" i="11" s="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55" i="10"/>
  <c r="F54" i="10"/>
  <c r="F53" i="10"/>
  <c r="F49" i="10"/>
  <c r="F48" i="10"/>
  <c r="F47" i="10"/>
  <c r="F43" i="10"/>
  <c r="W30" i="10"/>
  <c r="V30" i="10"/>
  <c r="U30" i="10"/>
  <c r="Q30" i="10"/>
  <c r="P30" i="10"/>
  <c r="N30" i="10"/>
  <c r="H30" i="10"/>
  <c r="G30" i="10"/>
  <c r="T29" i="10"/>
  <c r="S29" i="10"/>
  <c r="N29" i="10"/>
  <c r="M29" i="10"/>
  <c r="L29" i="10"/>
  <c r="G29" i="10"/>
  <c r="F29" i="10"/>
  <c r="X26" i="10"/>
  <c r="W26" i="10"/>
  <c r="V26" i="10"/>
  <c r="U26" i="10"/>
  <c r="F52" i="10" s="1"/>
  <c r="T26" i="10"/>
  <c r="F51" i="10" s="1"/>
  <c r="S26" i="10"/>
  <c r="F50" i="10" s="1"/>
  <c r="R26" i="10"/>
  <c r="Q26" i="10"/>
  <c r="P26" i="10"/>
  <c r="O26" i="10"/>
  <c r="F46" i="10" s="1"/>
  <c r="N26" i="10"/>
  <c r="F45" i="10" s="1"/>
  <c r="M26" i="10"/>
  <c r="L30" i="10" s="1"/>
  <c r="L26" i="10"/>
  <c r="K30" i="10" s="1"/>
  <c r="J26" i="10"/>
  <c r="J30" i="10" s="1"/>
  <c r="I26" i="10"/>
  <c r="F41" i="10" s="1"/>
  <c r="H26" i="10"/>
  <c r="F40" i="10" s="1"/>
  <c r="G26" i="10"/>
  <c r="F39" i="10" s="1"/>
  <c r="F26" i="10"/>
  <c r="F30" i="10" s="1"/>
  <c r="X25" i="10"/>
  <c r="W29" i="10" s="1"/>
  <c r="W25" i="10"/>
  <c r="V29" i="10" s="1"/>
  <c r="V25" i="10"/>
  <c r="U29" i="10" s="1"/>
  <c r="U25" i="10"/>
  <c r="T25" i="10"/>
  <c r="S25" i="10"/>
  <c r="R29" i="10" s="1"/>
  <c r="R25" i="10"/>
  <c r="Q29" i="10" s="1"/>
  <c r="Q25" i="10"/>
  <c r="P29" i="10" s="1"/>
  <c r="N25" i="10"/>
  <c r="M25" i="10"/>
  <c r="L25" i="10"/>
  <c r="K29" i="10" s="1"/>
  <c r="K25" i="10"/>
  <c r="J25" i="10"/>
  <c r="J29" i="10" s="1"/>
  <c r="I25" i="10"/>
  <c r="I29" i="10" s="1"/>
  <c r="H25" i="10"/>
  <c r="H29" i="10" s="1"/>
  <c r="G25" i="10"/>
  <c r="F25" i="10"/>
  <c r="X24" i="10"/>
  <c r="W24" i="10"/>
  <c r="V24" i="10"/>
  <c r="U24" i="10"/>
  <c r="T24" i="10"/>
  <c r="S24" i="10"/>
  <c r="R24" i="10"/>
  <c r="Q24" i="10"/>
  <c r="P24" i="10"/>
  <c r="N24" i="10"/>
  <c r="M24" i="10"/>
  <c r="AD21" i="10"/>
  <c r="Y21" i="10"/>
  <c r="X21" i="10"/>
  <c r="W21" i="10"/>
  <c r="W5" i="10" s="1"/>
  <c r="V21" i="10"/>
  <c r="V5" i="10" s="1"/>
  <c r="U21" i="10"/>
  <c r="T21" i="10"/>
  <c r="S21" i="10"/>
  <c r="R21" i="10"/>
  <c r="Q21" i="10"/>
  <c r="Q5" i="10" s="1"/>
  <c r="O21" i="10"/>
  <c r="O5" i="10" s="1"/>
  <c r="N21" i="10"/>
  <c r="M21" i="10"/>
  <c r="L21" i="10"/>
  <c r="K21" i="10"/>
  <c r="J21" i="10"/>
  <c r="J5" i="10" s="1"/>
  <c r="I21" i="10"/>
  <c r="H21" i="10"/>
  <c r="G21" i="10"/>
  <c r="F21" i="10"/>
  <c r="AI15" i="10"/>
  <c r="AG15" i="10"/>
  <c r="AE15" i="10"/>
  <c r="AC15" i="10"/>
  <c r="Y15" i="10"/>
  <c r="K15" i="10"/>
  <c r="AI14" i="10"/>
  <c r="AG14" i="10"/>
  <c r="AE14" i="10"/>
  <c r="AC14" i="10"/>
  <c r="Y14" i="10"/>
  <c r="K14" i="10"/>
  <c r="AI13" i="10"/>
  <c r="AG13" i="10"/>
  <c r="AE13" i="10"/>
  <c r="AC13" i="10"/>
  <c r="Y13" i="10"/>
  <c r="K13" i="10"/>
  <c r="AI12" i="10"/>
  <c r="AG12" i="10"/>
  <c r="AE12" i="10"/>
  <c r="AC12" i="10"/>
  <c r="Y12" i="10"/>
  <c r="K12" i="10"/>
  <c r="AI11" i="10"/>
  <c r="AG11" i="10"/>
  <c r="AE11" i="10"/>
  <c r="AC11" i="10"/>
  <c r="Y11" i="10"/>
  <c r="K11" i="10"/>
  <c r="AI10" i="10"/>
  <c r="AG10" i="10"/>
  <c r="AE10" i="10"/>
  <c r="AC10" i="10"/>
  <c r="Y10" i="10"/>
  <c r="K10" i="10"/>
  <c r="AI9" i="10"/>
  <c r="AG9" i="10"/>
  <c r="AE9" i="10"/>
  <c r="AC9" i="10"/>
  <c r="Y9" i="10"/>
  <c r="K9" i="10"/>
  <c r="AI8" i="10"/>
  <c r="AG8" i="10"/>
  <c r="AE8" i="10"/>
  <c r="AC8" i="10"/>
  <c r="Y8" i="10"/>
  <c r="K8" i="10"/>
  <c r="AI7" i="10"/>
  <c r="AG7" i="10"/>
  <c r="AE7" i="10"/>
  <c r="AC7" i="10"/>
  <c r="Y7" i="10"/>
  <c r="Y26" i="10" s="1"/>
  <c r="K7" i="10"/>
  <c r="K26" i="10" s="1"/>
  <c r="AI6" i="10"/>
  <c r="AG6" i="10"/>
  <c r="AE6" i="10"/>
  <c r="AC6" i="10"/>
  <c r="Y6" i="10"/>
  <c r="K6" i="10"/>
  <c r="Y5" i="10"/>
  <c r="X5" i="10"/>
  <c r="U5" i="10"/>
  <c r="T5" i="10"/>
  <c r="S5" i="10"/>
  <c r="R5" i="10"/>
  <c r="P5" i="10"/>
  <c r="N5" i="10"/>
  <c r="M5" i="10"/>
  <c r="L5" i="10"/>
  <c r="K5" i="10"/>
  <c r="H5" i="10"/>
  <c r="G5" i="10"/>
  <c r="F5" i="10"/>
  <c r="X4" i="10"/>
  <c r="U4" i="10"/>
  <c r="T4" i="10"/>
  <c r="S4" i="10"/>
  <c r="R4" i="10"/>
  <c r="P4" i="10"/>
  <c r="N4" i="10"/>
  <c r="M4" i="10"/>
  <c r="L4" i="10"/>
  <c r="F49" i="9"/>
  <c r="F48" i="9"/>
  <c r="F43" i="9"/>
  <c r="F42" i="9"/>
  <c r="F37" i="9"/>
  <c r="V29" i="9"/>
  <c r="R29" i="9"/>
  <c r="Q29" i="9"/>
  <c r="P29" i="9"/>
  <c r="K29" i="9"/>
  <c r="U28" i="9"/>
  <c r="T28" i="9"/>
  <c r="O28" i="9"/>
  <c r="N28" i="9"/>
  <c r="I28" i="9"/>
  <c r="H28" i="9"/>
  <c r="X25" i="9"/>
  <c r="W25" i="9"/>
  <c r="F53" i="9" s="1"/>
  <c r="V25" i="9"/>
  <c r="F52" i="9" s="1"/>
  <c r="U25" i="9"/>
  <c r="T29" i="9" s="1"/>
  <c r="T25" i="9"/>
  <c r="S29" i="9" s="1"/>
  <c r="S25" i="9"/>
  <c r="R25" i="9"/>
  <c r="Q25" i="9"/>
  <c r="F47" i="9" s="1"/>
  <c r="P25" i="9"/>
  <c r="F46" i="9" s="1"/>
  <c r="O25" i="9"/>
  <c r="N29" i="9" s="1"/>
  <c r="N25" i="9"/>
  <c r="M29" i="9" s="1"/>
  <c r="M25" i="9"/>
  <c r="L29" i="9" s="1"/>
  <c r="L25" i="9"/>
  <c r="K25" i="9"/>
  <c r="J25" i="9"/>
  <c r="J29" i="9" s="1"/>
  <c r="I25" i="9"/>
  <c r="F40" i="9" s="1"/>
  <c r="H25" i="9"/>
  <c r="H29" i="9" s="1"/>
  <c r="G25" i="9"/>
  <c r="G29" i="9" s="1"/>
  <c r="F25" i="9"/>
  <c r="F29" i="9" s="1"/>
  <c r="W24" i="9"/>
  <c r="V28" i="9" s="1"/>
  <c r="V24" i="9"/>
  <c r="U24" i="9"/>
  <c r="T24" i="9"/>
  <c r="S28" i="9" s="1"/>
  <c r="S24" i="9"/>
  <c r="R28" i="9" s="1"/>
  <c r="R24" i="9"/>
  <c r="Q28" i="9" s="1"/>
  <c r="Q24" i="9"/>
  <c r="P28" i="9" s="1"/>
  <c r="P24" i="9"/>
  <c r="O24" i="9"/>
  <c r="N24" i="9"/>
  <c r="M28" i="9" s="1"/>
  <c r="M24" i="9"/>
  <c r="L28" i="9" s="1"/>
  <c r="L24" i="9"/>
  <c r="K28" i="9" s="1"/>
  <c r="K24" i="9"/>
  <c r="J24" i="9"/>
  <c r="J28" i="9" s="1"/>
  <c r="I24" i="9"/>
  <c r="H24" i="9"/>
  <c r="G24" i="9"/>
  <c r="G28" i="9" s="1"/>
  <c r="F24" i="9"/>
  <c r="F28" i="9" s="1"/>
  <c r="W23" i="9"/>
  <c r="V23" i="9"/>
  <c r="U23" i="9"/>
  <c r="T23" i="9"/>
  <c r="S23" i="9"/>
  <c r="R23" i="9"/>
  <c r="Q23" i="9"/>
  <c r="P23" i="9"/>
  <c r="O23" i="9"/>
  <c r="N23" i="9"/>
  <c r="M23" i="9"/>
  <c r="AC20" i="9"/>
  <c r="X20" i="9"/>
  <c r="X4" i="9" s="1"/>
  <c r="W20" i="9"/>
  <c r="V20" i="9"/>
  <c r="U20" i="9"/>
  <c r="T20" i="9"/>
  <c r="S20" i="9"/>
  <c r="R20" i="9"/>
  <c r="R3" i="9" s="1"/>
  <c r="Q20" i="9"/>
  <c r="P20" i="9"/>
  <c r="N20" i="9"/>
  <c r="M20" i="9"/>
  <c r="L20" i="9"/>
  <c r="K20" i="9"/>
  <c r="K4" i="9" s="1"/>
  <c r="J20" i="9"/>
  <c r="I20" i="9"/>
  <c r="H20" i="9"/>
  <c r="G20" i="9"/>
  <c r="F20" i="9"/>
  <c r="AH14" i="9"/>
  <c r="AF14" i="9"/>
  <c r="AD14" i="9"/>
  <c r="AB14" i="9"/>
  <c r="AH13" i="9"/>
  <c r="AF13" i="9"/>
  <c r="AD13" i="9"/>
  <c r="AB13" i="9"/>
  <c r="AH12" i="9"/>
  <c r="AF12" i="9"/>
  <c r="AD12" i="9"/>
  <c r="AB12" i="9"/>
  <c r="AH11" i="9"/>
  <c r="AF11" i="9"/>
  <c r="AD11" i="9"/>
  <c r="AB11" i="9"/>
  <c r="AH10" i="9"/>
  <c r="AF10" i="9"/>
  <c r="AD10" i="9"/>
  <c r="AB10" i="9"/>
  <c r="AH9" i="9"/>
  <c r="AF9" i="9"/>
  <c r="AD9" i="9"/>
  <c r="AB9" i="9"/>
  <c r="AH8" i="9"/>
  <c r="AF8" i="9"/>
  <c r="AD8" i="9"/>
  <c r="AB8" i="9"/>
  <c r="AH7" i="9"/>
  <c r="AF7" i="9"/>
  <c r="AD7" i="9"/>
  <c r="AB7" i="9"/>
  <c r="AH6" i="9"/>
  <c r="AF6" i="9"/>
  <c r="AD6" i="9"/>
  <c r="AB6" i="9"/>
  <c r="AH5" i="9"/>
  <c r="AF5" i="9"/>
  <c r="AD5" i="9"/>
  <c r="AB5" i="9"/>
  <c r="W4" i="9"/>
  <c r="V4" i="9"/>
  <c r="U4" i="9"/>
  <c r="T4" i="9"/>
  <c r="S4" i="9"/>
  <c r="Q4" i="9"/>
  <c r="P4" i="9"/>
  <c r="O4" i="9"/>
  <c r="N4" i="9"/>
  <c r="M4" i="9"/>
  <c r="L4" i="9"/>
  <c r="J4" i="9"/>
  <c r="H4" i="9"/>
  <c r="G4" i="9"/>
  <c r="F4" i="9"/>
  <c r="W3" i="9"/>
  <c r="V3" i="9"/>
  <c r="U3" i="9"/>
  <c r="T3" i="9"/>
  <c r="S3" i="9"/>
  <c r="Q3" i="9"/>
  <c r="P3" i="9"/>
  <c r="O3" i="9"/>
  <c r="N3" i="9"/>
  <c r="M3" i="9"/>
  <c r="L3" i="9"/>
  <c r="T29" i="8"/>
  <c r="N29" i="8"/>
  <c r="S28" i="8"/>
  <c r="M28" i="8"/>
  <c r="G28" i="8"/>
  <c r="X25" i="8"/>
  <c r="W25" i="8"/>
  <c r="V29" i="8" s="1"/>
  <c r="V25" i="8"/>
  <c r="U29" i="8" s="1"/>
  <c r="U25" i="8"/>
  <c r="T25" i="8"/>
  <c r="S29" i="8" s="1"/>
  <c r="S25" i="8"/>
  <c r="R29" i="8" s="1"/>
  <c r="R25" i="8"/>
  <c r="Q29" i="8" s="1"/>
  <c r="Q25" i="8"/>
  <c r="P29" i="8" s="1"/>
  <c r="P25" i="8"/>
  <c r="O29" i="8" s="1"/>
  <c r="O25" i="8"/>
  <c r="N25" i="8"/>
  <c r="M29" i="8" s="1"/>
  <c r="M25" i="8"/>
  <c r="L29" i="8" s="1"/>
  <c r="L25" i="8"/>
  <c r="K29" i="8" s="1"/>
  <c r="K25" i="8"/>
  <c r="J25" i="8"/>
  <c r="J29" i="8" s="1"/>
  <c r="I25" i="8"/>
  <c r="I29" i="8" s="1"/>
  <c r="H25" i="8"/>
  <c r="H29" i="8" s="1"/>
  <c r="G25" i="8"/>
  <c r="G29" i="8" s="1"/>
  <c r="F25" i="8"/>
  <c r="F29" i="8" s="1"/>
  <c r="W24" i="8"/>
  <c r="V28" i="8" s="1"/>
  <c r="V24" i="8"/>
  <c r="U28" i="8" s="1"/>
  <c r="U24" i="8"/>
  <c r="T28" i="8" s="1"/>
  <c r="T24" i="8"/>
  <c r="S24" i="8"/>
  <c r="R28" i="8" s="1"/>
  <c r="R24" i="8"/>
  <c r="Q28" i="8" s="1"/>
  <c r="Q24" i="8"/>
  <c r="P28" i="8" s="1"/>
  <c r="P24" i="8"/>
  <c r="O28" i="8" s="1"/>
  <c r="O24" i="8"/>
  <c r="N28" i="8" s="1"/>
  <c r="N24" i="8"/>
  <c r="M24" i="8"/>
  <c r="L28" i="8" s="1"/>
  <c r="L24" i="8"/>
  <c r="K28" i="8" s="1"/>
  <c r="J24" i="8"/>
  <c r="J28" i="8" s="1"/>
  <c r="I24" i="8"/>
  <c r="I28" i="8" s="1"/>
  <c r="H24" i="8"/>
  <c r="H28" i="8" s="1"/>
  <c r="G24" i="8"/>
  <c r="F24" i="8"/>
  <c r="K24" i="8" s="1"/>
  <c r="W23" i="8"/>
  <c r="V23" i="8"/>
  <c r="U23" i="8"/>
  <c r="T23" i="8"/>
  <c r="S23" i="8"/>
  <c r="R23" i="8"/>
  <c r="Q23" i="8"/>
  <c r="P23" i="8"/>
  <c r="O23" i="8"/>
  <c r="N23" i="8"/>
  <c r="M23" i="8"/>
  <c r="AC20" i="8"/>
  <c r="X20" i="8"/>
  <c r="W20" i="8"/>
  <c r="V20" i="8"/>
  <c r="V3" i="8" s="1"/>
  <c r="U20" i="8"/>
  <c r="T20" i="8"/>
  <c r="S20" i="8"/>
  <c r="R20" i="8"/>
  <c r="Q20" i="8"/>
  <c r="P20" i="8"/>
  <c r="P3" i="8" s="1"/>
  <c r="N20" i="8"/>
  <c r="M20" i="8"/>
  <c r="L20" i="8"/>
  <c r="K20" i="8"/>
  <c r="J20" i="8"/>
  <c r="I20" i="8"/>
  <c r="H20" i="8"/>
  <c r="G20" i="8"/>
  <c r="F20" i="8"/>
  <c r="AH14" i="8"/>
  <c r="AF14" i="8"/>
  <c r="AD14" i="8"/>
  <c r="AB14" i="8"/>
  <c r="AH13" i="8"/>
  <c r="AF13" i="8"/>
  <c r="AD13" i="8"/>
  <c r="AB13" i="8"/>
  <c r="AH12" i="8"/>
  <c r="AF12" i="8"/>
  <c r="AD12" i="8"/>
  <c r="AB12" i="8"/>
  <c r="AH11" i="8"/>
  <c r="AF11" i="8"/>
  <c r="AD11" i="8"/>
  <c r="AB11" i="8"/>
  <c r="AH10" i="8"/>
  <c r="AF10" i="8"/>
  <c r="AD10" i="8"/>
  <c r="AB10" i="8"/>
  <c r="AH9" i="8"/>
  <c r="AF9" i="8"/>
  <c r="AD9" i="8"/>
  <c r="AB9" i="8"/>
  <c r="AH8" i="8"/>
  <c r="AF8" i="8"/>
  <c r="AD8" i="8"/>
  <c r="AB8" i="8"/>
  <c r="AH7" i="8"/>
  <c r="AF7" i="8"/>
  <c r="AD7" i="8"/>
  <c r="AB7" i="8"/>
  <c r="AH6" i="8"/>
  <c r="AF6" i="8"/>
  <c r="AD6" i="8"/>
  <c r="AB6" i="8"/>
  <c r="AH5" i="8"/>
  <c r="AF5" i="8"/>
  <c r="AD5" i="8"/>
  <c r="AB5" i="8"/>
  <c r="X4" i="8"/>
  <c r="W4" i="8"/>
  <c r="U4" i="8"/>
  <c r="T4" i="8"/>
  <c r="S4" i="8"/>
  <c r="R4" i="8"/>
  <c r="Q4" i="8"/>
  <c r="O4" i="8"/>
  <c r="N4" i="8"/>
  <c r="M4" i="8"/>
  <c r="L4" i="8"/>
  <c r="K4" i="8"/>
  <c r="J4" i="8"/>
  <c r="H4" i="8"/>
  <c r="G4" i="8"/>
  <c r="F4" i="8"/>
  <c r="W3" i="8"/>
  <c r="U3" i="8"/>
  <c r="T3" i="8"/>
  <c r="S3" i="8"/>
  <c r="R3" i="8"/>
  <c r="Q3" i="8"/>
  <c r="O3" i="8"/>
  <c r="N3" i="8"/>
  <c r="M3" i="8"/>
  <c r="L3" i="8"/>
  <c r="V15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V149" i="7"/>
  <c r="U149" i="7"/>
  <c r="T149" i="7"/>
  <c r="S149" i="7"/>
  <c r="R149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V148" i="7"/>
  <c r="U148" i="7"/>
  <c r="T148" i="7"/>
  <c r="S148" i="7"/>
  <c r="R148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V147" i="7"/>
  <c r="U147" i="7"/>
  <c r="T147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V146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V145" i="7"/>
  <c r="U145" i="7"/>
  <c r="T145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V144" i="7"/>
  <c r="U144" i="7"/>
  <c r="T144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H123" i="7"/>
  <c r="B123" i="7"/>
  <c r="B122" i="7"/>
  <c r="B121" i="7"/>
  <c r="B120" i="7"/>
  <c r="B119" i="7"/>
  <c r="B118" i="7"/>
  <c r="B117" i="7"/>
  <c r="B116" i="7"/>
  <c r="M81" i="7"/>
  <c r="L81" i="7"/>
  <c r="K81" i="7"/>
  <c r="J81" i="7"/>
  <c r="I81" i="7"/>
  <c r="H81" i="7"/>
  <c r="G81" i="7"/>
  <c r="R80" i="7"/>
  <c r="M80" i="7"/>
  <c r="L80" i="7"/>
  <c r="K80" i="7"/>
  <c r="J80" i="7"/>
  <c r="I80" i="7"/>
  <c r="H80" i="7"/>
  <c r="G80" i="7"/>
  <c r="F80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V72" i="7"/>
  <c r="U72" i="7"/>
  <c r="T72" i="7"/>
  <c r="S72" i="7"/>
  <c r="R72" i="7"/>
  <c r="Q72" i="7"/>
  <c r="P72" i="7"/>
  <c r="O72" i="7"/>
  <c r="N72" i="7"/>
  <c r="F35" i="7"/>
  <c r="E35" i="7"/>
  <c r="F34" i="7"/>
  <c r="E34" i="7"/>
  <c r="F33" i="7"/>
  <c r="E33" i="7" s="1"/>
  <c r="E30" i="7"/>
  <c r="E28" i="7"/>
  <c r="E27" i="7"/>
  <c r="E26" i="7"/>
  <c r="E145" i="7" s="1"/>
  <c r="E25" i="7"/>
  <c r="E147" i="7" s="1"/>
  <c r="E24" i="7"/>
  <c r="E149" i="7" s="1"/>
  <c r="E23" i="7"/>
  <c r="E150" i="7" s="1"/>
  <c r="E22" i="7"/>
  <c r="E144" i="7" s="1"/>
  <c r="E21" i="7"/>
  <c r="E143" i="7" s="1"/>
  <c r="E20" i="7"/>
  <c r="E148" i="7" s="1"/>
  <c r="E19" i="7"/>
  <c r="E146" i="7" s="1"/>
  <c r="F18" i="7"/>
  <c r="E18" i="7"/>
  <c r="V17" i="7"/>
  <c r="V80" i="7" s="1"/>
  <c r="U17" i="7"/>
  <c r="U80" i="7" s="1"/>
  <c r="T17" i="7"/>
  <c r="T80" i="7" s="1"/>
  <c r="S17" i="7"/>
  <c r="S80" i="7" s="1"/>
  <c r="R17" i="7"/>
  <c r="Q17" i="7"/>
  <c r="Q80" i="7" s="1"/>
  <c r="P17" i="7"/>
  <c r="P80" i="7" s="1"/>
  <c r="O17" i="7"/>
  <c r="O80" i="7" s="1"/>
  <c r="N17" i="7"/>
  <c r="N80" i="7" s="1"/>
  <c r="L17" i="7"/>
  <c r="F17" i="7" s="1"/>
  <c r="F16" i="7"/>
  <c r="F74" i="7" s="1"/>
  <c r="F15" i="7"/>
  <c r="E15" i="7" s="1"/>
  <c r="E80" i="7" s="1"/>
  <c r="F14" i="7"/>
  <c r="E14" i="7" s="1"/>
  <c r="E75" i="7" s="1"/>
  <c r="F13" i="7"/>
  <c r="F77" i="7" s="1"/>
  <c r="F12" i="7"/>
  <c r="E12" i="7" s="1"/>
  <c r="E76" i="7" s="1"/>
  <c r="F11" i="7"/>
  <c r="E11" i="7"/>
  <c r="E79" i="7" s="1"/>
  <c r="F10" i="7"/>
  <c r="F78" i="7" s="1"/>
  <c r="F9" i="7"/>
  <c r="F8" i="7"/>
  <c r="F7" i="7"/>
  <c r="F6" i="7"/>
  <c r="F5" i="7"/>
  <c r="F4" i="7"/>
  <c r="F3" i="7"/>
  <c r="H110" i="6"/>
  <c r="B110" i="6"/>
  <c r="B109" i="6"/>
  <c r="B108" i="6"/>
  <c r="B107" i="6"/>
  <c r="B106" i="6"/>
  <c r="B105" i="6"/>
  <c r="B104" i="6"/>
  <c r="B103" i="6"/>
  <c r="P68" i="6"/>
  <c r="M68" i="6"/>
  <c r="K68" i="6"/>
  <c r="J68" i="6"/>
  <c r="I68" i="6"/>
  <c r="H68" i="6"/>
  <c r="G68" i="6"/>
  <c r="V67" i="6"/>
  <c r="P67" i="6"/>
  <c r="M67" i="6"/>
  <c r="L67" i="6"/>
  <c r="K67" i="6"/>
  <c r="J67" i="6"/>
  <c r="I67" i="6"/>
  <c r="H67" i="6"/>
  <c r="G67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E60" i="6"/>
  <c r="V59" i="6"/>
  <c r="U59" i="6"/>
  <c r="T59" i="6"/>
  <c r="S59" i="6"/>
  <c r="R59" i="6"/>
  <c r="Q59" i="6"/>
  <c r="P59" i="6"/>
  <c r="O59" i="6"/>
  <c r="N59" i="6"/>
  <c r="F22" i="6"/>
  <c r="E22" i="6"/>
  <c r="F21" i="6"/>
  <c r="E21" i="6"/>
  <c r="F20" i="6"/>
  <c r="E20" i="6"/>
  <c r="F18" i="6"/>
  <c r="E18" i="6"/>
  <c r="V17" i="6"/>
  <c r="U17" i="6"/>
  <c r="U67" i="6" s="1"/>
  <c r="T17" i="6"/>
  <c r="T67" i="6" s="1"/>
  <c r="S17" i="6"/>
  <c r="S67" i="6" s="1"/>
  <c r="R17" i="6"/>
  <c r="R67" i="6" s="1"/>
  <c r="Q17" i="6"/>
  <c r="Q67" i="6" s="1"/>
  <c r="P17" i="6"/>
  <c r="O17" i="6"/>
  <c r="O68" i="6" s="1"/>
  <c r="N17" i="6"/>
  <c r="N68" i="6" s="1"/>
  <c r="L17" i="6"/>
  <c r="F17" i="6" s="1"/>
  <c r="F16" i="6"/>
  <c r="F61" i="6" s="1"/>
  <c r="E16" i="6"/>
  <c r="E61" i="6" s="1"/>
  <c r="F15" i="6"/>
  <c r="F67" i="6" s="1"/>
  <c r="E15" i="6"/>
  <c r="E67" i="6" s="1"/>
  <c r="F14" i="6"/>
  <c r="F62" i="6" s="1"/>
  <c r="E14" i="6"/>
  <c r="E62" i="6" s="1"/>
  <c r="F13" i="6"/>
  <c r="F64" i="6" s="1"/>
  <c r="E13" i="6"/>
  <c r="E64" i="6" s="1"/>
  <c r="F12" i="6"/>
  <c r="F63" i="6" s="1"/>
  <c r="E12" i="6"/>
  <c r="E63" i="6" s="1"/>
  <c r="F11" i="6"/>
  <c r="F66" i="6" s="1"/>
  <c r="E11" i="6"/>
  <c r="E66" i="6" s="1"/>
  <c r="F10" i="6"/>
  <c r="F65" i="6" s="1"/>
  <c r="E10" i="6"/>
  <c r="E65" i="6" s="1"/>
  <c r="F9" i="6"/>
  <c r="F8" i="6"/>
  <c r="F7" i="6"/>
  <c r="F6" i="6"/>
  <c r="F5" i="6"/>
  <c r="F4" i="6"/>
  <c r="F3" i="6"/>
  <c r="F60" i="6" s="1"/>
  <c r="F19" i="5"/>
  <c r="E19" i="5"/>
  <c r="E18" i="5"/>
  <c r="E17" i="5"/>
  <c r="E16" i="5"/>
  <c r="E15" i="5"/>
  <c r="I12" i="5"/>
  <c r="H12" i="5"/>
  <c r="G12" i="5"/>
  <c r="I11" i="5"/>
  <c r="H11" i="5"/>
  <c r="G11" i="5"/>
  <c r="K3" i="1"/>
  <c r="E17" i="7" l="1"/>
  <c r="E81" i="7" s="1"/>
  <c r="F81" i="7"/>
  <c r="N11" i="11"/>
  <c r="F11" i="16"/>
  <c r="G18" i="18"/>
  <c r="F68" i="6"/>
  <c r="E17" i="6"/>
  <c r="E68" i="6" s="1"/>
  <c r="O16" i="11"/>
  <c r="K31" i="13"/>
  <c r="L31" i="13"/>
  <c r="O67" i="6"/>
  <c r="E10" i="7"/>
  <c r="E78" i="7" s="1"/>
  <c r="E13" i="7"/>
  <c r="E77" i="7" s="1"/>
  <c r="E16" i="7"/>
  <c r="E74" i="7" s="1"/>
  <c r="F28" i="8"/>
  <c r="I29" i="9"/>
  <c r="O29" i="9"/>
  <c r="U29" i="9"/>
  <c r="F41" i="9"/>
  <c r="Q4" i="10"/>
  <c r="W4" i="10"/>
  <c r="M30" i="10"/>
  <c r="T30" i="10"/>
  <c r="W12" i="11"/>
  <c r="W13" i="11"/>
  <c r="I14" i="11"/>
  <c r="O14" i="11"/>
  <c r="O11" i="11" s="1"/>
  <c r="U14" i="11"/>
  <c r="U11" i="11" s="1"/>
  <c r="T15" i="11"/>
  <c r="T11" i="11" s="1"/>
  <c r="N16" i="11"/>
  <c r="O11" i="14"/>
  <c r="L32" i="14"/>
  <c r="G11" i="16"/>
  <c r="D18" i="18"/>
  <c r="K27" i="13"/>
  <c r="L27" i="13"/>
  <c r="K35" i="13"/>
  <c r="L35" i="13"/>
  <c r="X24" i="9"/>
  <c r="I30" i="10"/>
  <c r="F42" i="10"/>
  <c r="W14" i="11"/>
  <c r="I15" i="11"/>
  <c r="O15" i="11"/>
  <c r="H16" i="11"/>
  <c r="H11" i="11" s="1"/>
  <c r="P16" i="11"/>
  <c r="G53" i="11"/>
  <c r="V35" i="11"/>
  <c r="R35" i="11"/>
  <c r="G45" i="11"/>
  <c r="U15" i="11"/>
  <c r="N37" i="15"/>
  <c r="G52" i="15"/>
  <c r="D7" i="16" s="1"/>
  <c r="K33" i="13"/>
  <c r="L33" i="13"/>
  <c r="L68" i="6"/>
  <c r="P4" i="8"/>
  <c r="V4" i="8"/>
  <c r="R4" i="9"/>
  <c r="F38" i="9"/>
  <c r="F44" i="9"/>
  <c r="F50" i="9"/>
  <c r="Y25" i="10"/>
  <c r="N12" i="11"/>
  <c r="T12" i="11"/>
  <c r="N13" i="11"/>
  <c r="T13" i="11"/>
  <c r="X14" i="11"/>
  <c r="J15" i="11"/>
  <c r="J11" i="11" s="1"/>
  <c r="P15" i="11"/>
  <c r="P11" i="11" s="1"/>
  <c r="W15" i="11"/>
  <c r="I16" i="11"/>
  <c r="Z31" i="11"/>
  <c r="L17" i="14"/>
  <c r="L14" i="14"/>
  <c r="L16" i="14"/>
  <c r="L15" i="14"/>
  <c r="R17" i="14"/>
  <c r="R14" i="14"/>
  <c r="R13" i="14"/>
  <c r="R16" i="14"/>
  <c r="R15" i="14"/>
  <c r="R11" i="14" s="1"/>
  <c r="Z16" i="14"/>
  <c r="Z15" i="14"/>
  <c r="Z17" i="14"/>
  <c r="Z14" i="14"/>
  <c r="G49" i="14"/>
  <c r="L36" i="14"/>
  <c r="H14" i="15"/>
  <c r="H17" i="15"/>
  <c r="H16" i="15"/>
  <c r="H15" i="15"/>
  <c r="N17" i="15"/>
  <c r="N11" i="15" s="1"/>
  <c r="N14" i="15"/>
  <c r="N13" i="15"/>
  <c r="N16" i="15"/>
  <c r="N15" i="15"/>
  <c r="U17" i="15"/>
  <c r="U14" i="15"/>
  <c r="U12" i="15" s="1"/>
  <c r="U13" i="15"/>
  <c r="U16" i="15"/>
  <c r="K29" i="13"/>
  <c r="L29" i="13"/>
  <c r="X24" i="8"/>
  <c r="F39" i="9"/>
  <c r="F45" i="9"/>
  <c r="F51" i="9"/>
  <c r="O4" i="10"/>
  <c r="R30" i="10"/>
  <c r="F38" i="10"/>
  <c r="F44" i="10"/>
  <c r="O12" i="11"/>
  <c r="U12" i="11"/>
  <c r="H13" i="11"/>
  <c r="U13" i="11"/>
  <c r="M14" i="11"/>
  <c r="M11" i="11" s="1"/>
  <c r="S14" i="11"/>
  <c r="S11" i="11" s="1"/>
  <c r="K15" i="11"/>
  <c r="K11" i="11" s="1"/>
  <c r="Q15" i="11"/>
  <c r="Q11" i="11" s="1"/>
  <c r="X15" i="11"/>
  <c r="T16" i="11"/>
  <c r="U35" i="11"/>
  <c r="K26" i="13"/>
  <c r="L26" i="13"/>
  <c r="K28" i="13"/>
  <c r="L28" i="13"/>
  <c r="K30" i="13"/>
  <c r="L30" i="13"/>
  <c r="K32" i="13"/>
  <c r="L32" i="13"/>
  <c r="K34" i="13"/>
  <c r="L34" i="13"/>
  <c r="K36" i="13"/>
  <c r="L36" i="13"/>
  <c r="N67" i="6"/>
  <c r="V4" i="10"/>
  <c r="S30" i="10"/>
  <c r="P12" i="11"/>
  <c r="L15" i="11"/>
  <c r="L11" i="11" s="1"/>
  <c r="R15" i="11"/>
  <c r="R11" i="11" s="1"/>
  <c r="S11" i="14"/>
  <c r="T37" i="15"/>
  <c r="X15" i="14"/>
  <c r="G56" i="14"/>
  <c r="V14" i="15"/>
  <c r="T15" i="15"/>
  <c r="V17" i="15"/>
  <c r="L37" i="15"/>
  <c r="S37" i="15"/>
  <c r="H46" i="13"/>
  <c r="H55" i="13" s="1"/>
  <c r="N46" i="13"/>
  <c r="T46" i="13"/>
  <c r="G47" i="13"/>
  <c r="M47" i="13"/>
  <c r="S47" i="13"/>
  <c r="F48" i="13"/>
  <c r="L48" i="13"/>
  <c r="R48" i="13"/>
  <c r="E49" i="13"/>
  <c r="K49" i="13"/>
  <c r="Q49" i="13"/>
  <c r="D50" i="13"/>
  <c r="J50" i="13"/>
  <c r="P50" i="13"/>
  <c r="P14" i="14"/>
  <c r="H15" i="14"/>
  <c r="H11" i="14" s="1"/>
  <c r="N15" i="14"/>
  <c r="N11" i="14" s="1"/>
  <c r="T15" i="14"/>
  <c r="T11" i="14" s="1"/>
  <c r="X16" i="14"/>
  <c r="J17" i="14"/>
  <c r="J11" i="14" s="1"/>
  <c r="P17" i="14"/>
  <c r="P11" i="14" s="1"/>
  <c r="G46" i="14"/>
  <c r="V15" i="15"/>
  <c r="T16" i="15"/>
  <c r="L17" i="15"/>
  <c r="G48" i="15"/>
  <c r="G4" i="16" s="1"/>
  <c r="G54" i="15"/>
  <c r="F7" i="16" s="1"/>
  <c r="G60" i="15"/>
  <c r="L7" i="16" s="1"/>
  <c r="D46" i="13"/>
  <c r="J46" i="13"/>
  <c r="P46" i="13"/>
  <c r="C47" i="13"/>
  <c r="I47" i="13"/>
  <c r="O47" i="13"/>
  <c r="U47" i="13"/>
  <c r="H48" i="13"/>
  <c r="N48" i="13"/>
  <c r="N52" i="13" s="1"/>
  <c r="T48" i="13"/>
  <c r="T56" i="13" s="1"/>
  <c r="G49" i="13"/>
  <c r="M49" i="13"/>
  <c r="S49" i="13"/>
  <c r="F50" i="13"/>
  <c r="L50" i="13"/>
  <c r="R50" i="13"/>
  <c r="R52" i="13" s="1"/>
  <c r="Q13" i="14"/>
  <c r="W13" i="14"/>
  <c r="K14" i="14"/>
  <c r="Q14" i="14"/>
  <c r="W14" i="14"/>
  <c r="G16" i="14"/>
  <c r="G11" i="14" s="1"/>
  <c r="M16" i="14"/>
  <c r="M11" i="14" s="1"/>
  <c r="S16" i="14"/>
  <c r="K17" i="14"/>
  <c r="K11" i="14" s="1"/>
  <c r="Q17" i="14"/>
  <c r="Q11" i="14" s="1"/>
  <c r="W17" i="14"/>
  <c r="W11" i="14" s="1"/>
  <c r="V36" i="14"/>
  <c r="G47" i="14"/>
  <c r="G59" i="14"/>
  <c r="M13" i="15"/>
  <c r="S13" i="15"/>
  <c r="M14" i="15"/>
  <c r="S14" i="15"/>
  <c r="H12" i="16" s="1"/>
  <c r="K11" i="15"/>
  <c r="W15" i="15"/>
  <c r="W11" i="15" s="1"/>
  <c r="I16" i="15"/>
  <c r="O16" i="15"/>
  <c r="O11" i="15" s="1"/>
  <c r="G17" i="15"/>
  <c r="G11" i="15" s="1"/>
  <c r="M17" i="15"/>
  <c r="M11" i="15" s="1"/>
  <c r="S17" i="15"/>
  <c r="S11" i="15" s="1"/>
  <c r="G49" i="15"/>
  <c r="H4" i="16" s="1"/>
  <c r="G55" i="15"/>
  <c r="G7" i="16" s="1"/>
  <c r="G61" i="15"/>
  <c r="M7" i="16" s="1"/>
  <c r="E46" i="13"/>
  <c r="K46" i="13"/>
  <c r="Q46" i="13"/>
  <c r="D47" i="13"/>
  <c r="D55" i="13" s="1"/>
  <c r="J47" i="13"/>
  <c r="P47" i="13"/>
  <c r="P56" i="13" s="1"/>
  <c r="C48" i="13"/>
  <c r="I48" i="13"/>
  <c r="O48" i="13"/>
  <c r="U48" i="13"/>
  <c r="U56" i="13" s="1"/>
  <c r="H49" i="13"/>
  <c r="N49" i="13"/>
  <c r="T49" i="13"/>
  <c r="G50" i="13"/>
  <c r="G55" i="13" s="1"/>
  <c r="M50" i="13"/>
  <c r="M52" i="13" s="1"/>
  <c r="S50" i="13"/>
  <c r="S52" i="13" s="1"/>
  <c r="G46" i="11"/>
  <c r="G58" i="11"/>
  <c r="X13" i="14"/>
  <c r="X14" i="14"/>
  <c r="T13" i="15"/>
  <c r="G14" i="15"/>
  <c r="T14" i="15"/>
  <c r="Z14" i="15"/>
  <c r="K36" i="15"/>
  <c r="G56" i="15"/>
  <c r="H7" i="16" s="1"/>
  <c r="F46" i="13"/>
  <c r="L46" i="13"/>
  <c r="R46" i="13"/>
  <c r="E47" i="13"/>
  <c r="K47" i="13"/>
  <c r="Q47" i="13"/>
  <c r="D48" i="13"/>
  <c r="J48" i="13"/>
  <c r="J52" i="13" s="1"/>
  <c r="P48" i="13"/>
  <c r="C49" i="13"/>
  <c r="I49" i="13"/>
  <c r="O49" i="13"/>
  <c r="U49" i="13"/>
  <c r="H50" i="13"/>
  <c r="N50" i="13"/>
  <c r="T50" i="13"/>
  <c r="M13" i="14"/>
  <c r="S13" i="14"/>
  <c r="M14" i="14"/>
  <c r="S14" i="14"/>
  <c r="O13" i="15"/>
  <c r="O14" i="15"/>
  <c r="G46" i="13"/>
  <c r="M46" i="13"/>
  <c r="S46" i="13"/>
  <c r="F47" i="13"/>
  <c r="L47" i="13"/>
  <c r="L51" i="13" s="1"/>
  <c r="R47" i="13"/>
  <c r="E48" i="13"/>
  <c r="E55" i="13" s="1"/>
  <c r="K48" i="13"/>
  <c r="Q48" i="13"/>
  <c r="D49" i="13"/>
  <c r="J49" i="13"/>
  <c r="P49" i="13"/>
  <c r="C50" i="13"/>
  <c r="I50" i="13"/>
  <c r="O50" i="13"/>
  <c r="P11" i="15"/>
  <c r="H11" i="15"/>
  <c r="L11" i="15"/>
  <c r="T11" i="15"/>
  <c r="X11" i="15"/>
  <c r="AB21" i="15"/>
  <c r="AD21" i="15" s="1"/>
  <c r="AA21" i="15"/>
  <c r="AC21" i="15" s="1"/>
  <c r="AA22" i="15"/>
  <c r="AC22" i="15" s="1"/>
  <c r="AB22" i="15"/>
  <c r="AD22" i="15" s="1"/>
  <c r="AB24" i="15"/>
  <c r="AD24" i="15" s="1"/>
  <c r="AA24" i="15"/>
  <c r="AC24" i="15" s="1"/>
  <c r="AA26" i="15"/>
  <c r="AC26" i="15" s="1"/>
  <c r="AB26" i="15"/>
  <c r="AD26" i="15" s="1"/>
  <c r="AB20" i="15"/>
  <c r="AD20" i="15" s="1"/>
  <c r="AA20" i="15"/>
  <c r="AC20" i="15" s="1"/>
  <c r="AA23" i="15"/>
  <c r="AC23" i="15" s="1"/>
  <c r="AB23" i="15"/>
  <c r="AD23" i="15" s="1"/>
  <c r="L27" i="15"/>
  <c r="L33" i="15" s="1"/>
  <c r="AA19" i="15"/>
  <c r="AC19" i="15" s="1"/>
  <c r="AB19" i="15"/>
  <c r="AD19" i="15" s="1"/>
  <c r="Y11" i="15"/>
  <c r="Z11" i="15"/>
  <c r="I11" i="15"/>
  <c r="V11" i="15"/>
  <c r="U11" i="15"/>
  <c r="J11" i="15"/>
  <c r="F12" i="16"/>
  <c r="Q12" i="15"/>
  <c r="G12" i="16"/>
  <c r="R12" i="15"/>
  <c r="W12" i="15"/>
  <c r="L12" i="16"/>
  <c r="M12" i="16"/>
  <c r="X12" i="15"/>
  <c r="T12" i="15"/>
  <c r="I12" i="16"/>
  <c r="J12" i="16"/>
  <c r="M12" i="15"/>
  <c r="B12" i="16"/>
  <c r="Y12" i="15"/>
  <c r="N12" i="16"/>
  <c r="N12" i="15"/>
  <c r="C12" i="16"/>
  <c r="K12" i="16"/>
  <c r="V12" i="15"/>
  <c r="D12" i="16"/>
  <c r="O12" i="15"/>
  <c r="E12" i="16"/>
  <c r="P12" i="15"/>
  <c r="D11" i="16" l="1"/>
  <c r="H18" i="18"/>
  <c r="C11" i="16"/>
  <c r="E18" i="18"/>
  <c r="B11" i="16"/>
  <c r="C18" i="18"/>
  <c r="S12" i="15"/>
  <c r="M11" i="16"/>
  <c r="N18" i="18"/>
  <c r="H11" i="16"/>
  <c r="F18" i="18"/>
  <c r="L11" i="14"/>
  <c r="W11" i="11"/>
  <c r="I11" i="16"/>
  <c r="J18" i="18"/>
  <c r="M51" i="13"/>
  <c r="M54" i="13" s="1"/>
  <c r="M53" i="13"/>
  <c r="N11" i="16"/>
  <c r="O18" i="18"/>
  <c r="K51" i="13"/>
  <c r="K54" i="13" s="1"/>
  <c r="N51" i="13"/>
  <c r="N54" i="13" s="1"/>
  <c r="N53" i="13"/>
  <c r="K53" i="13"/>
  <c r="R53" i="13"/>
  <c r="R51" i="13"/>
  <c r="R54" i="13" s="1"/>
  <c r="X11" i="11"/>
  <c r="Q51" i="13"/>
  <c r="Q54" i="13" s="1"/>
  <c r="Q53" i="13"/>
  <c r="K11" i="16"/>
  <c r="K18" i="18"/>
  <c r="E11" i="16"/>
  <c r="I18" i="18"/>
  <c r="J51" i="13"/>
  <c r="J54" i="13" s="1"/>
  <c r="S51" i="13"/>
  <c r="S54" i="13" s="1"/>
  <c r="X11" i="14"/>
  <c r="I11" i="11"/>
  <c r="J11" i="16"/>
  <c r="L18" i="18"/>
  <c r="L53" i="13"/>
  <c r="L11" i="16"/>
  <c r="M18" i="18"/>
  <c r="Z11" i="14"/>
  <c r="AA27" i="15"/>
  <c r="AC27" i="15" s="1"/>
  <c r="AB27" i="15"/>
  <c r="AD27" i="15" s="1"/>
  <c r="S53" i="13" l="1"/>
  <c r="J53" i="13"/>
  <c r="J56" i="13" s="1"/>
</calcChain>
</file>

<file path=xl/sharedStrings.xml><?xml version="1.0" encoding="utf-8"?>
<sst xmlns="http://schemas.openxmlformats.org/spreadsheetml/2006/main" count="2681" uniqueCount="386">
  <si>
    <t>SS</t>
  </si>
  <si>
    <t>VTh</t>
  </si>
  <si>
    <t>DIBL</t>
  </si>
  <si>
    <t>ID_th</t>
  </si>
  <si>
    <t>Ion/Ioff</t>
  </si>
  <si>
    <t>Leakage Id</t>
  </si>
  <si>
    <t>Max Id</t>
  </si>
  <si>
    <t>Imax/Idleakage</t>
  </si>
  <si>
    <t>HfO2 %</t>
  </si>
  <si>
    <t>SiO2 %</t>
  </si>
  <si>
    <t>@ Vds=1.2V</t>
  </si>
  <si>
    <t>Effects of SiO2 concentration</t>
  </si>
  <si>
    <t>Id_00</t>
  </si>
  <si>
    <t>SiO2 (nm)</t>
  </si>
  <si>
    <t>HfO2 (nm)</t>
  </si>
  <si>
    <t>DIBL (mV/V)</t>
  </si>
  <si>
    <t>SS (mV/dec)</t>
  </si>
  <si>
    <t>Leakage Id (A)</t>
  </si>
  <si>
    <t>Max Id (A)</t>
  </si>
  <si>
    <t>Vth (V)</t>
  </si>
  <si>
    <t>TiO2</t>
  </si>
  <si>
    <t>HfO2</t>
  </si>
  <si>
    <t>thickness (nm)</t>
  </si>
  <si>
    <t>SiO2</t>
  </si>
  <si>
    <t>kappa</t>
  </si>
  <si>
    <t>Sapphire</t>
  </si>
  <si>
    <t>La2O3</t>
  </si>
  <si>
    <t>material</t>
  </si>
  <si>
    <t>SiN</t>
  </si>
  <si>
    <t>Effects of 6 dielectrics</t>
  </si>
  <si>
    <t>Effects of HfO2-SiO2 thickness</t>
  </si>
  <si>
    <t>FGM</t>
  </si>
  <si>
    <t>SOI</t>
  </si>
  <si>
    <t>Sapphire (nm)</t>
  </si>
  <si>
    <t>TiO2 (nm)</t>
  </si>
  <si>
    <t>Try_SOI.in işyerinde</t>
  </si>
  <si>
    <t>Try_SOI.in evde</t>
  </si>
  <si>
    <t>Total thickness (nm)</t>
  </si>
  <si>
    <t>equivalent kappa</t>
  </si>
  <si>
    <t>HfSiO4</t>
  </si>
  <si>
    <t>SiN (nm)</t>
  </si>
  <si>
    <t>FinFET_v92_SiO2_3nm.in</t>
  </si>
  <si>
    <t>FinFET_v92_SiN_3nm.in</t>
  </si>
  <si>
    <t>FinFET_v92_HfSiO4_3nm.in</t>
  </si>
  <si>
    <t>FinFET_v92_Sapphire_3nm.in</t>
  </si>
  <si>
    <t>FinFET_v92_HfO2_3nm.in</t>
  </si>
  <si>
    <t>no</t>
  </si>
  <si>
    <t>FinFET_v92_La2O3_3nm.in</t>
  </si>
  <si>
    <t>FinFET_v92_TiO2_3nm.in</t>
  </si>
  <si>
    <t>Id_th is 1e-07 A</t>
  </si>
  <si>
    <t>FinFET_v94_FGM_SiO2_1nm_Sapphire_0.5nm_TiO2_1.5nm</t>
  </si>
  <si>
    <t>FinFET_v94_FGM_SiO2_La2O3_TiO2.in</t>
  </si>
  <si>
    <t>input file for ATLAS</t>
  </si>
  <si>
    <t>FinFET_v94_FGM_SiO2_1.5nm_Sapphire_1nm_TiO2_0.5nm</t>
  </si>
  <si>
    <t>FinFET_v94_FGM_SiO2_1nm_HfO2_1.5nm_TiO2_0.5nm</t>
  </si>
  <si>
    <t>FinFET_v94_FGM_SiO2_1,5nm_HfO2_1.5nm</t>
  </si>
  <si>
    <t>FinFET_v94_FGM_SiO2_2nm_HfO2_1nm</t>
  </si>
  <si>
    <t>FinFET_v94_FGM_HfO2_0,5nm_TiO2_2.5nm</t>
  </si>
  <si>
    <t>FinFET_v94_FGM_TiO2_3nm</t>
  </si>
  <si>
    <t xml:space="preserve">La2O3 </t>
  </si>
  <si>
    <t>DIBL 
w/ Single 
Dielectric</t>
  </si>
  <si>
    <t>DIBL
/w FGM</t>
  </si>
  <si>
    <t>SiO2 
(nm)</t>
  </si>
  <si>
    <t>Sapphire 
(nm)</t>
  </si>
  <si>
    <t>HfO2 
(nm)</t>
  </si>
  <si>
    <t>TiO2 
(nm)</t>
  </si>
  <si>
    <t>A</t>
  </si>
  <si>
    <t>B</t>
  </si>
  <si>
    <t>C</t>
  </si>
  <si>
    <t>D</t>
  </si>
  <si>
    <t>E</t>
  </si>
  <si>
    <t>F</t>
  </si>
  <si>
    <t>G</t>
  </si>
  <si>
    <t>Effective Kappa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</si>
  <si>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</si>
  <si>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</si>
  <si>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</si>
  <si>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</si>
  <si>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</si>
  <si>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</si>
  <si>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</si>
  <si>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</si>
  <si>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</si>
  <si>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r>
      <t xml:space="preserve">equivalent
</t>
    </r>
    <r>
      <rPr>
        <b/>
        <sz val="12"/>
        <color theme="1"/>
        <rFont val="Symbol"/>
        <family val="1"/>
        <charset val="2"/>
      </rPr>
      <t>k</t>
    </r>
  </si>
  <si>
    <t>Dielectric</t>
  </si>
  <si>
    <t>HfO2(nm)</t>
  </si>
  <si>
    <t>FGMs</t>
  </si>
  <si>
    <t xml:space="preserve">Max Id (A) 
w/ Single Dielectric </t>
  </si>
  <si>
    <t>Max Id (A) 
w/ FGM</t>
  </si>
  <si>
    <t>Leakage Id (A) 
w/ FGM</t>
  </si>
  <si>
    <t>Leakage Id (A) 
w/ Single Dielectric</t>
  </si>
  <si>
    <t>Vth (V) 
w/ Single dielectric</t>
  </si>
  <si>
    <t>Vth (V) 
w/ FGM</t>
  </si>
  <si>
    <t>HfO2 - is most efficient</t>
  </si>
  <si>
    <t>Ion/Ioff 
w/ FGMs</t>
  </si>
  <si>
    <t>Ion/Ioff 
w/ single dielectric</t>
  </si>
  <si>
    <t>SS (mV/dec) 
w/ single dielectric</t>
  </si>
  <si>
    <t>SS (mV/dec) 
w/ FGMs</t>
  </si>
  <si>
    <t>yes</t>
  </si>
  <si>
    <t>REVERSED</t>
  </si>
  <si>
    <t># ----------- Performance Parameters  -----------------</t>
  </si>
  <si>
    <t>Vth (at Vds = 1.2V) is 0.8869 V</t>
  </si>
  <si>
    <t>SS_005 is 61.6 mV/dec</t>
  </si>
  <si>
    <t>SS_07 is 62.1 mV/dec</t>
  </si>
  <si>
    <t>DIBL is 20.43 mV/V</t>
  </si>
  <si>
    <t>Id_00 is 1e-21 A</t>
  </si>
  <si>
    <t xml:space="preserve">Ion/Ioff is 1.000000e+14 </t>
  </si>
  <si>
    <t>leakage_current is 1.306430915e-26 A</t>
  </si>
  <si>
    <t>max_current is 1.126382601e-05 A</t>
  </si>
  <si>
    <t xml:space="preserve">Imax/Ileakage is 8.621831e+20 </t>
  </si>
  <si>
    <t>FinFET_v94R_FGM_Sapphire_1nm_HfO2_1nm_TiO2_1nm</t>
  </si>
  <si>
    <t>Id_00 is 1e-22 A</t>
  </si>
  <si>
    <t xml:space="preserve">Ion/Ioff is 1.000000e+15 </t>
  </si>
  <si>
    <t>INCREASING</t>
  </si>
  <si>
    <t>KAPPA ORDER</t>
  </si>
  <si>
    <t>FinFET_v94R_FGM_Sapphire_3nm</t>
  </si>
  <si>
    <t>FinFET_v94R_FGM_Sapphire_0.5nm_HfO2_0.5nm_TiO2_2nm</t>
  </si>
  <si>
    <t>FGM-94R</t>
  </si>
  <si>
    <t>FinFET_v94R_FGM_HfO2_3nm</t>
  </si>
  <si>
    <t>Vth (at Vds = 1.2V) is 0.9309 V</t>
  </si>
  <si>
    <t>SS_005 is 58.4 mV/dec</t>
  </si>
  <si>
    <t>SS_07 is 57.8 mV/dec</t>
  </si>
  <si>
    <t>DIBL is 8.35 mV/V</t>
  </si>
  <si>
    <t>leakage_current is 3.15574754e-23 A</t>
  </si>
  <si>
    <t>max_current is 8.151911712e-06 A</t>
  </si>
  <si>
    <t xml:space="preserve">Imax/Ileakage is 2.583195e+17 </t>
  </si>
  <si>
    <t>FinFET_v94R_FGM_TiO2_3nm</t>
  </si>
  <si>
    <t>BOX</t>
  </si>
  <si>
    <t>none</t>
  </si>
  <si>
    <t>FGM-H</t>
  </si>
  <si>
    <t>FGM-I</t>
  </si>
  <si>
    <t>FGM-J</t>
  </si>
  <si>
    <t>FGM-K</t>
  </si>
  <si>
    <t>FGM-L</t>
  </si>
  <si>
    <t>FinFET_v94R_FGM_HfO2_0.5nm_TiO2_2.5nm</t>
  </si>
  <si>
    <t>FinFET_v94R_FGM_Sapphire_0.5nm_HfO2_1nm_TiO2_1.5nm</t>
  </si>
  <si>
    <t>FinFET_v94R_FGM_Sapphire_0.5nm_HfO2_2nm_TiO2_0.5nm</t>
  </si>
  <si>
    <t>FinFET_v94R_FGM_ZrO2_3nm</t>
  </si>
  <si>
    <t>ZrO2</t>
  </si>
  <si>
    <t>La2O3 / ZrO2</t>
  </si>
  <si>
    <t>Vth</t>
  </si>
  <si>
    <t>Ion</t>
  </si>
  <si>
    <t>SS_05</t>
  </si>
  <si>
    <t>SS_7</t>
  </si>
  <si>
    <t>Id_Th</t>
  </si>
  <si>
    <t>Ioff</t>
  </si>
  <si>
    <t>FinFET_v94R_FGM_SiO2_3nm_BOXSiO2</t>
  </si>
  <si>
    <t>filename</t>
  </si>
  <si>
    <t>FinFET_v94R_FGM_HfO2_3nm_BOXSiO2</t>
  </si>
  <si>
    <t>FinFET_v94R_FGM_TiO2_3nm_BOXSiO2</t>
  </si>
  <si>
    <t>Equivalent Kappa</t>
  </si>
  <si>
    <t>Total Thickness</t>
  </si>
  <si>
    <t>Single Kappa</t>
  </si>
  <si>
    <t>FGM #</t>
  </si>
  <si>
    <t>H</t>
  </si>
  <si>
    <t>J</t>
  </si>
  <si>
    <t>K</t>
  </si>
  <si>
    <t>FinFET_v94R_FGM_Sapphire_3nm_BOXSiO2</t>
  </si>
  <si>
    <t>Imax / Idleakage</t>
  </si>
  <si>
    <t>FinFET_v94R_FGM_SiO2_1nm_Sapphire_1nm_HfO2_1nm_BOXSiO2</t>
  </si>
  <si>
    <t>FinFET_v94R_FGM_Sapphire_0.5nm_HfO2_2.5nm_BOXSiO2</t>
  </si>
  <si>
    <t>FinFET_v94R_FGM_Sapphire_1nm_HfO2_1nm_TiO2_1nm_BOXSiO2</t>
  </si>
  <si>
    <t>FinFET_v94R_FGM_SiO2_1nm_Sapphire_1nm_TiO2_1nm_BOXSiO2</t>
  </si>
  <si>
    <t>FinFET_v94R_FGM_SiO2_0.5nm_Sapphire_0.5nm_HfO2_2nm_BOX_SiO2</t>
  </si>
  <si>
    <t>FinFET_v94R_FGM_Sapphire_0.5nm_HfO2_2nm_TiO2_0.5nm_BOX_SiO2</t>
  </si>
  <si>
    <t>FinFET_v94R_FGM_SiO2_1nm_HfO2_1nm_TiO2_1nm_BOXSiO2</t>
  </si>
  <si>
    <t>I Max /  I Leaakge</t>
  </si>
  <si>
    <t>Bandgap</t>
  </si>
  <si>
    <t>Kappa</t>
  </si>
  <si>
    <t>Material</t>
  </si>
  <si>
    <t>Si3N4</t>
  </si>
  <si>
    <t>Equivalent Bandgap</t>
  </si>
  <si>
    <t>FinFET_v94R_FGM_Sapphire_0nm_HfO2_0.5nm_TiO2_2.5nm_BOXSiO2</t>
  </si>
  <si>
    <t>FinFET_v94R_FGM_Sapphire_0.5nm_HfO2_0.5nm_TiO2_2nm_BOXSiO2</t>
  </si>
  <si>
    <t>FinFET_v94R_FGM_Sapphire_1nm_HfO2_0.5nm_TiO2_1.5nm_BOXSiO2</t>
  </si>
  <si>
    <t>111_BOX_Sapphire</t>
  </si>
  <si>
    <t>FGM-Sapphire</t>
  </si>
  <si>
    <t>FGM-HfO2</t>
  </si>
  <si>
    <t>FGM-TiO2</t>
  </si>
  <si>
    <t>%80 better ION</t>
  </si>
  <si>
    <t>%8,2 better DIBL</t>
  </si>
  <si>
    <t>%15,1 better DIBL</t>
  </si>
  <si>
    <t>%60 better DIBL</t>
  </si>
  <si>
    <t>FinFET_v94R_FGM_Sapphire_1nm_HfO2_1nm_TiO2_1nm_BOX_Sapphire</t>
  </si>
  <si>
    <t>003_Box_TiO2</t>
  </si>
  <si>
    <t>003_Box_SiO2</t>
  </si>
  <si>
    <t>Box-Sio2-TiO2</t>
  </si>
  <si>
    <t>003_Box_Sapphier</t>
  </si>
  <si>
    <t>FinFET_v95_FGM_Sapphire_0nm_HfO2_0nm_TiO2_3nm_BOX_Sapphire</t>
  </si>
  <si>
    <t>FinFET_v95_FGM_Sapphire_0nm_HfO2_0nm_TiO2_3nm_BOX_SiO2</t>
  </si>
  <si>
    <t>FinFET_v95_FGM_Sapphire_0nm_HfO2_0nm_TiO2_3nm_BOX_TiO2</t>
  </si>
  <si>
    <t>111_FGM-Sapphire</t>
  </si>
  <si>
    <t>L</t>
  </si>
  <si>
    <t>FinFET_v95_FGM_SiO2_0nm_HfO2_1.5nm_TiO2_1.5nm_BOX_SiO2</t>
  </si>
  <si>
    <t>M</t>
  </si>
  <si>
    <t>Al2O3</t>
  </si>
  <si>
    <t>La2O3 (nm)</t>
  </si>
  <si>
    <t>No HfO2</t>
  </si>
  <si>
    <t>FGM STEP COUNT</t>
  </si>
  <si>
    <t>FGM-D, -G have better DIBL than HfO2</t>
  </si>
  <si>
    <t>FGM-E, -F, - G, - H, - J have lower Vth voltages than HfO2</t>
  </si>
  <si>
    <t>FGM-K, -L, -M have lower IOFF values than HfO2</t>
  </si>
  <si>
    <t>FGM-K, -L, -M have better ION/IOFF ratios than HfO2</t>
  </si>
  <si>
    <t>FGM-C, -D, -F, -G, -H have much higher ION values than HfO2</t>
  </si>
  <si>
    <t>SiO22</t>
  </si>
  <si>
    <t>TiO23</t>
  </si>
  <si>
    <t>Total Thickness (nm)</t>
  </si>
  <si>
    <t>FGM_FOM</t>
  </si>
  <si>
    <t>MATERIAL</t>
  </si>
  <si>
    <t>FinFET_v94R_FGM_La2O3_3nm_BOXSiO2</t>
  </si>
  <si>
    <t>FinFET_v96_FGM_Al2O3_3nm_HfO2_0nm_TiO2_0nm_BOX_Al2O3</t>
  </si>
  <si>
    <t>FinFET_v96_FGM_BULK_ADDED_Al2O3_1nm_HfO2_1nm_TiO2_1nm_BOX_Al2O3</t>
  </si>
  <si>
    <t>FinFET_v96_FGM_SiO2_3nm_HfO2_0nm_TiO2_0nm_BOX_Al2O3</t>
  </si>
  <si>
    <t>FinFET_v96_FGM_SiO2_0nm_HfO2_3nm_TiO2_0nm_BOX_Al2O3</t>
  </si>
  <si>
    <t>FinFET_v96_FGM_SiO2_0nm_La2O3_3nm_TiO2_0nm_BOX_Al2O3</t>
  </si>
  <si>
    <t>FinFET_v96_FGM_SiO2_0nm_La2O3_0nm_TiO2_3nm_BOX_Al2O3</t>
  </si>
  <si>
    <t>FinFET_v96_FGM_SiO2_0.5nm_Al2O3_0.5nm_HfO2_2nm_BOX_Al2O3</t>
  </si>
  <si>
    <t>FinFET_v96_FGM_SiO2_1nm_Al2O3_1nm_HfO2_1nm_BOX_Al2O3</t>
  </si>
  <si>
    <t>FinFET_v96_FGM_SiO2_0.5nm_HfO2_2.5nm_TiO2_0nm_BOX_Al2O3</t>
  </si>
  <si>
    <t>I Max /  I Leakage</t>
  </si>
  <si>
    <t>CD</t>
  </si>
  <si>
    <t>FinFET_v96_FGM_SiO2_1nm_Al2O3_1nm_TiO2_1nm_BOX_Al2O3</t>
  </si>
  <si>
    <t>FinFET_v96_FGM_Al2O3_0.5nm_HfO2_2nm_TiO2_0.5nm_BOX_Al2O3</t>
  </si>
  <si>
    <t>FinFET_v96_FGM_Al2O3_0.5nm_HfO2_2.5nm_TiO2_0nm_BOX_Al2O3</t>
  </si>
  <si>
    <t>FinFET_v96_FGM_SiO2_1nm_HfO2_1nm_TiO2_1nm_BOX_Al2O3</t>
  </si>
  <si>
    <t>FinFET_v96_FGM_SiO2_1.5nm_HfO2_0nm_TiO2_1.5nm_BOX_Al2O3</t>
  </si>
  <si>
    <t>FinFET_v96_FGM_SiO2_1nm_Al2O3_0.5nm_TiO2_1.5nm_BOX_Al2O3</t>
  </si>
  <si>
    <t>FinFET_v96_FGM_SiO2_0nm_HfO2_1.5nm_TiO2_1.5nm_BOX_Al2O3</t>
  </si>
  <si>
    <t>FinFET_v96_FGM_Al2O3_0nm_HfO2_0.5nm_TiO2_2.5nm_BOX_Al2O3</t>
  </si>
  <si>
    <t>FinFET_v96_FGM_Al2O3_0.5nm_HfO2_0.5nm_TiO2_2nm_BOX_Al2O3</t>
  </si>
  <si>
    <t>component1 = e2.e3.t1/tox</t>
  </si>
  <si>
    <t>component1 = e1.e2.t3/tox</t>
  </si>
  <si>
    <t>component2 = e1.e3.t2/tox</t>
  </si>
  <si>
    <t>e1</t>
  </si>
  <si>
    <t>e2</t>
  </si>
  <si>
    <t>e3</t>
  </si>
  <si>
    <t>t1</t>
  </si>
  <si>
    <t>t2</t>
  </si>
  <si>
    <t>t3</t>
  </si>
  <si>
    <t>tox</t>
  </si>
  <si>
    <t>N</t>
  </si>
  <si>
    <t>FinFET_v97_FGM_SiO2_0nm_HfO2_0.5nm_TiO2_2.5nm_BOX_HfO2</t>
  </si>
  <si>
    <t>ION/IOFF</t>
  </si>
  <si>
    <t>epsilon</t>
  </si>
  <si>
    <t>fermi energy</t>
  </si>
  <si>
    <t>Kf</t>
  </si>
  <si>
    <t>thickness</t>
  </si>
  <si>
    <t>a</t>
  </si>
  <si>
    <t>Eg</t>
  </si>
  <si>
    <t>Ef</t>
  </si>
  <si>
    <t>e</t>
  </si>
  <si>
    <t>Si</t>
  </si>
  <si>
    <t>eV</t>
  </si>
  <si>
    <t>-</t>
  </si>
  <si>
    <t>A-1</t>
  </si>
  <si>
    <t>Delta E</t>
  </si>
  <si>
    <r>
      <rPr>
        <sz val="11"/>
        <color theme="1"/>
        <rFont val="Symbol"/>
        <family val="1"/>
        <charset val="2"/>
      </rPr>
      <t xml:space="preserve"> D</t>
    </r>
    <r>
      <rPr>
        <sz val="11"/>
        <color theme="1"/>
        <rFont val="Calibri"/>
        <family val="2"/>
        <charset val="162"/>
        <scheme val="minor"/>
      </rPr>
      <t>E</t>
    </r>
  </si>
  <si>
    <t>VTH w/ single dielectric</t>
  </si>
  <si>
    <t>VTH w/ FGM</t>
  </si>
  <si>
    <t>SS w/ FGM</t>
  </si>
  <si>
    <t>SS w/ single dielectric</t>
  </si>
  <si>
    <t>DIBL w/ FGM</t>
  </si>
  <si>
    <t>DIBL w/ single dielectric</t>
  </si>
  <si>
    <t>IOFF w/ single dielectric</t>
  </si>
  <si>
    <t>IOFF w/ FGM</t>
  </si>
  <si>
    <t>ION w/ FGM</t>
  </si>
  <si>
    <t>ION w/ single dielectric</t>
  </si>
  <si>
    <t>ION/IOFF w/ FGM</t>
  </si>
  <si>
    <t>ION/IOFF w/ single dielectric</t>
  </si>
  <si>
    <t>Al2O3 (nm)</t>
  </si>
  <si>
    <t>bulk kappa</t>
  </si>
  <si>
    <t>e eff</t>
  </si>
  <si>
    <t>ea</t>
  </si>
  <si>
    <t>eb</t>
  </si>
  <si>
    <t>Xa</t>
  </si>
  <si>
    <t>KEFF</t>
  </si>
  <si>
    <t>Maxwell-Garnet model</t>
  </si>
  <si>
    <t>Series connection model</t>
  </si>
  <si>
    <t>XA</t>
  </si>
  <si>
    <r>
      <t>X</t>
    </r>
    <r>
      <rPr>
        <vertAlign val="subscript"/>
        <sz val="11"/>
        <color theme="1"/>
        <rFont val="Calibri"/>
        <family val="2"/>
        <charset val="162"/>
        <scheme val="minor"/>
      </rPr>
      <t>A</t>
    </r>
  </si>
  <si>
    <t>XB</t>
  </si>
  <si>
    <r>
      <t>X</t>
    </r>
    <r>
      <rPr>
        <vertAlign val="subscript"/>
        <sz val="11"/>
        <color theme="1"/>
        <rFont val="Calibri"/>
        <family val="2"/>
        <charset val="162"/>
        <scheme val="minor"/>
      </rPr>
      <t>B</t>
    </r>
  </si>
  <si>
    <r>
      <t>X</t>
    </r>
    <r>
      <rPr>
        <vertAlign val="subscript"/>
        <sz val="11"/>
        <color theme="1"/>
        <rFont val="Calibri"/>
        <family val="2"/>
        <charset val="162"/>
        <scheme val="minor"/>
      </rPr>
      <t>C</t>
    </r>
  </si>
  <si>
    <t>3-step FGM</t>
  </si>
  <si>
    <t>Maxwell-Garnet model (A-B)</t>
  </si>
  <si>
    <t>Series connection model (A-B)</t>
  </si>
  <si>
    <t>Maxwell-Garnet model (A-B-C)</t>
  </si>
  <si>
    <t>Series connection model (A-B-C)</t>
  </si>
  <si>
    <t>HFO2</t>
  </si>
  <si>
    <t>ec</t>
  </si>
  <si>
    <t>Series Conn</t>
  </si>
  <si>
    <t>Maxwell Garnet</t>
  </si>
  <si>
    <t>XA+XB+XC</t>
  </si>
  <si>
    <t>FGM-A</t>
  </si>
  <si>
    <t>XC</t>
  </si>
  <si>
    <t>XD</t>
  </si>
  <si>
    <t>XE</t>
  </si>
  <si>
    <t>Kappa 12</t>
  </si>
  <si>
    <t>Keff</t>
  </si>
  <si>
    <t>f1</t>
  </si>
  <si>
    <t>f2</t>
  </si>
  <si>
    <t>SERIAL KAPPA CALCULATION</t>
  </si>
  <si>
    <t>FinFET_v97_QTUNN_FN_BBT_HEI_HHI_SiO2_3nm_HfO2_0nm_TiO2_0nm_BOX_Al2O3</t>
  </si>
  <si>
    <t>STR FILENAME</t>
  </si>
  <si>
    <t>FinFET_v97_QTUNN_FN_BBT_HEI_HHI_Al2O3_3nm_HfO2_0nm_TiO2_0nm_BOX_Al2O3</t>
  </si>
  <si>
    <t>FinFET_v97_QTUNN_FN_BBT_HEI_HHI_Al2O3_0nm_HfO2_3nm_TiO2_0nm_BOX_Al2O3</t>
  </si>
  <si>
    <t>FinFET_v97_QTUNN_FN_BBT_HEI_HHI_Al2O3_0nm_La2O3_0nm_TiO2_3nm_BOX_Al2O3</t>
  </si>
  <si>
    <t>FinFET_v97_QTUNN_FN_BBT_HEI_HHI_Al2O3_0nm_La2O3_3nm_TiO2_0nm_BOX_Al2O3</t>
  </si>
  <si>
    <t>FinFET_v97_QTUNN_FN_BBT_HEI_HHI_SiO2_1nm_Al2O3_1nm_HfO2_1nm_BOX_Al2O3</t>
  </si>
  <si>
    <t>FinFET_v97_QTUNN_FN_BBT_HEI_HHI_SiO2_1.5nm_La2O3_0nm_TiO2_1.5nm_BOX_Al2O3</t>
  </si>
  <si>
    <t>FinFET_v97_QTUNN_FN_BBT_HEI_HHI_SiO2_1nm_Al2O3_1nm_TiO2_1nm_BOX_Al2O3</t>
  </si>
  <si>
    <t>FinFET_v97_QTUNN_FN_BBT_HEI_HHI_SiO2_1nm_Al2O3_0.5nm_TiO2_1.5nm_BOX_Al2O3</t>
  </si>
  <si>
    <t>FinFET_v97_QTUNN_FN_BBT_HEI_HHI_SiO2_1nm_HfO2_1nm_TiO2_1nm_BOX_Al2O3</t>
  </si>
  <si>
    <t>FinFET_v97_QTUNN_FN_BBT_HEI_HHI_SiO2_0.5nm_Al2O3_0.5nm_HfO2_2nm_BOX_Al2O3</t>
  </si>
  <si>
    <t>FinFET_v97_QTUNN_FN_BBT_HEI_HHI_SiO2_0.5nm_HfO2_2.5nm_TiO2_0nm_BOX_Al2O3</t>
  </si>
  <si>
    <t>FinFET_v97_QTUNN_FN_BBT_HEI_HHI_Al2O3_1nm_HfO2_1nm_TiO2_1nm_BOX_Al2O3</t>
  </si>
  <si>
    <t>FinFET_v97_QTUNN_FN_BBT_HEI_HHI_Al2O3_0.5nm_HfO2_2.5nm_TiO2_0nm_BOX_Al2O3</t>
  </si>
  <si>
    <t>FinFET_v97_QTUNN_FN_BBT_HEI_HHI_Al2O3_0.5nm_HfO2_2nm_TiO2_0.5nm_BOX_Al2O3</t>
  </si>
  <si>
    <t>FinFET_v97_QTUNN_FN_BBT_HEI_HHI_Al2O3_0.5nm_HfO2_0.5nm_TiO2_2nm_BOX_Al2O3</t>
  </si>
  <si>
    <t>FinFET_v97_QTUNN_FN_BBT_HEI_HHI_Al2O3_0nm_HfO2_0.5nm_TiO2_2.5nm_BOX_Al2O3</t>
  </si>
  <si>
    <t>FinFET_v97_QTUNN_FN_BBT_HEI_HHI_Al2O3_0nm_HfO2_1.5nm_TiO2_1.5nm_BOX_Al2O3</t>
  </si>
  <si>
    <t>Id_00 (@Vgs=0.2)</t>
  </si>
  <si>
    <t>Id_Th(@Vgs=Vth)</t>
  </si>
  <si>
    <t>FET_FOM</t>
  </si>
  <si>
    <t>FGM-B</t>
  </si>
  <si>
    <t>FGM-C</t>
  </si>
  <si>
    <t>FGM-D</t>
  </si>
  <si>
    <t>FGM-E</t>
  </si>
  <si>
    <t>FGM-F</t>
  </si>
  <si>
    <t>FGM-G</t>
  </si>
  <si>
    <t>FGM-M</t>
  </si>
  <si>
    <t>FGM-N</t>
  </si>
  <si>
    <t>MIN</t>
  </si>
  <si>
    <t>MAX</t>
  </si>
  <si>
    <t>COMPARE W MIN</t>
  </si>
  <si>
    <t>COMPARE W MAX</t>
  </si>
  <si>
    <t>Effective zz (SC-model)</t>
  </si>
  <si>
    <t>Ig Leakage current</t>
  </si>
  <si>
    <t>ok</t>
  </si>
  <si>
    <t>Ig Leakage current w/ single dielectric @Vg=0.75V</t>
  </si>
  <si>
    <t>Ig Leakage current w/ FGMs @Vg=0.75V</t>
  </si>
  <si>
    <t>FOM_FET</t>
  </si>
  <si>
    <t>High-Frequency Dielectric Constant (ε(∞))</t>
  </si>
  <si>
    <t>Steady-State Dielectric Constant (ε₀)</t>
  </si>
  <si>
    <t>~3.9 - 4.5</t>
  </si>
  <si>
    <t>5.8 (rutile phase), 7.0 (anatase phase)</t>
  </si>
  <si>
    <t>~85 (rutile phase), ~170 (anatase phase)</t>
  </si>
  <si>
    <t>10 - 15 (range due to various sources)</t>
  </si>
  <si>
    <t>~27</t>
  </si>
  <si>
    <t>9.0 - 10.0</t>
  </si>
  <si>
    <t>~8.0 - 10.0</t>
  </si>
  <si>
    <t>22 - 25</t>
  </si>
  <si>
    <t>~25</t>
  </si>
  <si>
    <t>(MG-model)</t>
  </si>
  <si>
    <t>SiO2 thickness (nm)</t>
  </si>
  <si>
    <t>Al2O3 thickness (nm)</t>
  </si>
  <si>
    <t>HfO2 thickness (nm)</t>
  </si>
  <si>
    <t>TiO2 thickness (nm)</t>
  </si>
  <si>
    <t>KAB</t>
  </si>
  <si>
    <t>KA</t>
  </si>
  <si>
    <t>KB</t>
  </si>
  <si>
    <t>KC</t>
  </si>
  <si>
    <t>fAB</t>
  </si>
  <si>
    <t>fC</t>
  </si>
  <si>
    <t>fA</t>
  </si>
  <si>
    <t>fB</t>
  </si>
  <si>
    <t>Effective kappa</t>
  </si>
  <si>
    <t>Effective kappa of SiO2</t>
  </si>
  <si>
    <t>Effective kappa of Al2O3</t>
  </si>
  <si>
    <t>Effective kappa of HfO2</t>
  </si>
  <si>
    <t>Effective kappa of TiO2</t>
  </si>
  <si>
    <t>Bulk kappa</t>
  </si>
  <si>
    <t>in 2nm</t>
  </si>
  <si>
    <t xml:space="preserve"> in 3nm</t>
  </si>
  <si>
    <t>in 0.5nm</t>
  </si>
  <si>
    <t xml:space="preserve"> in 1nm</t>
  </si>
  <si>
    <t xml:space="preserve"> in 1.5nm</t>
  </si>
  <si>
    <t xml:space="preserve"> in 2.5nm</t>
  </si>
  <si>
    <t>value</t>
  </si>
  <si>
    <t>in 3nm</t>
  </si>
  <si>
    <t>SD</t>
  </si>
  <si>
    <t>IOFF single dielectric</t>
  </si>
  <si>
    <t>IOFF FGM</t>
  </si>
  <si>
    <t>VTH (V) w/ single dielectric</t>
  </si>
  <si>
    <t>VTH (V) w/ FGM</t>
  </si>
  <si>
    <t>Ig Leakage current w/ FGM
 @Vg=0.75V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</si>
</sst>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%"/>
    <numFmt numFmtId="167" formatCode="0.000"/>
  </numFmts>
  <fonts count="26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  <font>
      <sz val="8"/>
      <color theme="1"/>
      <name val="Var(--jp-code-font-family)"/>
    </font>
    <font>
      <b/>
      <sz val="11"/>
      <color theme="8" tint="-0.249977111117893"/>
      <name val="Calibri"/>
      <family val="2"/>
      <charset val="162"/>
      <scheme val="minor"/>
    </font>
    <font>
      <b/>
      <sz val="8"/>
      <color theme="8" tint="-0.249977111117893"/>
      <name val="Var(--jp-code-font-family)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Var(--jp-code-font-family)"/>
    </font>
    <font>
      <b/>
      <sz val="12"/>
      <color theme="8" tint="-0.249977111117893"/>
      <name val="Calibri"/>
      <family val="2"/>
      <charset val="162"/>
      <scheme val="minor"/>
    </font>
    <font>
      <sz val="10"/>
      <color theme="1"/>
      <name val="Var(--jp-code-font-family)"/>
    </font>
    <font>
      <sz val="8"/>
      <color theme="1"/>
      <name val="Var(--jp-cell-prompt-font-famil"/>
    </font>
    <font>
      <b/>
      <sz val="12"/>
      <color theme="1"/>
      <name val="Symbol"/>
      <family val="1"/>
      <charset val="2"/>
    </font>
    <font>
      <b/>
      <sz val="9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1"/>
      <color theme="1"/>
      <name val="Symbol"/>
      <family val="1"/>
      <charset val="2"/>
    </font>
    <font>
      <sz val="10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9.6"/>
      <color rgb="FF374151"/>
      <name val="Segoe UI"/>
      <family val="2"/>
      <charset val="162"/>
    </font>
    <font>
      <sz val="9.6"/>
      <color rgb="FF374151"/>
      <name val="Segoe UI"/>
      <family val="2"/>
      <charset val="16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5" fillId="0" borderId="0" applyFont="0" applyFill="0" applyBorder="0" applyAlignment="0" applyProtection="0"/>
    <xf numFmtId="0" fontId="22" fillId="17" borderId="23" applyNumberFormat="0" applyAlignment="0" applyProtection="0"/>
    <xf numFmtId="0" fontId="23" fillId="18" borderId="24" applyNumberFormat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quotePrefix="1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1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top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11" fontId="9" fillId="3" borderId="0" xfId="0" applyNumberFormat="1" applyFont="1" applyFill="1" applyAlignment="1">
      <alignment horizontal="center" vertical="center"/>
    </xf>
    <xf numFmtId="11" fontId="9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2" fontId="0" fillId="0" borderId="0" xfId="0" applyNumberFormat="1"/>
    <xf numFmtId="2" fontId="9" fillId="2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1" fontId="9" fillId="4" borderId="0" xfId="0" applyNumberFormat="1" applyFont="1" applyFill="1" applyAlignment="1">
      <alignment horizontal="center" vertical="center"/>
    </xf>
    <xf numFmtId="11" fontId="9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/>
    </xf>
    <xf numFmtId="11" fontId="0" fillId="0" borderId="0" xfId="0" applyNumberFormat="1"/>
    <xf numFmtId="164" fontId="0" fillId="0" borderId="0" xfId="0" applyNumberFormat="1"/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65" fontId="9" fillId="3" borderId="4" xfId="0" applyNumberFormat="1" applyFont="1" applyFill="1" applyBorder="1" applyAlignment="1">
      <alignment horizontal="center"/>
    </xf>
    <xf numFmtId="165" fontId="9" fillId="3" borderId="5" xfId="0" applyNumberFormat="1" applyFont="1" applyFill="1" applyBorder="1" applyAlignment="1">
      <alignment horizontal="center"/>
    </xf>
    <xf numFmtId="165" fontId="9" fillId="3" borderId="6" xfId="0" applyNumberFormat="1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/>
    <xf numFmtId="0" fontId="7" fillId="5" borderId="10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5" borderId="10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11" fontId="9" fillId="2" borderId="0" xfId="0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 vertical="center"/>
    </xf>
    <xf numFmtId="2" fontId="9" fillId="7" borderId="0" xfId="0" applyNumberFormat="1" applyFont="1" applyFill="1" applyAlignment="1">
      <alignment horizontal="center" vertical="center"/>
    </xf>
    <xf numFmtId="11" fontId="9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9" fillId="7" borderId="14" xfId="0" applyFont="1" applyFill="1" applyBorder="1" applyAlignment="1">
      <alignment horizontal="center" vertical="center"/>
    </xf>
    <xf numFmtId="11" fontId="9" fillId="7" borderId="14" xfId="0" applyNumberFormat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2" fontId="1" fillId="5" borderId="14" xfId="0" applyNumberFormat="1" applyFon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2" fontId="1" fillId="6" borderId="14" xfId="0" applyNumberFormat="1" applyFon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horizontal="center"/>
    </xf>
    <xf numFmtId="11" fontId="9" fillId="9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7" fillId="9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9" borderId="0" xfId="0" applyFont="1" applyFill="1" applyAlignment="1">
      <alignment horizontal="right" vertical="center"/>
    </xf>
    <xf numFmtId="0" fontId="14" fillId="9" borderId="0" xfId="0" applyFont="1" applyFill="1" applyAlignment="1">
      <alignment horizontal="right"/>
    </xf>
    <xf numFmtId="0" fontId="14" fillId="10" borderId="0" xfId="0" applyFont="1" applyFill="1" applyAlignment="1">
      <alignment horizontal="right" vertical="center"/>
    </xf>
    <xf numFmtId="0" fontId="14" fillId="10" borderId="0" xfId="0" applyFont="1" applyFill="1" applyAlignment="1">
      <alignment horizontal="right"/>
    </xf>
    <xf numFmtId="0" fontId="14" fillId="7" borderId="0" xfId="0" applyFont="1" applyFill="1" applyAlignment="1">
      <alignment horizontal="center"/>
    </xf>
    <xf numFmtId="0" fontId="14" fillId="0" borderId="14" xfId="0" applyFont="1" applyBorder="1"/>
    <xf numFmtId="0" fontId="14" fillId="9" borderId="14" xfId="0" applyFont="1" applyFill="1" applyBorder="1" applyAlignment="1">
      <alignment horizontal="right" vertical="center"/>
    </xf>
    <xf numFmtId="0" fontId="14" fillId="7" borderId="14" xfId="0" applyFont="1" applyFill="1" applyBorder="1" applyAlignment="1">
      <alignment horizontal="right" vertical="center"/>
    </xf>
    <xf numFmtId="0" fontId="14" fillId="7" borderId="14" xfId="0" applyFont="1" applyFill="1" applyBorder="1" applyAlignment="1">
      <alignment horizontal="center" vertical="center" textRotation="90" wrapText="1"/>
    </xf>
    <xf numFmtId="0" fontId="13" fillId="0" borderId="14" xfId="0" applyFont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right" vertical="center"/>
    </xf>
    <xf numFmtId="0" fontId="13" fillId="7" borderId="14" xfId="0" applyFont="1" applyFill="1" applyBorder="1" applyAlignment="1">
      <alignment horizontal="center" vertical="center" wrapText="1"/>
    </xf>
    <xf numFmtId="165" fontId="13" fillId="7" borderId="14" xfId="0" applyNumberFormat="1" applyFont="1" applyFill="1" applyBorder="1" applyAlignment="1">
      <alignment horizontal="center" vertical="center"/>
    </xf>
    <xf numFmtId="11" fontId="14" fillId="9" borderId="14" xfId="0" applyNumberFormat="1" applyFont="1" applyFill="1" applyBorder="1" applyAlignment="1">
      <alignment horizontal="right" vertical="center"/>
    </xf>
    <xf numFmtId="11" fontId="14" fillId="7" borderId="14" xfId="0" applyNumberFormat="1" applyFont="1" applyFill="1" applyBorder="1" applyAlignment="1">
      <alignment horizontal="right" vertical="center"/>
    </xf>
    <xf numFmtId="0" fontId="14" fillId="7" borderId="14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/>
    </xf>
    <xf numFmtId="0" fontId="13" fillId="9" borderId="14" xfId="0" applyFont="1" applyFill="1" applyBorder="1" applyAlignment="1">
      <alignment horizontal="center" vertical="center"/>
    </xf>
    <xf numFmtId="0" fontId="13" fillId="10" borderId="14" xfId="0" applyFont="1" applyFill="1" applyBorder="1" applyAlignment="1">
      <alignment horizontal="right" vertical="center"/>
    </xf>
    <xf numFmtId="0" fontId="14" fillId="10" borderId="14" xfId="0" applyFont="1" applyFill="1" applyBorder="1" applyAlignment="1">
      <alignment horizontal="right" vertical="center"/>
    </xf>
    <xf numFmtId="11" fontId="14" fillId="10" borderId="14" xfId="0" applyNumberFormat="1" applyFont="1" applyFill="1" applyBorder="1" applyAlignment="1">
      <alignment horizontal="right" vertical="center"/>
    </xf>
    <xf numFmtId="0" fontId="14" fillId="10" borderId="14" xfId="0" applyFont="1" applyFill="1" applyBorder="1" applyAlignment="1">
      <alignment horizontal="center" vertical="center"/>
    </xf>
    <xf numFmtId="0" fontId="13" fillId="10" borderId="14" xfId="0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/>
    </xf>
    <xf numFmtId="0" fontId="14" fillId="10" borderId="14" xfId="0" applyFont="1" applyFill="1" applyBorder="1" applyAlignment="1">
      <alignment horizontal="right"/>
    </xf>
    <xf numFmtId="0" fontId="14" fillId="0" borderId="14" xfId="0" applyFont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textRotation="90" wrapText="1"/>
    </xf>
    <xf numFmtId="0" fontId="14" fillId="10" borderId="14" xfId="0" applyFont="1" applyFill="1" applyBorder="1" applyAlignment="1">
      <alignment horizontal="center" vertical="center" textRotation="90" wrapText="1"/>
    </xf>
    <xf numFmtId="0" fontId="13" fillId="0" borderId="0" xfId="0" applyFont="1"/>
    <xf numFmtId="0" fontId="13" fillId="0" borderId="14" xfId="0" applyFont="1" applyBorder="1"/>
    <xf numFmtId="0" fontId="13" fillId="9" borderId="14" xfId="0" applyFont="1" applyFill="1" applyBorder="1" applyAlignment="1">
      <alignment horizontal="center"/>
    </xf>
    <xf numFmtId="0" fontId="13" fillId="10" borderId="14" xfId="0" applyFont="1" applyFill="1" applyBorder="1" applyAlignment="1">
      <alignment horizontal="center"/>
    </xf>
    <xf numFmtId="166" fontId="14" fillId="7" borderId="14" xfId="1" applyNumberFormat="1" applyFont="1" applyFill="1" applyBorder="1" applyAlignment="1">
      <alignment horizontal="center" vertical="center" textRotation="90" wrapText="1"/>
    </xf>
    <xf numFmtId="166" fontId="13" fillId="7" borderId="14" xfId="1" applyNumberFormat="1" applyFont="1" applyFill="1" applyBorder="1" applyAlignment="1">
      <alignment horizontal="center" vertical="center" wrapText="1"/>
    </xf>
    <xf numFmtId="166" fontId="13" fillId="7" borderId="14" xfId="1" applyNumberFormat="1" applyFont="1" applyFill="1" applyBorder="1" applyAlignment="1">
      <alignment horizontal="center" vertical="center"/>
    </xf>
    <xf numFmtId="166" fontId="14" fillId="7" borderId="14" xfId="1" applyNumberFormat="1" applyFont="1" applyFill="1" applyBorder="1" applyAlignment="1">
      <alignment horizontal="right" vertical="center"/>
    </xf>
    <xf numFmtId="166" fontId="14" fillId="7" borderId="14" xfId="1" applyNumberFormat="1" applyFont="1" applyFill="1" applyBorder="1" applyAlignment="1">
      <alignment horizontal="center" vertical="center"/>
    </xf>
    <xf numFmtId="166" fontId="14" fillId="7" borderId="0" xfId="1" applyNumberFormat="1" applyFont="1" applyFill="1"/>
    <xf numFmtId="0" fontId="14" fillId="11" borderId="14" xfId="0" applyFont="1" applyFill="1" applyBorder="1" applyAlignment="1">
      <alignment horizontal="center" vertical="center" textRotation="90" wrapText="1"/>
    </xf>
    <xf numFmtId="0" fontId="13" fillId="11" borderId="14" xfId="0" applyFont="1" applyFill="1" applyBorder="1" applyAlignment="1">
      <alignment horizontal="center" vertical="center" wrapText="1"/>
    </xf>
    <xf numFmtId="165" fontId="13" fillId="11" borderId="14" xfId="0" applyNumberFormat="1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right" vertical="center"/>
    </xf>
    <xf numFmtId="11" fontId="14" fillId="11" borderId="14" xfId="0" applyNumberFormat="1" applyFont="1" applyFill="1" applyBorder="1" applyAlignment="1">
      <alignment horizontal="right" vertical="center"/>
    </xf>
    <xf numFmtId="0" fontId="13" fillId="11" borderId="14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0" fontId="14" fillId="11" borderId="0" xfId="0" applyFont="1" applyFill="1"/>
    <xf numFmtId="10" fontId="14" fillId="7" borderId="14" xfId="1" applyNumberFormat="1" applyFont="1" applyFill="1" applyBorder="1" applyAlignment="1">
      <alignment horizontal="right" vertical="center"/>
    </xf>
    <xf numFmtId="0" fontId="14" fillId="4" borderId="14" xfId="0" applyFont="1" applyFill="1" applyBorder="1" applyAlignment="1">
      <alignment horizontal="center" vertical="center" textRotation="90" wrapText="1"/>
    </xf>
    <xf numFmtId="0" fontId="13" fillId="4" borderId="14" xfId="0" applyFont="1" applyFill="1" applyBorder="1" applyAlignment="1">
      <alignment horizontal="center" vertical="center" wrapText="1"/>
    </xf>
    <xf numFmtId="165" fontId="13" fillId="4" borderId="14" xfId="0" applyNumberFormat="1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right" vertical="center"/>
    </xf>
    <xf numFmtId="11" fontId="14" fillId="4" borderId="14" xfId="0" applyNumberFormat="1" applyFont="1" applyFill="1" applyBorder="1" applyAlignment="1">
      <alignment horizontal="right" vertical="center"/>
    </xf>
    <xf numFmtId="0" fontId="13" fillId="4" borderId="1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/>
    </xf>
    <xf numFmtId="0" fontId="14" fillId="3" borderId="14" xfId="0" applyFont="1" applyFill="1" applyBorder="1" applyAlignment="1">
      <alignment horizontal="center" vertical="center" textRotation="90" wrapText="1"/>
    </xf>
    <xf numFmtId="0" fontId="13" fillId="3" borderId="14" xfId="0" applyFont="1" applyFill="1" applyBorder="1" applyAlignment="1">
      <alignment horizontal="center" vertical="center" wrapText="1"/>
    </xf>
    <xf numFmtId="165" fontId="13" fillId="3" borderId="14" xfId="0" applyNumberFormat="1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right" vertical="center"/>
    </xf>
    <xf numFmtId="11" fontId="14" fillId="3" borderId="14" xfId="0" applyNumberFormat="1" applyFont="1" applyFill="1" applyBorder="1" applyAlignment="1">
      <alignment horizontal="right" vertical="center"/>
    </xf>
    <xf numFmtId="0" fontId="13" fillId="3" borderId="14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166" fontId="13" fillId="7" borderId="0" xfId="1" applyNumberFormat="1" applyFont="1" applyFill="1" applyBorder="1" applyAlignment="1">
      <alignment horizontal="center" vertical="center"/>
    </xf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/>
    </xf>
    <xf numFmtId="166" fontId="13" fillId="4" borderId="14" xfId="1" applyNumberFormat="1" applyFont="1" applyFill="1" applyBorder="1" applyAlignment="1">
      <alignment horizontal="center" vertical="center"/>
    </xf>
    <xf numFmtId="0" fontId="13" fillId="4" borderId="0" xfId="0" applyFont="1" applyFill="1"/>
    <xf numFmtId="0" fontId="16" fillId="0" borderId="0" xfId="0" applyFont="1"/>
    <xf numFmtId="0" fontId="16" fillId="12" borderId="0" xfId="0" applyFont="1" applyFill="1"/>
    <xf numFmtId="0" fontId="14" fillId="12" borderId="0" xfId="0" applyFont="1" applyFill="1"/>
    <xf numFmtId="0" fontId="14" fillId="12" borderId="0" xfId="0" applyFont="1" applyFill="1" applyAlignment="1">
      <alignment horizontal="right" vertical="center"/>
    </xf>
    <xf numFmtId="0" fontId="14" fillId="12" borderId="0" xfId="0" applyFont="1" applyFill="1" applyAlignment="1">
      <alignment horizontal="right"/>
    </xf>
    <xf numFmtId="165" fontId="14" fillId="0" borderId="0" xfId="0" applyNumberFormat="1" applyFont="1" applyAlignment="1">
      <alignment horizontal="center" vertical="center"/>
    </xf>
    <xf numFmtId="0" fontId="14" fillId="0" borderId="15" xfId="0" applyFont="1" applyBorder="1"/>
    <xf numFmtId="0" fontId="13" fillId="9" borderId="15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center"/>
    </xf>
    <xf numFmtId="0" fontId="13" fillId="10" borderId="15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2" fontId="13" fillId="9" borderId="14" xfId="0" applyNumberFormat="1" applyFont="1" applyFill="1" applyBorder="1" applyAlignment="1">
      <alignment horizontal="center" vertical="center"/>
    </xf>
    <xf numFmtId="2" fontId="14" fillId="10" borderId="0" xfId="0" applyNumberFormat="1" applyFont="1" applyFill="1" applyAlignment="1">
      <alignment horizontal="right" vertical="center"/>
    </xf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11" fontId="14" fillId="0" borderId="0" xfId="0" applyNumberFormat="1" applyFont="1"/>
    <xf numFmtId="0" fontId="13" fillId="12" borderId="14" xfId="0" applyFont="1" applyFill="1" applyBorder="1" applyAlignment="1">
      <alignment horizontal="center" vertical="center"/>
    </xf>
    <xf numFmtId="0" fontId="13" fillId="12" borderId="14" xfId="0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0" fontId="13" fillId="8" borderId="14" xfId="0" applyFont="1" applyFill="1" applyBorder="1"/>
    <xf numFmtId="0" fontId="13" fillId="8" borderId="14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/>
    </xf>
    <xf numFmtId="166" fontId="13" fillId="8" borderId="14" xfId="1" applyNumberFormat="1" applyFont="1" applyFill="1" applyBorder="1" applyAlignment="1">
      <alignment horizontal="center" vertical="center"/>
    </xf>
    <xf numFmtId="0" fontId="13" fillId="8" borderId="0" xfId="0" applyFont="1" applyFill="1"/>
    <xf numFmtId="0" fontId="13" fillId="2" borderId="0" xfId="0" applyFont="1" applyFill="1" applyAlignment="1">
      <alignment horizontal="center" vertical="center" wrapText="1"/>
    </xf>
    <xf numFmtId="165" fontId="13" fillId="2" borderId="14" xfId="0" applyNumberFormat="1" applyFont="1" applyFill="1" applyBorder="1" applyAlignment="1">
      <alignment horizontal="center" vertical="center"/>
    </xf>
    <xf numFmtId="166" fontId="13" fillId="2" borderId="14" xfId="1" applyNumberFormat="1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 wrapText="1"/>
    </xf>
    <xf numFmtId="0" fontId="13" fillId="12" borderId="14" xfId="0" applyFont="1" applyFill="1" applyBorder="1" applyAlignment="1">
      <alignment horizontal="center" vertical="center" wrapText="1"/>
    </xf>
    <xf numFmtId="165" fontId="13" fillId="12" borderId="14" xfId="0" applyNumberFormat="1" applyFont="1" applyFill="1" applyBorder="1" applyAlignment="1">
      <alignment horizontal="center" vertical="center"/>
    </xf>
    <xf numFmtId="166" fontId="13" fillId="12" borderId="14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165" fontId="13" fillId="13" borderId="14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3" fillId="14" borderId="0" xfId="0" applyFont="1" applyFill="1" applyAlignment="1">
      <alignment horizontal="center" vertical="center"/>
    </xf>
    <xf numFmtId="0" fontId="13" fillId="14" borderId="0" xfId="0" applyFont="1" applyFill="1"/>
    <xf numFmtId="0" fontId="14" fillId="15" borderId="14" xfId="0" applyFont="1" applyFill="1" applyBorder="1" applyAlignment="1">
      <alignment horizontal="center" vertical="center"/>
    </xf>
    <xf numFmtId="166" fontId="14" fillId="15" borderId="14" xfId="1" applyNumberFormat="1" applyFont="1" applyFill="1" applyBorder="1" applyAlignment="1">
      <alignment horizontal="center" vertical="center"/>
    </xf>
    <xf numFmtId="0" fontId="14" fillId="15" borderId="0" xfId="0" applyFont="1" applyFill="1"/>
    <xf numFmtId="0" fontId="13" fillId="2" borderId="0" xfId="0" applyFont="1" applyFill="1" applyAlignment="1">
      <alignment horizontal="center"/>
    </xf>
    <xf numFmtId="0" fontId="13" fillId="2" borderId="14" xfId="0" applyFont="1" applyFill="1" applyBorder="1" applyAlignment="1">
      <alignment horizontal="center" vertical="center"/>
    </xf>
    <xf numFmtId="0" fontId="13" fillId="2" borderId="0" xfId="0" applyFont="1" applyFill="1"/>
    <xf numFmtId="165" fontId="13" fillId="16" borderId="14" xfId="0" applyNumberFormat="1" applyFont="1" applyFill="1" applyBorder="1" applyAlignment="1">
      <alignment horizontal="center" vertical="center"/>
    </xf>
    <xf numFmtId="165" fontId="13" fillId="8" borderId="14" xfId="0" applyNumberFormat="1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/>
    </xf>
    <xf numFmtId="11" fontId="14" fillId="3" borderId="14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4" fillId="12" borderId="0" xfId="0" applyFont="1" applyFill="1" applyAlignment="1">
      <alignment horizontal="center"/>
    </xf>
    <xf numFmtId="0" fontId="17" fillId="0" borderId="0" xfId="0" applyFont="1"/>
    <xf numFmtId="0" fontId="14" fillId="15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 textRotation="90" wrapText="1"/>
    </xf>
    <xf numFmtId="0" fontId="13" fillId="12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 wrapText="1"/>
    </xf>
    <xf numFmtId="0" fontId="13" fillId="14" borderId="8" xfId="0" applyFont="1" applyFill="1" applyBorder="1" applyAlignment="1">
      <alignment horizontal="center" vertical="center"/>
    </xf>
    <xf numFmtId="0" fontId="13" fillId="14" borderId="17" xfId="0" applyFont="1" applyFill="1" applyBorder="1" applyAlignment="1">
      <alignment horizontal="center" vertical="center"/>
    </xf>
    <xf numFmtId="166" fontId="13" fillId="14" borderId="17" xfId="1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0" fontId="13" fillId="11" borderId="20" xfId="0" applyFont="1" applyFill="1" applyBorder="1" applyAlignment="1">
      <alignment horizontal="center" vertical="center" wrapText="1"/>
    </xf>
    <xf numFmtId="166" fontId="13" fillId="7" borderId="20" xfId="1" applyNumberFormat="1" applyFont="1" applyFill="1" applyBorder="1" applyAlignment="1">
      <alignment horizontal="center" vertical="center" wrapText="1"/>
    </xf>
    <xf numFmtId="165" fontId="13" fillId="2" borderId="16" xfId="0" applyNumberFormat="1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165" fontId="13" fillId="2" borderId="17" xfId="0" applyNumberFormat="1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0" fillId="12" borderId="18" xfId="0" applyFill="1" applyBorder="1" applyAlignment="1">
      <alignment horizontal="center" wrapText="1"/>
    </xf>
    <xf numFmtId="0" fontId="0" fillId="12" borderId="18" xfId="0" applyFill="1" applyBorder="1" applyAlignment="1">
      <alignment horizontal="center"/>
    </xf>
    <xf numFmtId="0" fontId="1" fillId="12" borderId="18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165" fontId="1" fillId="12" borderId="0" xfId="0" applyNumberFormat="1" applyFont="1" applyFill="1" applyAlignment="1">
      <alignment horizontal="center" vertical="center"/>
    </xf>
    <xf numFmtId="165" fontId="13" fillId="4" borderId="8" xfId="0" applyNumberFormat="1" applyFont="1" applyFill="1" applyBorder="1" applyAlignment="1">
      <alignment horizontal="center" vertical="center"/>
    </xf>
    <xf numFmtId="165" fontId="13" fillId="4" borderId="17" xfId="0" applyNumberFormat="1" applyFont="1" applyFill="1" applyBorder="1" applyAlignment="1">
      <alignment horizontal="center" vertical="center"/>
    </xf>
    <xf numFmtId="165" fontId="13" fillId="7" borderId="17" xfId="0" applyNumberFormat="1" applyFont="1" applyFill="1" applyBorder="1" applyAlignment="1">
      <alignment horizontal="center" vertical="center"/>
    </xf>
    <xf numFmtId="165" fontId="13" fillId="11" borderId="17" xfId="0" applyNumberFormat="1" applyFont="1" applyFill="1" applyBorder="1" applyAlignment="1">
      <alignment horizontal="center" vertical="center"/>
    </xf>
    <xf numFmtId="166" fontId="13" fillId="7" borderId="17" xfId="1" applyNumberFormat="1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/>
    </xf>
    <xf numFmtId="165" fontId="0" fillId="12" borderId="7" xfId="0" applyNumberFormat="1" applyFill="1" applyBorder="1" applyAlignment="1">
      <alignment horizontal="center"/>
    </xf>
    <xf numFmtId="165" fontId="0" fillId="12" borderId="7" xfId="0" applyNumberFormat="1" applyFill="1" applyBorder="1" applyAlignment="1">
      <alignment horizontal="center" vertical="center"/>
    </xf>
    <xf numFmtId="165" fontId="13" fillId="12" borderId="7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19" fillId="0" borderId="22" xfId="0" applyFont="1" applyBorder="1" applyAlignment="1">
      <alignment horizontal="center" wrapText="1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5" fontId="0" fillId="12" borderId="0" xfId="0" applyNumberFormat="1" applyFill="1" applyAlignment="1">
      <alignment horizontal="center"/>
    </xf>
    <xf numFmtId="165" fontId="0" fillId="12" borderId="0" xfId="0" applyNumberFormat="1" applyFill="1" applyAlignment="1">
      <alignment horizontal="center" vertical="center"/>
    </xf>
    <xf numFmtId="165" fontId="13" fillId="12" borderId="0" xfId="0" applyNumberFormat="1" applyFont="1" applyFill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166" fontId="13" fillId="2" borderId="17" xfId="1" applyNumberFormat="1" applyFon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0" borderId="0" xfId="0" applyFont="1"/>
    <xf numFmtId="0" fontId="21" fillId="12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164" fontId="21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left" vertical="center"/>
    </xf>
    <xf numFmtId="2" fontId="1" fillId="0" borderId="0" xfId="0" applyNumberFormat="1" applyFont="1"/>
    <xf numFmtId="2" fontId="22" fillId="17" borderId="23" xfId="2" applyNumberFormat="1"/>
    <xf numFmtId="2" fontId="23" fillId="18" borderId="24" xfId="3" applyNumberFormat="1"/>
    <xf numFmtId="0" fontId="23" fillId="18" borderId="24" xfId="3"/>
    <xf numFmtId="11" fontId="23" fillId="18" borderId="24" xfId="3" applyNumberFormat="1"/>
    <xf numFmtId="11" fontId="22" fillId="17" borderId="23" xfId="2" applyNumberFormat="1"/>
    <xf numFmtId="0" fontId="18" fillId="0" borderId="22" xfId="0" applyFont="1" applyBorder="1" applyAlignment="1">
      <alignment horizontal="center" vertical="center" wrapText="1"/>
    </xf>
    <xf numFmtId="0" fontId="14" fillId="16" borderId="14" xfId="0" applyFont="1" applyFill="1" applyBorder="1" applyAlignment="1">
      <alignment horizontal="center" vertical="center"/>
    </xf>
    <xf numFmtId="11" fontId="14" fillId="16" borderId="14" xfId="0" applyNumberFormat="1" applyFont="1" applyFill="1" applyBorder="1" applyAlignment="1">
      <alignment horizontal="center" vertical="center"/>
    </xf>
    <xf numFmtId="11" fontId="14" fillId="2" borderId="14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2" fontId="14" fillId="0" borderId="14" xfId="0" applyNumberFormat="1" applyFont="1" applyBorder="1" applyAlignment="1">
      <alignment horizontal="center"/>
    </xf>
    <xf numFmtId="10" fontId="14" fillId="4" borderId="14" xfId="1" applyNumberFormat="1" applyFont="1" applyFill="1" applyBorder="1" applyAlignment="1">
      <alignment horizontal="right" vertical="center"/>
    </xf>
    <xf numFmtId="10" fontId="14" fillId="16" borderId="14" xfId="1" applyNumberFormat="1" applyFont="1" applyFill="1" applyBorder="1" applyAlignment="1">
      <alignment horizontal="right" vertical="center"/>
    </xf>
    <xf numFmtId="10" fontId="14" fillId="2" borderId="14" xfId="1" applyNumberFormat="1" applyFont="1" applyFill="1" applyBorder="1" applyAlignment="1">
      <alignment horizontal="right" vertical="center"/>
    </xf>
    <xf numFmtId="0" fontId="14" fillId="4" borderId="14" xfId="1" applyNumberFormat="1" applyFont="1" applyFill="1" applyBorder="1" applyAlignment="1">
      <alignment horizontal="right" vertical="center"/>
    </xf>
    <xf numFmtId="0" fontId="14" fillId="19" borderId="14" xfId="0" applyFont="1" applyFill="1" applyBorder="1" applyAlignment="1">
      <alignment horizontal="center" vertical="center"/>
    </xf>
    <xf numFmtId="11" fontId="14" fillId="19" borderId="14" xfId="0" applyNumberFormat="1" applyFont="1" applyFill="1" applyBorder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14" fillId="16" borderId="0" xfId="0" applyFont="1" applyFill="1" applyAlignment="1">
      <alignment horizontal="center"/>
    </xf>
    <xf numFmtId="0" fontId="13" fillId="16" borderId="14" xfId="0" applyFont="1" applyFill="1" applyBorder="1"/>
    <xf numFmtId="11" fontId="14" fillId="16" borderId="14" xfId="0" applyNumberFormat="1" applyFont="1" applyFill="1" applyBorder="1" applyAlignment="1">
      <alignment horizontal="right" vertical="center"/>
    </xf>
    <xf numFmtId="166" fontId="14" fillId="16" borderId="14" xfId="1" applyNumberFormat="1" applyFont="1" applyFill="1" applyBorder="1" applyAlignment="1">
      <alignment horizontal="right" vertical="center"/>
    </xf>
    <xf numFmtId="0" fontId="14" fillId="16" borderId="0" xfId="0" applyFont="1" applyFill="1"/>
    <xf numFmtId="2" fontId="14" fillId="16" borderId="14" xfId="1" applyNumberFormat="1" applyFont="1" applyFill="1" applyBorder="1" applyAlignment="1">
      <alignment horizontal="right" vertical="center"/>
    </xf>
    <xf numFmtId="165" fontId="1" fillId="0" borderId="14" xfId="0" applyNumberFormat="1" applyFont="1" applyBorder="1" applyAlignment="1">
      <alignment horizontal="center"/>
    </xf>
    <xf numFmtId="0" fontId="24" fillId="0" borderId="26" xfId="0" applyFont="1" applyBorder="1" applyAlignment="1">
      <alignment horizontal="center" wrapText="1"/>
    </xf>
    <xf numFmtId="0" fontId="24" fillId="0" borderId="27" xfId="0" applyFont="1" applyBorder="1" applyAlignment="1">
      <alignment horizontal="center" wrapText="1"/>
    </xf>
    <xf numFmtId="0" fontId="25" fillId="0" borderId="28" xfId="0" applyFont="1" applyBorder="1" applyAlignment="1">
      <alignment vertical="center" wrapText="1"/>
    </xf>
    <xf numFmtId="16" fontId="25" fillId="0" borderId="28" xfId="0" applyNumberFormat="1" applyFont="1" applyBorder="1" applyAlignment="1">
      <alignment vertical="center" wrapText="1"/>
    </xf>
    <xf numFmtId="0" fontId="25" fillId="0" borderId="29" xfId="0" applyFont="1" applyBorder="1" applyAlignment="1">
      <alignment vertical="center" wrapText="1"/>
    </xf>
    <xf numFmtId="0" fontId="14" fillId="0" borderId="14" xfId="0" applyFont="1" applyBorder="1" applyAlignment="1">
      <alignment horizontal="center"/>
    </xf>
    <xf numFmtId="2" fontId="14" fillId="0" borderId="30" xfId="0" applyNumberFormat="1" applyFont="1" applyBorder="1" applyAlignment="1">
      <alignment horizontal="center"/>
    </xf>
    <xf numFmtId="2" fontId="14" fillId="0" borderId="0" xfId="0" applyNumberFormat="1" applyFont="1"/>
    <xf numFmtId="167" fontId="14" fillId="0" borderId="0" xfId="0" applyNumberFormat="1" applyFont="1"/>
    <xf numFmtId="167" fontId="13" fillId="0" borderId="0" xfId="0" applyNumberFormat="1" applyFont="1"/>
    <xf numFmtId="2" fontId="13" fillId="0" borderId="14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167" fontId="14" fillId="10" borderId="0" xfId="0" applyNumberFormat="1" applyFont="1" applyFill="1"/>
    <xf numFmtId="2" fontId="13" fillId="2" borderId="17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2" fontId="14" fillId="4" borderId="14" xfId="1" applyNumberFormat="1" applyFont="1" applyFill="1" applyBorder="1" applyAlignment="1">
      <alignment horizontal="right" vertical="center"/>
    </xf>
    <xf numFmtId="11" fontId="14" fillId="10" borderId="14" xfId="0" applyNumberFormat="1" applyFont="1" applyFill="1" applyBorder="1" applyAlignment="1">
      <alignment horizontal="center" vertical="center"/>
    </xf>
    <xf numFmtId="9" fontId="14" fillId="4" borderId="14" xfId="1" applyFont="1" applyFill="1" applyBorder="1" applyAlignment="1">
      <alignment horizontal="right" vertical="center"/>
    </xf>
    <xf numFmtId="11" fontId="14" fillId="15" borderId="14" xfId="0" applyNumberFormat="1" applyFon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167" fontId="13" fillId="9" borderId="14" xfId="0" applyNumberFormat="1" applyFont="1" applyFill="1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11" fontId="0" fillId="0" borderId="14" xfId="0" applyNumberFormat="1" applyBorder="1"/>
    <xf numFmtId="2" fontId="0" fillId="6" borderId="11" xfId="0" applyNumberFormat="1" applyFill="1" applyBorder="1" applyAlignment="1">
      <alignment horizontal="center" vertical="center" textRotation="90"/>
    </xf>
    <xf numFmtId="2" fontId="0" fillId="6" borderId="12" xfId="0" applyNumberFormat="1" applyFill="1" applyBorder="1" applyAlignment="1">
      <alignment horizontal="center" vertical="center" textRotation="90"/>
    </xf>
    <xf numFmtId="2" fontId="0" fillId="6" borderId="13" xfId="0" applyNumberFormat="1" applyFill="1" applyBorder="1" applyAlignment="1">
      <alignment horizontal="center" vertical="center" textRotation="90"/>
    </xf>
    <xf numFmtId="0" fontId="13" fillId="12" borderId="25" xfId="0" applyFont="1" applyFill="1" applyBorder="1" applyAlignment="1">
      <alignment horizontal="center" vertical="center" wrapText="1"/>
    </xf>
    <xf numFmtId="0" fontId="13" fillId="12" borderId="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3" fillId="0" borderId="14" xfId="0" applyFont="1" applyBorder="1" applyAlignment="1">
      <alignment wrapText="1"/>
    </xf>
  </cellXfs>
  <cellStyles count="4">
    <cellStyle name="Hesaplama" xfId="2" builtinId="22"/>
    <cellStyle name="İşaretli Hücre" xfId="3" builtinId="23"/>
    <cellStyle name="Normal" xfId="0" builtinId="0"/>
    <cellStyle name="Yüzde" xfId="1" builtinId="5"/>
  </cellStyles>
  <dxfs count="2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162.19999999999999</c:v>
                </c:pt>
                <c:pt idx="1">
                  <c:v>245.4</c:v>
                </c:pt>
                <c:pt idx="2">
                  <c:v>239.2</c:v>
                </c:pt>
                <c:pt idx="3">
                  <c:v>290</c:v>
                </c:pt>
                <c:pt idx="4">
                  <c:v>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9-4EFF-9132-99A9BE84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FinFET_v9_Makale.in!$N$2</c:f>
              <c:strCache>
                <c:ptCount val="1"/>
                <c:pt idx="0">
                  <c:v>Imax/Idleakage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FinFET_v9_Makale.in!$C$3:$C$7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FinFET_v9_Makale.in!$N$3:$N$7</c:f>
              <c:numCache>
                <c:formatCode>0.00E+00</c:formatCode>
                <c:ptCount val="5"/>
                <c:pt idx="0">
                  <c:v>3.7E+16</c:v>
                </c:pt>
                <c:pt idx="1">
                  <c:v>1.9718E+16</c:v>
                </c:pt>
                <c:pt idx="2">
                  <c:v>353800000000000</c:v>
                </c:pt>
                <c:pt idx="3">
                  <c:v>7546000000000</c:v>
                </c:pt>
                <c:pt idx="4">
                  <c:v>3290000000000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F-41B4-87E0-F778AA8D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FinFET_v96_Bulk_Added!$E$6</c:f>
              <c:strCache>
                <c:ptCount val="1"/>
                <c:pt idx="0">
                  <c:v>Vth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7A5F12D-D531-44D0-B736-24A38896351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02F-4B89-A482-95EA85C5B35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0A89ED-996B-4311-A4D9-1577618851D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2F-4B89-A482-95EA85C5B3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5D983D-069E-4C2F-9AC1-E1123497D2A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02F-4B89-A482-95EA85C5B35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9C28F0D-3933-4AC1-ABDC-6951166FF4D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02F-4B89-A482-95EA85C5B35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75E894A-5DB7-4290-B8D5-E87FFBC7D71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02F-4B89-A482-95EA85C5B35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93CF5E4-FF4A-4BD5-A7B9-0A67821189C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02F-4B89-A482-95EA85C5B35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810E2B-3BAC-4ED9-A54C-1D0E3DBC1E9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02F-4B89-A482-95EA85C5B35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10AC848-9F54-4DE0-8B96-0EB253573C2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02F-4B89-A482-95EA85C5B35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98F6998-576C-4BB9-AAFD-252E63BF380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02F-4B89-A482-95EA85C5B35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3503EE1-8070-4763-AAD7-D0CC83B1943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02F-4B89-A482-95EA85C5B35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AECCB26-E943-41C5-9BDA-04B3EB8C1BF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02F-4B89-A482-95EA85C5B35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9644395-EECE-454D-A0CA-FCEA2882108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02F-4B89-A482-95EA85C5B35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BEC39B0-4C60-4CB0-85BE-BC0197482FE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02F-4B89-A482-95EA85C5B35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8E64B42-38DF-4241-9906-497EAB47B8F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2F-4B89-A482-95EA85C5B35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5D42585-02D6-4EED-8967-F0825136BC3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F51-4E9F-90EE-678B088387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FinFET_v96_Bulk_Added!$K$4:$Y$4</c:f>
              <c:numCache>
                <c:formatCode>0.0</c:formatCode>
                <c:ptCount val="15"/>
                <c:pt idx="0" formatCode="General">
                  <c:v>9</c:v>
                </c:pt>
                <c:pt idx="1">
                  <c:v>7.4666666666666659</c:v>
                </c:pt>
                <c:pt idx="2">
                  <c:v>6.333333333333333</c:v>
                </c:pt>
                <c:pt idx="3">
                  <c:v>5.833333333333333</c:v>
                </c:pt>
                <c:pt idx="4">
                  <c:v>5.7</c:v>
                </c:pt>
                <c:pt idx="5">
                  <c:v>5.416666666666667</c:v>
                </c:pt>
                <c:pt idx="6">
                  <c:v>6.8999999999999995</c:v>
                </c:pt>
                <c:pt idx="7">
                  <c:v>5.8999999999999995</c:v>
                </c:pt>
                <c:pt idx="8">
                  <c:v>5.6333333333333329</c:v>
                </c:pt>
                <c:pt idx="9">
                  <c:v>6.25</c:v>
                </c:pt>
                <c:pt idx="10">
                  <c:v>6.1166666666666671</c:v>
                </c:pt>
                <c:pt idx="11">
                  <c:v>4.3500000000000005</c:v>
                </c:pt>
                <c:pt idx="12">
                  <c:v>4.5666666666666664</c:v>
                </c:pt>
                <c:pt idx="13">
                  <c:v>3.7833333333333332</c:v>
                </c:pt>
                <c:pt idx="14" formatCode="General">
                  <c:v>3.5</c:v>
                </c:pt>
              </c:numCache>
            </c:numRef>
          </c:xVal>
          <c:yVal>
            <c:numRef>
              <c:f>FinFET_v96_Bulk_Added!$K$6:$Y$6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0.78169999999999995</c:v>
                </c:pt>
                <c:pt idx="3">
                  <c:v>0.80010000000000003</c:v>
                </c:pt>
                <c:pt idx="4">
                  <c:v>0.84470000000000001</c:v>
                </c:pt>
                <c:pt idx="5">
                  <c:v>0.85799999999999998</c:v>
                </c:pt>
                <c:pt idx="6">
                  <c:v>0.73119999999999996</c:v>
                </c:pt>
                <c:pt idx="7">
                  <c:v>0.76880000000000004</c:v>
                </c:pt>
                <c:pt idx="8">
                  <c:v>0.84970000000000001</c:v>
                </c:pt>
                <c:pt idx="9">
                  <c:v>0.72519999999999996</c:v>
                </c:pt>
                <c:pt idx="10">
                  <c:v>0.7631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FinFET_v96_Bulk_Added!$K$22:$Y$22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CD</c:v>
                  </c:pt>
                  <c:pt idx="5">
                    <c:v>D</c:v>
                  </c:pt>
                  <c:pt idx="6">
                    <c:v>E</c:v>
                  </c:pt>
                  <c:pt idx="7">
                    <c:v>F</c:v>
                  </c:pt>
                  <c:pt idx="8">
                    <c:v>G</c:v>
                  </c:pt>
                  <c:pt idx="9">
                    <c:v>H</c:v>
                  </c:pt>
                  <c:pt idx="10">
                    <c:v>J</c:v>
                  </c:pt>
                  <c:pt idx="11">
                    <c:v>K</c:v>
                  </c:pt>
                  <c:pt idx="12">
                    <c:v>L</c:v>
                  </c:pt>
                  <c:pt idx="13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702F-4B89-A482-95EA85C5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FinFET_v96_Bulk_Added!$E$6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6F79D6-59C8-4DE3-9994-B7130979F4F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02F-4B89-A482-95EA85C5B35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E82CFFC-6883-42C4-8FC5-17A8166C397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02F-4B89-A482-95EA85C5B355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2BFF659E-216C-4073-902B-B6DAD90339B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02F-4B89-A482-95EA85C5B355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B1ECAD54-E90D-4C74-A4CB-F15D95B83C4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02F-4B89-A482-95EA85C5B355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7FBA1017-9DE5-4C59-94FC-848D20399F2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2F-4B89-A482-95EA85C5B3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FinFET_v96_Bulk_Added!$F$4:$J$4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FinFET_v96_Bulk_Added!$F$6:$J$6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702F-4B89-A482-95EA85C5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2531764135423358"/>
          <c:y val="0.86874754199189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0387337722181755"/>
          <c:w val="0.81678541668617222"/>
          <c:h val="0.741492753866033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FinFET_v96_Bulk_Added!$E$13</c:f>
              <c:strCache>
                <c:ptCount val="1"/>
                <c:pt idx="0">
                  <c:v>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0.10445722545159244"/>
                  <c:y val="-6.8206948913611898E-2"/>
                </c:manualLayout>
              </c:layout>
              <c:tx>
                <c:rich>
                  <a:bodyPr/>
                  <a:lstStyle/>
                  <a:p>
                    <a:fld id="{8AEE8D5F-2AC1-4522-ACE3-FD2860B9AF8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31-4F72-867F-BBD9C38FDF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F32D41-A6D9-4CE0-885C-AF3E429277E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31-4F72-867F-BBD9C38FDF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5C5009-6763-4657-95E8-C268C31EF0D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631-4F72-867F-BBD9C38FDF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0AFFE20-D758-4FFC-8CB3-7BFAD4B8F45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631-4F72-867F-BBD9C38FDF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C363D3-7BE8-45E3-8F02-B378B8C6F7A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631-4F72-867F-BBD9C38FDF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979F3E4-B5B9-42EF-B16C-D24577A3937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631-4F72-867F-BBD9C38FDF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0F34E2A-63CA-4DD8-9BCA-2005EAEE176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631-4F72-867F-BBD9C38FDF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E45B74B-0AFD-412F-BBF9-9A3693D5430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631-4F72-867F-BBD9C38FDF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B813592-D3B7-47C7-A263-0240B4CBAE0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631-4F72-867F-BBD9C38FDF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390D42D-5A7D-4CC1-9BAE-610F578AEC5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631-4F72-867F-BBD9C38FDF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E4F9C1D-002A-4B7A-9D89-A0E3B9FC27F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631-4F72-867F-BBD9C38FDF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8002BB5-0298-4543-941A-2D401D37658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631-4F72-867F-BBD9C38FDFD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5362AE0-1224-4882-9F11-7C4E94D9AB3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631-4F72-867F-BBD9C38FDFD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4A94DC9-3132-47A9-B894-7A22EECE319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631-4F72-867F-BBD9C38FDFD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FB66812-11FE-4BB8-B96B-64086E62D4A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0E6-49D8-8F0A-371673B1D3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FinFET_v96_Bulk_Added!$K$5:$Y$5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32</c:v>
                </c:pt>
                <c:pt idx="6">
                  <c:v>31.966666666666669</c:v>
                </c:pt>
                <c:pt idx="7">
                  <c:v>36.300000000000004</c:v>
                </c:pt>
                <c:pt idx="8">
                  <c:v>39</c:v>
                </c:pt>
                <c:pt idx="9">
                  <c:v>41.949999999999996</c:v>
                </c:pt>
                <c:pt idx="10">
                  <c:v>43.300000000000004</c:v>
                </c:pt>
                <c:pt idx="11">
                  <c:v>52.5</c:v>
                </c:pt>
                <c:pt idx="12">
                  <c:v>59.5</c:v>
                </c:pt>
                <c:pt idx="13">
                  <c:v>70.833333333333329</c:v>
                </c:pt>
                <c:pt idx="14" formatCode="General">
                  <c:v>80</c:v>
                </c:pt>
              </c:numCache>
            </c:numRef>
          </c:xVal>
          <c:yVal>
            <c:numRef>
              <c:f>FinFET_v96_Bulk_Added!$K$13:$Y$13</c:f>
              <c:numCache>
                <c:formatCode>0.00E+00</c:formatCode>
                <c:ptCount val="15"/>
                <c:pt idx="0">
                  <c:v>3.5498819279999998E-14</c:v>
                </c:pt>
                <c:pt idx="1">
                  <c:v>3.2885927990000001E-16</c:v>
                </c:pt>
                <c:pt idx="2">
                  <c:v>4.7632356960000001E-17</c:v>
                </c:pt>
                <c:pt idx="3">
                  <c:v>2.8082815860000003E-17</c:v>
                </c:pt>
                <c:pt idx="4">
                  <c:v>1.9365883659999999E-17</c:v>
                </c:pt>
                <c:pt idx="5">
                  <c:v>8.3604322150000003E-18</c:v>
                </c:pt>
                <c:pt idx="6">
                  <c:v>7.9159222519999996E-17</c:v>
                </c:pt>
                <c:pt idx="7">
                  <c:v>1.844024602E-17</c:v>
                </c:pt>
                <c:pt idx="8">
                  <c:v>6.4873805830000003E-18</c:v>
                </c:pt>
                <c:pt idx="9">
                  <c:v>4.4236330220000001E-17</c:v>
                </c:pt>
                <c:pt idx="10">
                  <c:v>1.7175918300000001E-17</c:v>
                </c:pt>
                <c:pt idx="11">
                  <c:v>1.6351807910000001E-18</c:v>
                </c:pt>
                <c:pt idx="12">
                  <c:v>1.049373011E-18</c:v>
                </c:pt>
                <c:pt idx="13">
                  <c:v>5.2241631520000003E-19</c:v>
                </c:pt>
                <c:pt idx="14">
                  <c:v>3.2121096930000001E-19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FinFET_v96_Bulk_Added!$K$22:$Y$22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CD</c:v>
                  </c:pt>
                  <c:pt idx="5">
                    <c:v>D</c:v>
                  </c:pt>
                  <c:pt idx="6">
                    <c:v>E</c:v>
                  </c:pt>
                  <c:pt idx="7">
                    <c:v>F</c:v>
                  </c:pt>
                  <c:pt idx="8">
                    <c:v>G</c:v>
                  </c:pt>
                  <c:pt idx="9">
                    <c:v>H</c:v>
                  </c:pt>
                  <c:pt idx="10">
                    <c:v>J</c:v>
                  </c:pt>
                  <c:pt idx="11">
                    <c:v>K</c:v>
                  </c:pt>
                  <c:pt idx="12">
                    <c:v>L</c:v>
                  </c:pt>
                  <c:pt idx="13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3631-4F72-867F-BBD9C38FDFD0}"/>
            </c:ext>
          </c:extLst>
        </c:ser>
        <c:ser>
          <c:idx val="0"/>
          <c:order val="1"/>
          <c:tx>
            <c:strRef>
              <c:f>FinFET_v96_Bulk_Added!$E$13</c:f>
              <c:strCache>
                <c:ptCount val="1"/>
                <c:pt idx="0">
                  <c:v>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7870328359650129E-2"/>
                  <c:y val="-7.5731202962297045E-2"/>
                </c:manualLayout>
              </c:layout>
              <c:tx>
                <c:rich>
                  <a:bodyPr/>
                  <a:lstStyle/>
                  <a:p>
                    <a:fld id="{36CA4EDF-5BF7-451D-B7EB-4978D8127FD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379-4BFB-A155-4B14D23B43AB}"/>
                </c:ext>
              </c:extLst>
            </c:dLbl>
            <c:dLbl>
              <c:idx val="1"/>
              <c:layout>
                <c:manualLayout>
                  <c:x val="-6.793392537664722E-2"/>
                  <c:y val="6.5285519795083666E-2"/>
                </c:manualLayout>
              </c:layout>
              <c:tx>
                <c:rich>
                  <a:bodyPr/>
                  <a:lstStyle/>
                  <a:p>
                    <a:fld id="{003A508E-9DE8-403D-A2CF-7E68180CDAE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379-4BFB-A155-4B14D23B43AB}"/>
                </c:ext>
              </c:extLst>
            </c:dLbl>
            <c:dLbl>
              <c:idx val="2"/>
              <c:layout>
                <c:manualLayout>
                  <c:x val="-6.9675820899125357E-2"/>
                  <c:y val="4.1782732668853545E-2"/>
                </c:manualLayout>
              </c:layout>
              <c:tx>
                <c:rich>
                  <a:bodyPr/>
                  <a:lstStyle/>
                  <a:p>
                    <a:fld id="{32483A53-A870-41D4-9843-D9DAA5228C7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379-4BFB-A155-4B14D23B43AB}"/>
                </c:ext>
              </c:extLst>
            </c:dLbl>
            <c:dLbl>
              <c:idx val="3"/>
              <c:layout>
                <c:manualLayout>
                  <c:x val="-4.5187324175533249E-2"/>
                  <c:y val="-7.7157600316926464E-2"/>
                </c:manualLayout>
              </c:layout>
              <c:tx>
                <c:rich>
                  <a:bodyPr/>
                  <a:lstStyle/>
                  <a:p>
                    <a:fld id="{7F486CB4-F06E-46A1-8F79-7BA62457712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379-4BFB-A155-4B14D23B43AB}"/>
                </c:ext>
              </c:extLst>
            </c:dLbl>
            <c:dLbl>
              <c:idx val="4"/>
              <c:layout>
                <c:manualLayout>
                  <c:x val="-2.0774099659517414E-2"/>
                  <c:y val="-4.7154541964982775E-2"/>
                </c:manualLayout>
              </c:layout>
              <c:tx>
                <c:rich>
                  <a:bodyPr/>
                  <a:lstStyle/>
                  <a:p>
                    <a:fld id="{EDC9FEDE-E0CD-46EC-BADE-E5047C86E26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379-4BFB-A155-4B14D23B43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FinFET_v96_Bulk_Added!$F$13:$J$13</c:f>
              <c:numCache>
                <c:formatCode>0.00E+00</c:formatCode>
                <c:ptCount val="5"/>
                <c:pt idx="0">
                  <c:v>3.5498819279999998E-14</c:v>
                </c:pt>
                <c:pt idx="1">
                  <c:v>4.2785692460000002E-16</c:v>
                </c:pt>
                <c:pt idx="2">
                  <c:v>1.37294566E-17</c:v>
                </c:pt>
                <c:pt idx="3">
                  <c:v>6.9021704639999997E-18</c:v>
                </c:pt>
                <c:pt idx="4">
                  <c:v>3.2121096930000001E-19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0E6-49D8-8F0A-371673B1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88692208592516"/>
              <c:y val="2.713916933864673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7E-1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Ioff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FinFET_v96_Bulk_Added!$E$9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BDB723-09F3-450A-B7A8-77070AA6DCB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8B8-45DD-AB86-76775B7B2B0F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5BDC1D0C-6C45-463A-9EDC-46BDAF85768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8B8-45DD-AB86-76775B7B2B0F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1FB5B0A5-017C-4457-9064-6BAFA1E76DD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8B8-45DD-AB86-76775B7B2B0F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79EF8B6C-15E2-49C9-B7C2-1011B4B4253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8B8-45DD-AB86-76775B7B2B0F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7FDA3884-EBD4-4FBF-AE65-11F4626EF90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8B8-45DD-AB86-76775B7B2B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FinFET_v96_Bulk_Added!$F$9:$J$9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8B8-45DD-AB86-76775B7B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FinFET_v96_Bulk_Added!$E$15</c:f>
              <c:strCache>
                <c:ptCount val="1"/>
                <c:pt idx="0">
                  <c:v>I Max /  I Leakage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699BBFE-0FC2-4D4B-AC03-FE95F5D4C7F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46-441E-911F-CDFD2E7C5FAE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2937C887-6AB1-42C2-80C3-D2C3902DC6D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D46-441E-911F-CDFD2E7C5FAE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4CB6FC67-975B-4397-A828-3C54F5AB3B8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D46-441E-911F-CDFD2E7C5FAE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AA438E46-F9FE-4A3C-97B8-6E318754323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D46-441E-911F-CDFD2E7C5F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8338AC-0767-45CD-9266-F00A5C15DB5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46-441E-911F-CDFD2E7C5F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FinFET_v96_Bulk_Added!$F$12:$J$12</c:f>
              <c:numCache>
                <c:formatCode>0.00E+00</c:formatCode>
                <c:ptCount val="5"/>
                <c:pt idx="0">
                  <c:v>100000</c:v>
                </c:pt>
                <c:pt idx="1">
                  <c:v>10000000</c:v>
                </c:pt>
                <c:pt idx="2">
                  <c:v>1000000000</c:v>
                </c:pt>
                <c:pt idx="3">
                  <c:v>1000000000</c:v>
                </c:pt>
                <c:pt idx="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D46-441E-911F-CDFD2E7C5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FinFET_v96_Bulk_Added!$E$14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4862E45-7ABC-4F96-8570-E26F670D81A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61D-43CF-A616-636DEF52EB66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374BA97B-456D-4B31-BC69-13C059ECC6E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1D-43CF-A616-636DEF52EB66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951742F7-FC7C-45FA-81F4-D03C9C85D1A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1D-43CF-A616-636DEF52EB66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256043D7-E710-46F5-AE54-7F249A92C61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61D-43CF-A616-636DEF52EB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9B1646-2382-4366-BF4E-79BCECDD19B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1D-43CF-A616-636DEF52E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FinFET_v96_Bulk_Added!$F$14:$J$14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761D-43CF-A616-636DEF52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FinFET_v96_Bulk_Added!$E$6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2D1ABC9-66FD-49B4-BB1C-EC3DC2D89FB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C91-4409-AD86-66ED3823CE65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03CFBB20-7DF0-4FA7-B65B-82E84AED3E3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91-4409-AD86-66ED3823CE65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F7D00A98-2FC3-4A8A-877C-F0ACA601BCF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C91-4409-AD86-66ED3823CE65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6D68284B-E8D6-4FC6-9266-081A0F84669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C91-4409-AD86-66ED3823CE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613DE03-39D3-47A4-9FA4-696664E3FD8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C91-4409-AD86-66ED3823CE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FinFET_v96_Bulk_Added!$F$6:$J$6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C91-4409-AD86-66ED3823C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FinFET_v96_Bulk_Added!$E$9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CB45CF8-4C76-4EE4-B730-CE1DC598A12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9DF-4EED-B17F-0B608C5B55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7D0BD3-40E2-4E9F-B275-86A58537672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DF-4EED-B17F-0B608C5B55A1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464CD37B-3FA7-4D31-AD55-9A419719AF7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9DF-4EED-B17F-0B608C5B55A1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4CCB52E5-0403-4330-8C45-081FF21F909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9DF-4EED-B17F-0B608C5B55A1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86F34776-44CC-48F3-A450-5DC4BE7E810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9DF-4EED-B17F-0B608C5B5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FinFET_v96_Bulk_Added!$F$4:$J$4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FinFET_v96_Bulk_Added!$F$9:$J$9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9DF-4EED-B17F-0B608C5B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FinFET_v96_Bulk_Added!$E$7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F90A54D-342C-4AEF-9B25-4B3D7456287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05F-4F65-B703-634F13263A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84B3D9-B723-446A-81E6-3B387F26F05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05F-4F65-B703-634F13263A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4C0370-E1AF-4050-8528-9DC8C88AD39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05F-4F65-B703-634F13263A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B7CA15-146E-4EA9-9A24-CD2913CD2FC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05F-4F65-B703-634F13263A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AA44C8-38DA-4AE7-AAA2-FA6DFD134D1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05F-4F65-B703-634F13263A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FinFET_v96_Bulk_Added!$F$7:$J$7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05F-4F65-B703-634F13263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SS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SS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6893624836129973"/>
          <c:y val="1.7493312595854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FinFET_v96_Bulk_Added!$E$7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742580-2BAF-41B1-A12F-9185F0FA535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1CC-4846-B023-CB4996AEDC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0ED610-0362-400D-A9D7-1C9D8BA66A7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1CC-4846-B023-CB4996AEDC8C}"/>
                </c:ext>
              </c:extLst>
            </c:dLbl>
            <c:dLbl>
              <c:idx val="2"/>
              <c:layout>
                <c:manualLayout>
                  <c:x val="-4.1173044904446654E-3"/>
                  <c:y val="-6.7779282666293475E-2"/>
                </c:manualLayout>
              </c:layout>
              <c:tx>
                <c:rich>
                  <a:bodyPr/>
                  <a:lstStyle/>
                  <a:p>
                    <a:fld id="{5B6C20A8-B2EA-491B-9E93-65CF57070AC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1CC-4846-B023-CB4996AEDC8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97511B7-6387-412A-B34B-61E22BA87C8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1CC-4846-B023-CB4996AEDC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1F6F86-FF6E-4D61-9433-49E381B8691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1CC-4846-B023-CB4996AEDC8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A4D9177-1719-4C6A-AAA4-798A26A2DC3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1CC-4846-B023-CB4996AEDC8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DE36DB4-1EFB-4019-8F82-DA770480016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1CC-4846-B023-CB4996AEDC8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1EF4289-B174-4ACC-9474-E8F2E0F4A5B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1CC-4846-B023-CB4996AEDC8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97AFF71-CC80-49A9-A5EA-7D95AD884D2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1CC-4846-B023-CB4996AEDC8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BCB6E91-91BF-4BF9-A185-8D6FFCAB7BA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1CC-4846-B023-CB4996AEDC8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F785FF7-6BFF-4D36-B228-76BF9CB2B41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1CC-4846-B023-CB4996AEDC8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FCF4D1B-00A0-4EF6-AAEA-3EA2B2F91B4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1CC-4846-B023-CB4996AEDC8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3434271-CFC4-45E6-85D6-6769C52F01D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1CC-4846-B023-CB4996AEDC8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77D1864-4320-4458-B448-B0E7BA856D5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1CC-4846-B023-CB4996AEDC8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1635340-2001-4388-88CD-E6AC4904650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9C0-44CA-8D35-456BBD2A94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FinFET_v96_Bulk_Added!$K$5:$Y$5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32</c:v>
                </c:pt>
                <c:pt idx="6">
                  <c:v>31.966666666666669</c:v>
                </c:pt>
                <c:pt idx="7">
                  <c:v>36.300000000000004</c:v>
                </c:pt>
                <c:pt idx="8">
                  <c:v>39</c:v>
                </c:pt>
                <c:pt idx="9">
                  <c:v>41.949999999999996</c:v>
                </c:pt>
                <c:pt idx="10">
                  <c:v>43.300000000000004</c:v>
                </c:pt>
                <c:pt idx="11">
                  <c:v>52.5</c:v>
                </c:pt>
                <c:pt idx="12">
                  <c:v>59.5</c:v>
                </c:pt>
                <c:pt idx="13">
                  <c:v>70.833333333333329</c:v>
                </c:pt>
                <c:pt idx="14" formatCode="General">
                  <c:v>80</c:v>
                </c:pt>
              </c:numCache>
            </c:numRef>
          </c:xVal>
          <c:yVal>
            <c:numRef>
              <c:f>FinFET_v96_Bulk_Added!$K$7:$Y$7</c:f>
              <c:numCache>
                <c:formatCode>General</c:formatCode>
                <c:ptCount val="15"/>
                <c:pt idx="0">
                  <c:v>89.6</c:v>
                </c:pt>
                <c:pt idx="1">
                  <c:v>82.6</c:v>
                </c:pt>
                <c:pt idx="2">
                  <c:v>81.099999999999994</c:v>
                </c:pt>
                <c:pt idx="3">
                  <c:v>81.7</c:v>
                </c:pt>
                <c:pt idx="4">
                  <c:v>82</c:v>
                </c:pt>
                <c:pt idx="5">
                  <c:v>80.3</c:v>
                </c:pt>
                <c:pt idx="6">
                  <c:v>78.900000000000006</c:v>
                </c:pt>
                <c:pt idx="7">
                  <c:v>76.8</c:v>
                </c:pt>
                <c:pt idx="8">
                  <c:v>79</c:v>
                </c:pt>
                <c:pt idx="9">
                  <c:v>77.099999999999994</c:v>
                </c:pt>
                <c:pt idx="10">
                  <c:v>76.2</c:v>
                </c:pt>
                <c:pt idx="11">
                  <c:v>79.8</c:v>
                </c:pt>
                <c:pt idx="12">
                  <c:v>78.3</c:v>
                </c:pt>
                <c:pt idx="13">
                  <c:v>77</c:v>
                </c:pt>
                <c:pt idx="1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FinFET_v96_Bulk_Added!$K$22:$Y$22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CD</c:v>
                  </c:pt>
                  <c:pt idx="5">
                    <c:v>D</c:v>
                  </c:pt>
                  <c:pt idx="6">
                    <c:v>E</c:v>
                  </c:pt>
                  <c:pt idx="7">
                    <c:v>F</c:v>
                  </c:pt>
                  <c:pt idx="8">
                    <c:v>G</c:v>
                  </c:pt>
                  <c:pt idx="9">
                    <c:v>H</c:v>
                  </c:pt>
                  <c:pt idx="10">
                    <c:v>J</c:v>
                  </c:pt>
                  <c:pt idx="11">
                    <c:v>K</c:v>
                  </c:pt>
                  <c:pt idx="12">
                    <c:v>L</c:v>
                  </c:pt>
                  <c:pt idx="13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21CC-4846-B023-CB4996AED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FinFET_v96_Bulk_Added!$E$7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3641171246000693E-2"/>
                  <c:y val="-4.0873105572259469E-2"/>
                </c:manualLayout>
              </c:layout>
              <c:tx>
                <c:rich>
                  <a:bodyPr/>
                  <a:lstStyle/>
                  <a:p>
                    <a:fld id="{BFAB3A45-C238-40AA-B4CE-4795529A32A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1CC-4846-B023-CB4996AEDC8C}"/>
                </c:ext>
              </c:extLst>
            </c:dLbl>
            <c:dLbl>
              <c:idx val="1"/>
              <c:layout>
                <c:manualLayout>
                  <c:x val="-1.6732024346590608E-2"/>
                  <c:y val="-3.7292212603758812E-2"/>
                </c:manualLayout>
              </c:layout>
              <c:tx>
                <c:rich>
                  <a:bodyPr/>
                  <a:lstStyle/>
                  <a:p>
                    <a:fld id="{5739EF92-6D2A-4C49-9C72-829F949B362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1CC-4846-B023-CB4996AEDC8C}"/>
                </c:ext>
              </c:extLst>
            </c:dLbl>
            <c:dLbl>
              <c:idx val="2"/>
              <c:layout>
                <c:manualLayout>
                  <c:x val="-6.9869649478826699E-3"/>
                  <c:y val="-7.3756361456831829E-2"/>
                </c:manualLayout>
              </c:layout>
              <c:tx>
                <c:rich>
                  <a:bodyPr/>
                  <a:lstStyle/>
                  <a:p>
                    <a:fld id="{2F0EBCB2-7822-4397-9F44-1A783F60D48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1CC-4846-B023-CB4996AEDC8C}"/>
                </c:ext>
              </c:extLst>
            </c:dLbl>
            <c:dLbl>
              <c:idx val="3"/>
              <c:layout>
                <c:manualLayout>
                  <c:x val="1.0829801039757999E-2"/>
                  <c:y val="-4.5647061585301026E-2"/>
                </c:manualLayout>
              </c:layout>
              <c:tx>
                <c:rich>
                  <a:bodyPr/>
                  <a:lstStyle/>
                  <a:p>
                    <a:fld id="{E8762DA2-CDCD-4883-A37A-006A0528D77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1CC-4846-B023-CB4996AEDC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6F89E38-B965-4310-914B-EFEC4601261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1CC-4846-B023-CB4996AEDC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FinFET_v96_Bulk_Added!$F$7:$J$7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21CC-4846-B023-CB4996AED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</a:t>
                </a:r>
                <a:r>
                  <a:rPr lang="tr-TR" sz="1050" baseline="0"/>
                  <a:t> (mV/decade)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0967337455897025E-2"/>
              <c:y val="0.38971427148241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0560330673519"/>
          <c:y val="6.772175997769965E-2"/>
          <c:w val="0.13994082862353663"/>
          <c:h val="4.217167374204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FinFET_v96_Bulk_Added!$E$6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0C19EDE-2E39-4CF8-889E-215E5F76444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E1D-4B51-BA35-B74EFE6774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37C638-0E9E-442A-B00C-1C2355763CE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1D-4B51-BA35-B74EFE6774EE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B7CC6D60-3F6C-41C7-A8B5-0626B7D6B7A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E1D-4B51-BA35-B74EFE6774EE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4ED89DCA-1A8C-4F13-97F1-A7CFF39FEA5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E1D-4B51-BA35-B74EFE6774EE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F43FF05E-9898-44B6-8229-EB0558739F6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E1D-4B51-BA35-B74EFE6774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FinFET_v96_Bulk_Added!$F$4:$J$4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FinFET_v96_Bulk_Added!$F$6:$J$6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E1D-4B51-BA35-B74EFE67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FinFET_v9_Makale.in!$L$2</c:f>
              <c:strCache>
                <c:ptCount val="1"/>
                <c:pt idx="0">
                  <c:v>Leakage Id (A)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FinFET_v9_Makale.in!$C$3:$C$7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FinFET_v9_Makale.in!$L$3:$L$7</c:f>
              <c:numCache>
                <c:formatCode>0.00E+00</c:formatCode>
                <c:ptCount val="5"/>
                <c:pt idx="0">
                  <c:v>2.4E-22</c:v>
                </c:pt>
                <c:pt idx="1">
                  <c:v>4.6415999999999996E-22</c:v>
                </c:pt>
                <c:pt idx="2">
                  <c:v>4.267E-20</c:v>
                </c:pt>
                <c:pt idx="3">
                  <c:v>1.0170000000000001E-18</c:v>
                </c:pt>
                <c:pt idx="4">
                  <c:v>3.33E-18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D-4B9A-BC2D-E54860212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ax val="1.000000000000001E-1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6948454305553"/>
          <c:y val="0.1345369796342365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'FinFET_v96_Eq_Kappa_BOX=HfO2'!$E$20</c:f>
              <c:strCache>
                <c:ptCount val="1"/>
                <c:pt idx="0">
                  <c:v>DIBL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tx1"/>
                </a:solidFill>
                <a:prstDash val="dashDot"/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BEB6-4F95-93B3-700608AB4BD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4A3782E-D538-4E6E-82C2-4F714455D86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EB6-4F95-93B3-700608AB4BDD}"/>
                </c:ext>
              </c:extLst>
            </c:dLbl>
            <c:dLbl>
              <c:idx val="1"/>
              <c:layout>
                <c:manualLayout>
                  <c:x val="-3.8646850519421662E-2"/>
                  <c:y val="2.8646727549493683E-2"/>
                </c:manualLayout>
              </c:layout>
              <c:tx>
                <c:rich>
                  <a:bodyPr/>
                  <a:lstStyle/>
                  <a:p>
                    <a:fld id="{FF877946-935B-4F44-8001-A6576CE96AC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B6-4F95-93B3-700608AB4BDD}"/>
                </c:ext>
              </c:extLst>
            </c:dLbl>
            <c:dLbl>
              <c:idx val="2"/>
              <c:layout>
                <c:manualLayout>
                  <c:x val="2.777742381083434E-2"/>
                  <c:y val="-5.7293455098987409E-2"/>
                </c:manualLayout>
              </c:layout>
              <c:tx>
                <c:rich>
                  <a:bodyPr/>
                  <a:lstStyle/>
                  <a:p>
                    <a:fld id="{245BDB0D-B9EC-4626-8F3E-D6DD3442D6A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EB6-4F95-93B3-700608AB4BDD}"/>
                </c:ext>
              </c:extLst>
            </c:dLbl>
            <c:dLbl>
              <c:idx val="3"/>
              <c:layout>
                <c:manualLayout>
                  <c:x val="1.570028302351505E-2"/>
                  <c:y val="2.6443133122609555E-2"/>
                </c:manualLayout>
              </c:layout>
              <c:tx>
                <c:rich>
                  <a:bodyPr/>
                  <a:lstStyle/>
                  <a:p>
                    <a:fld id="{0C4C44E9-A899-4E6F-8439-45A479C9DBC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EB6-4F95-93B3-700608AB4BDD}"/>
                </c:ext>
              </c:extLst>
            </c:dLbl>
            <c:dLbl>
              <c:idx val="4"/>
              <c:layout>
                <c:manualLayout>
                  <c:x val="-3.8489091032382738E-2"/>
                  <c:y val="-1.8240292878781404E-2"/>
                </c:manualLayout>
              </c:layout>
              <c:tx>
                <c:rich>
                  <a:bodyPr/>
                  <a:lstStyle/>
                  <a:p>
                    <a:fld id="{7C084E4D-A375-468F-A54C-9D853051002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EB6-4F95-93B3-700608AB4BDD}"/>
                </c:ext>
              </c:extLst>
            </c:dLbl>
            <c:dLbl>
              <c:idx val="5"/>
              <c:layout>
                <c:manualLayout>
                  <c:x val="-4.9551177312016428E-2"/>
                  <c:y val="4.0638098481931652E-2"/>
                </c:manualLayout>
              </c:layout>
              <c:tx>
                <c:rich>
                  <a:bodyPr/>
                  <a:lstStyle/>
                  <a:p>
                    <a:fld id="{A3E474D7-80F0-4BFD-A804-3655C571B35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EB6-4F95-93B3-700608AB4BDD}"/>
                </c:ext>
              </c:extLst>
            </c:dLbl>
            <c:dLbl>
              <c:idx val="6"/>
              <c:layout>
                <c:manualLayout>
                  <c:x val="0"/>
                  <c:y val="-4.1868294110798461E-2"/>
                </c:manualLayout>
              </c:layout>
              <c:tx>
                <c:rich>
                  <a:bodyPr/>
                  <a:lstStyle/>
                  <a:p>
                    <a:fld id="{2D35DCC8-E62E-4A0F-8C43-0D755D05C13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EB6-4F95-93B3-700608AB4BDD}"/>
                </c:ext>
              </c:extLst>
            </c:dLbl>
            <c:dLbl>
              <c:idx val="7"/>
              <c:layout>
                <c:manualLayout>
                  <c:x val="-1.6447267482893001E-2"/>
                  <c:y val="3.9943368917463667E-2"/>
                </c:manualLayout>
              </c:layout>
              <c:tx>
                <c:rich>
                  <a:bodyPr/>
                  <a:lstStyle/>
                  <a:p>
                    <a:fld id="{4448E129-F122-48A8-8A33-726C178DE4B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EB6-4F95-93B3-700608AB4BDD}"/>
                </c:ext>
              </c:extLst>
            </c:dLbl>
            <c:dLbl>
              <c:idx val="8"/>
              <c:layout>
                <c:manualLayout>
                  <c:x val="-5.0516931980002344E-2"/>
                  <c:y val="-2.0520329488629165E-2"/>
                </c:manualLayout>
              </c:layout>
              <c:tx>
                <c:rich>
                  <a:bodyPr/>
                  <a:lstStyle/>
                  <a:p>
                    <a:fld id="{3774BC15-1088-4E6F-A34A-EC18926AE96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EB6-4F95-93B3-700608AB4BDD}"/>
                </c:ext>
              </c:extLst>
            </c:dLbl>
            <c:dLbl>
              <c:idx val="9"/>
              <c:layout>
                <c:manualLayout>
                  <c:x val="-4.3300227411430581E-2"/>
                  <c:y val="2.0520329488629082E-2"/>
                </c:manualLayout>
              </c:layout>
              <c:tx>
                <c:rich>
                  <a:bodyPr/>
                  <a:lstStyle/>
                  <a:p>
                    <a:fld id="{C1B1E74A-A080-4EFD-8171-885AFA4FC2E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EB6-4F95-93B3-700608AB4BDD}"/>
                </c:ext>
              </c:extLst>
            </c:dLbl>
            <c:dLbl>
              <c:idx val="10"/>
              <c:layout>
                <c:manualLayout>
                  <c:x val="-2.7664034179525093E-2"/>
                  <c:y val="4.3320695587105752E-2"/>
                </c:manualLayout>
              </c:layout>
              <c:tx>
                <c:rich>
                  <a:bodyPr/>
                  <a:lstStyle/>
                  <a:p>
                    <a:fld id="{EF5FF526-E8C9-4CBE-A9A7-5EC91F31738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EB6-4F95-93B3-700608AB4BDD}"/>
                </c:ext>
              </c:extLst>
            </c:dLbl>
            <c:dLbl>
              <c:idx val="11"/>
              <c:layout>
                <c:manualLayout>
                  <c:x val="-6.0139204738098022E-2"/>
                  <c:y val="1.5960256268933729E-2"/>
                </c:manualLayout>
              </c:layout>
              <c:tx>
                <c:rich>
                  <a:bodyPr/>
                  <a:lstStyle/>
                  <a:p>
                    <a:fld id="{C34AB1EE-3579-42A7-8203-03BE95D4347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EB6-4F95-93B3-700608AB4BDD}"/>
                </c:ext>
              </c:extLst>
            </c:dLbl>
            <c:dLbl>
              <c:idx val="12"/>
              <c:layout>
                <c:manualLayout>
                  <c:x val="-3.4880738748096857E-2"/>
                  <c:y val="3.6480585757562807E-2"/>
                </c:manualLayout>
              </c:layout>
              <c:tx>
                <c:rich>
                  <a:bodyPr/>
                  <a:lstStyle/>
                  <a:p>
                    <a:fld id="{916982AB-776B-475B-9D28-7B15519A62C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EB6-4F95-93B3-700608AB4BDD}"/>
                </c:ext>
              </c:extLst>
            </c:dLbl>
            <c:dLbl>
              <c:idx val="13"/>
              <c:layout>
                <c:manualLayout>
                  <c:x val="9.661712629855327E-3"/>
                  <c:y val="-8.1504017395556128E-2"/>
                </c:manualLayout>
              </c:layout>
              <c:tx>
                <c:rich>
                  <a:bodyPr/>
                  <a:lstStyle/>
                  <a:p>
                    <a:fld id="{5A73BEAA-42C3-42F3-B1B7-8675F0CA64E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EB6-4F95-93B3-700608AB4BD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C9AD4F8-2686-4C0F-9C87-5102AF67B40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EB6-4F95-93B3-700608AB4B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'FinFET_v96_Eq_Kappa_BOX=HfO2'!$L$20:$Z$20</c:f>
              <c:numCache>
                <c:formatCode>General</c:formatCode>
                <c:ptCount val="15"/>
                <c:pt idx="0">
                  <c:v>19.3</c:v>
                </c:pt>
                <c:pt idx="1">
                  <c:v>12.7</c:v>
                </c:pt>
                <c:pt idx="2">
                  <c:v>15.22</c:v>
                </c:pt>
                <c:pt idx="3">
                  <c:v>12.52</c:v>
                </c:pt>
                <c:pt idx="4">
                  <c:v>9.74</c:v>
                </c:pt>
                <c:pt idx="5">
                  <c:v>9.48</c:v>
                </c:pt>
                <c:pt idx="6">
                  <c:v>9.3000000000000007</c:v>
                </c:pt>
                <c:pt idx="7">
                  <c:v>8.43</c:v>
                </c:pt>
                <c:pt idx="8">
                  <c:v>9.83</c:v>
                </c:pt>
                <c:pt idx="9">
                  <c:v>8.8699999999999992</c:v>
                </c:pt>
                <c:pt idx="10">
                  <c:v>8.6999999999999993</c:v>
                </c:pt>
                <c:pt idx="11">
                  <c:v>6.43</c:v>
                </c:pt>
                <c:pt idx="12">
                  <c:v>6.17</c:v>
                </c:pt>
                <c:pt idx="13">
                  <c:v>5.48</c:v>
                </c:pt>
                <c:pt idx="1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'FinFET_v96_Eq_Kappa_BOX=HfO2'!$L$27:$Z$27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BEB6-4F95-93B3-700608AB4BDD}"/>
            </c:ext>
          </c:extLst>
        </c:ser>
        <c:ser>
          <c:idx val="0"/>
          <c:order val="0"/>
          <c:tx>
            <c:strRef>
              <c:f>'FinFET_v96_Eq_Kappa_BOX=HfO2'!$F$20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2858758167885216E-2"/>
                  <c:y val="-2.756138194649909E-2"/>
                </c:manualLayout>
              </c:layout>
              <c:tx>
                <c:rich>
                  <a:bodyPr/>
                  <a:lstStyle/>
                  <a:p>
                    <a:fld id="{E7208521-4AC3-4CDF-852A-FFA415C3BB7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EB6-4F95-93B3-700608AB4BDD}"/>
                </c:ext>
              </c:extLst>
            </c:dLbl>
            <c:dLbl>
              <c:idx val="1"/>
              <c:layout>
                <c:manualLayout>
                  <c:x val="8.592922651854672E-3"/>
                  <c:y val="-3.3057562778100492E-2"/>
                </c:manualLayout>
              </c:layout>
              <c:tx>
                <c:rich>
                  <a:bodyPr/>
                  <a:lstStyle/>
                  <a:p>
                    <a:fld id="{597616FA-C785-4AAB-BAC8-9569099C89C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EB6-4F95-93B3-700608AB4BDD}"/>
                </c:ext>
              </c:extLst>
            </c:dLbl>
            <c:dLbl>
              <c:idx val="2"/>
              <c:layout>
                <c:manualLayout>
                  <c:x val="2.3093787504870348E-2"/>
                  <c:y val="-6.0350384014687827E-2"/>
                </c:manualLayout>
              </c:layout>
              <c:tx>
                <c:rich>
                  <a:bodyPr/>
                  <a:lstStyle/>
                  <a:p>
                    <a:fld id="{5AB4651A-5236-4DF5-AFFC-9CE761140AD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EB6-4F95-93B3-700608AB4BDD}"/>
                </c:ext>
              </c:extLst>
            </c:dLbl>
            <c:dLbl>
              <c:idx val="3"/>
              <c:layout>
                <c:manualLayout>
                  <c:x val="1.6875094025771288E-2"/>
                  <c:y val="-5.3835026428384739E-2"/>
                </c:manualLayout>
              </c:layout>
              <c:tx>
                <c:rich>
                  <a:bodyPr/>
                  <a:lstStyle/>
                  <a:p>
                    <a:fld id="{2D24E0BA-41C9-44C4-ABDE-8E4CD97531C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EB6-4F95-93B3-700608AB4BDD}"/>
                </c:ext>
              </c:extLst>
            </c:dLbl>
            <c:dLbl>
              <c:idx val="4"/>
              <c:layout>
                <c:manualLayout>
                  <c:x val="-5.8672081283151515E-3"/>
                  <c:y val="-7.6311863093974974E-2"/>
                </c:manualLayout>
              </c:layout>
              <c:tx>
                <c:rich>
                  <a:bodyPr/>
                  <a:lstStyle/>
                  <a:p>
                    <a:fld id="{A178C681-0988-4769-932C-A0C8C8BDA3D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BEB6-4F95-93B3-700608AB4B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'FinFET_v96_Eq_Kappa_BOX=HfO2'!$G$20:$K$20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BEB6-4F95-93B3-700608AB4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400" b="1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8718463209510626"/>
              <c:y val="0.91470285049687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Drain Induced Barrier Lowering  - DIBL  (mV/V)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686350891075122"/>
              <c:y val="0.18281632624572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268307273705989"/>
          <c:y val="0.1458296647758863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'FinFET_v96_Eq_Kappa_BOX=HfO2'!$F$23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173A454-C834-42D7-B243-C4288BA3E83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C1E-4550-B07F-6A18E491D6FA}"/>
                </c:ext>
              </c:extLst>
            </c:dLbl>
            <c:dLbl>
              <c:idx val="1"/>
              <c:layout>
                <c:manualLayout>
                  <c:x val="-3.1611814774940399E-2"/>
                  <c:y val="-6.435824011704662E-2"/>
                </c:manualLayout>
              </c:layout>
              <c:tx>
                <c:rich>
                  <a:bodyPr/>
                  <a:lstStyle/>
                  <a:p>
                    <a:fld id="{F65D8D61-BB91-4CAA-BFD3-4C9638D71EB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C1E-4550-B07F-6A18E491D6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E8990A-0BFE-4333-A326-EEA6C1002F4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C1E-4550-B07F-6A18E491D6FA}"/>
                </c:ext>
              </c:extLst>
            </c:dLbl>
            <c:dLbl>
              <c:idx val="3"/>
              <c:layout>
                <c:manualLayout>
                  <c:x val="-3.050227592671478E-17"/>
                  <c:y val="4.5970171512176042E-2"/>
                </c:manualLayout>
              </c:layout>
              <c:tx>
                <c:rich>
                  <a:bodyPr/>
                  <a:lstStyle/>
                  <a:p>
                    <a:fld id="{35EEB05C-A8DC-4CE3-A2B4-3E85E396519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C1E-4550-B07F-6A18E491D6FA}"/>
                </c:ext>
              </c:extLst>
            </c:dLbl>
            <c:dLbl>
              <c:idx val="4"/>
              <c:layout>
                <c:manualLayout>
                  <c:x val="-9.2187807455357644E-3"/>
                  <c:y val="-3.6818487682708852E-2"/>
                </c:manualLayout>
              </c:layout>
              <c:tx>
                <c:rich>
                  <a:bodyPr/>
                  <a:lstStyle/>
                  <a:p>
                    <a:fld id="{65956606-7E26-4D30-99FA-9AB55A8D7E1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C1E-4550-B07F-6A18E491D6FA}"/>
                </c:ext>
              </c:extLst>
            </c:dLbl>
            <c:dLbl>
              <c:idx val="5"/>
              <c:layout>
                <c:manualLayout>
                  <c:x val="1.6637797249968319E-3"/>
                  <c:y val="-4.5970171512176125E-2"/>
                </c:manualLayout>
              </c:layout>
              <c:tx>
                <c:rich>
                  <a:bodyPr/>
                  <a:lstStyle/>
                  <a:p>
                    <a:fld id="{BDD22B3D-8E7C-4E6C-A2C2-F322E73837C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C1E-4550-B07F-6A18E491D6FA}"/>
                </c:ext>
              </c:extLst>
            </c:dLbl>
            <c:dLbl>
              <c:idx val="6"/>
              <c:layout>
                <c:manualLayout>
                  <c:x val="-4.9913391749905871E-3"/>
                  <c:y val="3.9074645785349707E-2"/>
                </c:manualLayout>
              </c:layout>
              <c:tx>
                <c:rich>
                  <a:bodyPr/>
                  <a:lstStyle/>
                  <a:p>
                    <a:fld id="{6581B1CC-5AC7-4FCA-B71C-F8369FECE1B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C1E-4550-B07F-6A18E491D6FA}"/>
                </c:ext>
              </c:extLst>
            </c:dLbl>
            <c:dLbl>
              <c:idx val="7"/>
              <c:layout>
                <c:manualLayout>
                  <c:x val="1.4974017524971732E-2"/>
                  <c:y val="-0.12182095450726677"/>
                </c:manualLayout>
              </c:layout>
              <c:tx>
                <c:rich>
                  <a:bodyPr/>
                  <a:lstStyle/>
                  <a:p>
                    <a:fld id="{093DA67B-6022-4DCB-8C16-E021286098F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C1E-4550-B07F-6A18E491D6FA}"/>
                </c:ext>
              </c:extLst>
            </c:dLbl>
            <c:dLbl>
              <c:idx val="8"/>
              <c:layout>
                <c:manualLayout>
                  <c:x val="-3.1611814774940385E-2"/>
                  <c:y val="-5.9761222965828961E-2"/>
                </c:manualLayout>
              </c:layout>
              <c:tx>
                <c:rich>
                  <a:bodyPr/>
                  <a:lstStyle/>
                  <a:p>
                    <a:fld id="{5C438DC9-C1DA-4A74-8054-766E3566159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C1E-4550-B07F-6A18E491D6FA}"/>
                </c:ext>
              </c:extLst>
            </c:dLbl>
            <c:dLbl>
              <c:idx val="9"/>
              <c:layout>
                <c:manualLayout>
                  <c:x val="-5.656851064989335E-2"/>
                  <c:y val="-0.14250753168774599"/>
                </c:manualLayout>
              </c:layout>
              <c:tx>
                <c:rich>
                  <a:bodyPr/>
                  <a:lstStyle/>
                  <a:p>
                    <a:fld id="{3294EBD4-690B-458B-8797-9A08D369508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C1E-4550-B07F-6A18E491D6FA}"/>
                </c:ext>
              </c:extLst>
            </c:dLbl>
            <c:dLbl>
              <c:idx val="10"/>
              <c:layout>
                <c:manualLayout>
                  <c:x val="1.33102377999749E-2"/>
                  <c:y val="-9.4238851599961052E-2"/>
                </c:manualLayout>
              </c:layout>
              <c:tx>
                <c:rich>
                  <a:bodyPr/>
                  <a:lstStyle/>
                  <a:p>
                    <a:fld id="{06A92D2F-4C1B-4806-A774-55A6361FC35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C1E-4550-B07F-6A18E491D6FA}"/>
                </c:ext>
              </c:extLst>
            </c:dLbl>
            <c:dLbl>
              <c:idx val="11"/>
              <c:layout>
                <c:manualLayout>
                  <c:x val="-4.6585832299912144E-2"/>
                  <c:y val="-1.6089560029261644E-2"/>
                </c:manualLayout>
              </c:layout>
              <c:tx>
                <c:rich>
                  <a:bodyPr/>
                  <a:lstStyle/>
                  <a:p>
                    <a:fld id="{8DA00A87-B3AD-4B8E-A50C-AB650F586F6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C1E-4550-B07F-6A18E491D6FA}"/>
                </c:ext>
              </c:extLst>
            </c:dLbl>
            <c:dLbl>
              <c:idx val="12"/>
              <c:layout>
                <c:manualLayout>
                  <c:x val="3.1711545578414262E-2"/>
                  <c:y val="-8.1441975322336213E-2"/>
                </c:manualLayout>
              </c:layout>
              <c:tx>
                <c:rich>
                  <a:bodyPr/>
                  <a:lstStyle/>
                  <a:p>
                    <a:fld id="{1F9F2045-2775-4B0D-A7CE-2527C212DA8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C1E-4550-B07F-6A18E491D6FA}"/>
                </c:ext>
              </c:extLst>
            </c:dLbl>
            <c:dLbl>
              <c:idx val="13"/>
              <c:layout>
                <c:manualLayout>
                  <c:x val="0"/>
                  <c:y val="-4.5970171512176104E-2"/>
                </c:manualLayout>
              </c:layout>
              <c:tx>
                <c:rich>
                  <a:bodyPr/>
                  <a:lstStyle/>
                  <a:p>
                    <a:fld id="{C3C571CC-51D2-44CB-BCB2-04E384306CE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C1E-4550-B07F-6A18E491D6F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1C2D2C2-CA37-4C8C-B4B5-B3DEABC3859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C1E-4550-B07F-6A18E491D6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'FinFET_v96_Eq_Kappa_BOX=HfO2'!$L$23:$Z$23</c:f>
              <c:numCache>
                <c:formatCode>0.00E+00</c:formatCode>
                <c:ptCount val="15"/>
                <c:pt idx="0">
                  <c:v>100000</c:v>
                </c:pt>
                <c:pt idx="1">
                  <c:v>100000000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</c:v>
                </c:pt>
                <c:pt idx="10">
                  <c:v>1000000000</c:v>
                </c:pt>
                <c:pt idx="11">
                  <c:v>10000000000</c:v>
                </c:pt>
                <c:pt idx="12">
                  <c:v>10000000000</c:v>
                </c:pt>
                <c:pt idx="13">
                  <c:v>10000000000</c:v>
                </c:pt>
                <c:pt idx="1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'FinFET_v96_Eq_Kappa_BOX=HfO2'!$L$27:$Z$27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C1E-4550-B07F-6A18E491D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'FinFET_v96_Eq_Kappa_BOX=HfO2'!$F$23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7E5008E-7E07-489E-9ACF-FFD16EACE85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C1E-4550-B07F-6A18E491D6FA}"/>
                </c:ext>
              </c:extLst>
            </c:dLbl>
            <c:dLbl>
              <c:idx val="1"/>
              <c:layout>
                <c:manualLayout>
                  <c:x val="1.7348375299447598E-2"/>
                  <c:y val="7.3671724471441723E-3"/>
                </c:manualLayout>
              </c:layout>
              <c:tx>
                <c:rich>
                  <a:bodyPr/>
                  <a:lstStyle/>
                  <a:p>
                    <a:fld id="{40890395-AFB7-4C61-8B05-356670966BE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C1E-4550-B07F-6A18E491D6FA}"/>
                </c:ext>
              </c:extLst>
            </c:dLbl>
            <c:dLbl>
              <c:idx val="2"/>
              <c:layout>
                <c:manualLayout>
                  <c:x val="-2.3072170572269544E-2"/>
                  <c:y val="7.8191642043667325E-2"/>
                </c:manualLayout>
              </c:layout>
              <c:tx>
                <c:rich>
                  <a:bodyPr/>
                  <a:lstStyle/>
                  <a:p>
                    <a:fld id="{3D7D6DF1-5EA1-421B-AB44-832BEA177C3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C1E-4550-B07F-6A18E491D6FA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4A7162E4-2597-4A36-89D7-B029166779B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C1E-4550-B07F-6A18E491D6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A29598-DCB7-467F-929F-0710A21F619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C1E-4550-B07F-6A18E491D6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'FinFET_v96_Eq_Kappa_BOX=HfO2'!$G$23:$K$23</c:f>
              <c:numCache>
                <c:formatCode>0.00E+00</c:formatCode>
                <c:ptCount val="5"/>
                <c:pt idx="0">
                  <c:v>100000</c:v>
                </c:pt>
                <c:pt idx="1">
                  <c:v>10000000</c:v>
                </c:pt>
                <c:pt idx="2">
                  <c:v>1000000000</c:v>
                </c:pt>
                <c:pt idx="3">
                  <c:v>1000000000</c:v>
                </c:pt>
                <c:pt idx="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AC1E-4550-B07F-6A18E491D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'FinFET_v96_Eq_Kappa_BOX=HfO2'!$E$25</c:f>
              <c:strCache>
                <c:ptCount val="1"/>
                <c:pt idx="0">
                  <c:v>ION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84EC4D3-C05B-4C04-816C-397C3D7C352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C93-47B3-BF3E-B2C73757FE3E}"/>
                </c:ext>
              </c:extLst>
            </c:dLbl>
            <c:dLbl>
              <c:idx val="1"/>
              <c:layout>
                <c:manualLayout>
                  <c:x val="-3.8728076603231174E-2"/>
                  <c:y val="4.0067945026160859E-2"/>
                </c:manualLayout>
              </c:layout>
              <c:tx>
                <c:rich>
                  <a:bodyPr/>
                  <a:lstStyle/>
                  <a:p>
                    <a:fld id="{079D4514-C6A9-4E96-A8C6-E39A100A9F0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C93-47B3-BF3E-B2C73757FE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4B4087-5F04-452B-B86B-F1D3C94FEF8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C93-47B3-BF3E-B2C73757FE3E}"/>
                </c:ext>
              </c:extLst>
            </c:dLbl>
            <c:dLbl>
              <c:idx val="3"/>
              <c:layout>
                <c:manualLayout>
                  <c:x val="2.3613806855620256E-2"/>
                  <c:y val="-5.8495700604053263E-2"/>
                </c:manualLayout>
              </c:layout>
              <c:tx>
                <c:rich>
                  <a:bodyPr/>
                  <a:lstStyle/>
                  <a:p>
                    <a:fld id="{8EB46A23-2097-4BF3-A147-635CC89EEED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C93-47B3-BF3E-B2C73757FE3E}"/>
                </c:ext>
              </c:extLst>
            </c:dLbl>
            <c:dLbl>
              <c:idx val="4"/>
              <c:layout>
                <c:manualLayout>
                  <c:x val="-1.1799850546488536E-2"/>
                  <c:y val="-0.18079128262117924"/>
                </c:manualLayout>
              </c:layout>
              <c:tx>
                <c:rich>
                  <a:bodyPr/>
                  <a:lstStyle/>
                  <a:p>
                    <a:fld id="{A6168DEB-281E-483B-AFCC-8444EF46E7C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C93-47B3-BF3E-B2C73757FE3E}"/>
                </c:ext>
              </c:extLst>
            </c:dLbl>
            <c:dLbl>
              <c:idx val="5"/>
              <c:layout>
                <c:manualLayout>
                  <c:x val="2.4719377677402558E-2"/>
                  <c:y val="-0.18789143174166587"/>
                </c:manualLayout>
              </c:layout>
              <c:tx>
                <c:rich>
                  <a:bodyPr/>
                  <a:lstStyle/>
                  <a:p>
                    <a:fld id="{F1732265-3FCC-4C91-8DA6-2D98B845B67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C93-47B3-BF3E-B2C73757FE3E}"/>
                </c:ext>
              </c:extLst>
            </c:dLbl>
            <c:dLbl>
              <c:idx val="6"/>
              <c:layout>
                <c:manualLayout>
                  <c:x val="6.4573781265213929E-3"/>
                  <c:y val="3.9646760038857129E-2"/>
                </c:manualLayout>
              </c:layout>
              <c:tx>
                <c:rich>
                  <a:bodyPr/>
                  <a:lstStyle/>
                  <a:p>
                    <a:fld id="{09EFA216-5AC1-4ED0-8CA5-6E634322754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C93-47B3-BF3E-B2C73757FE3E}"/>
                </c:ext>
              </c:extLst>
            </c:dLbl>
            <c:dLbl>
              <c:idx val="7"/>
              <c:layout>
                <c:manualLayout>
                  <c:x val="2.8993677155244393E-2"/>
                  <c:y val="-6.9796359659771087E-2"/>
                </c:manualLayout>
              </c:layout>
              <c:tx>
                <c:rich>
                  <a:bodyPr/>
                  <a:lstStyle/>
                  <a:p>
                    <a:fld id="{70D8DC5C-DD2A-4662-AAFD-E475B72DCFE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C93-47B3-BF3E-B2C73757FE3E}"/>
                </c:ext>
              </c:extLst>
            </c:dLbl>
            <c:dLbl>
              <c:idx val="8"/>
              <c:layout>
                <c:manualLayout>
                  <c:x val="-1.2914756253042824E-2"/>
                  <c:y val="-7.9293520077714258E-2"/>
                </c:manualLayout>
              </c:layout>
              <c:tx>
                <c:rich>
                  <a:bodyPr/>
                  <a:lstStyle/>
                  <a:p>
                    <a:fld id="{2DA37625-5C0B-4A95-A43E-4D71688E688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C93-47B3-BF3E-B2C73757FE3E}"/>
                </c:ext>
              </c:extLst>
            </c:dLbl>
            <c:dLbl>
              <c:idx val="9"/>
              <c:layout>
                <c:manualLayout>
                  <c:x val="8.6098375020284834E-3"/>
                  <c:y val="-4.8975409459764689E-2"/>
                </c:manualLayout>
              </c:layout>
              <c:tx>
                <c:rich>
                  <a:bodyPr/>
                  <a:lstStyle/>
                  <a:p>
                    <a:fld id="{221D1053-AC18-4076-B9F6-7F1625589CE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C93-47B3-BF3E-B2C73757FE3E}"/>
                </c:ext>
              </c:extLst>
            </c:dLbl>
            <c:dLbl>
              <c:idx val="10"/>
              <c:layout>
                <c:manualLayout>
                  <c:x val="8.6098375020285233E-3"/>
                  <c:y val="-6.9964870656806746E-2"/>
                </c:manualLayout>
              </c:layout>
              <c:tx>
                <c:rich>
                  <a:bodyPr/>
                  <a:lstStyle/>
                  <a:p>
                    <a:fld id="{91DC6BD4-524E-47A4-AA70-DCA7F5B9914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C93-47B3-BF3E-B2C73757FE3E}"/>
                </c:ext>
              </c:extLst>
            </c:dLbl>
            <c:dLbl>
              <c:idx val="11"/>
              <c:layout>
                <c:manualLayout>
                  <c:x val="0"/>
                  <c:y val="-6.7632708301579816E-2"/>
                </c:manualLayout>
              </c:layout>
              <c:tx>
                <c:rich>
                  <a:bodyPr/>
                  <a:lstStyle/>
                  <a:p>
                    <a:fld id="{6C06CDC0-A65C-4C4B-9E90-05075EBC814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C93-47B3-BF3E-B2C73757FE3E}"/>
                </c:ext>
              </c:extLst>
            </c:dLbl>
            <c:dLbl>
              <c:idx val="12"/>
              <c:layout>
                <c:manualLayout>
                  <c:x val="1.183852656528922E-2"/>
                  <c:y val="7.9293520077714175E-2"/>
                </c:manualLayout>
              </c:layout>
              <c:tx>
                <c:rich>
                  <a:bodyPr/>
                  <a:lstStyle/>
                  <a:p>
                    <a:fld id="{37403372-F4C4-4CB6-A1D5-7391DD6E3B4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C93-47B3-BF3E-B2C73757FE3E}"/>
                </c:ext>
              </c:extLst>
            </c:dLbl>
            <c:dLbl>
              <c:idx val="13"/>
              <c:layout>
                <c:manualLayout>
                  <c:x val="2.1524593755071308E-3"/>
                  <c:y val="-8.6290007143394937E-2"/>
                </c:manualLayout>
              </c:layout>
              <c:tx>
                <c:rich>
                  <a:bodyPr/>
                  <a:lstStyle/>
                  <a:p>
                    <a:fld id="{A871EE0D-6A61-4BBE-8D80-80784730B1C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C93-47B3-BF3E-B2C73757FE3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479F50E-5AAD-493A-8640-4BB64CA1FEF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C93-47B3-BF3E-B2C73757FE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'FinFET_v96_Eq_Kappa_BOX=HfO2'!$L$25:$Z$25</c:f>
              <c:numCache>
                <c:formatCode>0.00E+00</c:formatCode>
                <c:ptCount val="15"/>
                <c:pt idx="0">
                  <c:v>2.0045235509999999E-5</c:v>
                </c:pt>
                <c:pt idx="1">
                  <c:v>1.9268158390000001E-5</c:v>
                </c:pt>
                <c:pt idx="2">
                  <c:v>1.9071899419999999E-5</c:v>
                </c:pt>
                <c:pt idx="3">
                  <c:v>1.085889421E-5</c:v>
                </c:pt>
                <c:pt idx="4">
                  <c:v>1.7931580230000001E-5</c:v>
                </c:pt>
                <c:pt idx="5">
                  <c:v>1.786813879E-5</c:v>
                </c:pt>
                <c:pt idx="6">
                  <c:v>1.632321543E-5</c:v>
                </c:pt>
                <c:pt idx="7">
                  <c:v>1.8835130689999999E-5</c:v>
                </c:pt>
                <c:pt idx="8">
                  <c:v>1.425507866E-5</c:v>
                </c:pt>
                <c:pt idx="9">
                  <c:v>1.231310583E-5</c:v>
                </c:pt>
                <c:pt idx="10">
                  <c:v>1.5619603890000002E-5</c:v>
                </c:pt>
                <c:pt idx="11">
                  <c:v>1.590327458E-5</c:v>
                </c:pt>
                <c:pt idx="12">
                  <c:v>1.4197163190000001E-5</c:v>
                </c:pt>
                <c:pt idx="13">
                  <c:v>1.4735582659999999E-5</c:v>
                </c:pt>
                <c:pt idx="1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'FinFET_v96_Eq_Kappa_BOX=HfO2'!$L$27:$Z$27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6C93-47B3-BF3E-B2C73757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'FinFET_v96_Eq_Kappa_BOX=HfO2'!$F$25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9.7423519103974534E-3"/>
                  <c:y val="-9.678775896072235E-2"/>
                </c:manualLayout>
              </c:layout>
              <c:tx>
                <c:rich>
                  <a:bodyPr/>
                  <a:lstStyle/>
                  <a:p>
                    <a:fld id="{D8E2DEC0-7C91-4549-AC75-F1599458541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C93-47B3-BF3E-B2C73757FE3E}"/>
                </c:ext>
              </c:extLst>
            </c:dLbl>
            <c:dLbl>
              <c:idx val="1"/>
              <c:layout>
                <c:manualLayout>
                  <c:x val="4.2083740422546145E-2"/>
                  <c:y val="2.4877126740589239E-2"/>
                </c:manualLayout>
              </c:layout>
              <c:tx>
                <c:rich>
                  <a:bodyPr/>
                  <a:lstStyle/>
                  <a:p>
                    <a:fld id="{200B9621-3C55-4AAB-B74A-5DC92F2A5D5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C93-47B3-BF3E-B2C73757FE3E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7ADC4BB7-5094-4E89-8B6B-C5B6DF39B39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C93-47B3-BF3E-B2C73757FE3E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92297DAD-782B-4620-ACF9-DEBCBACACDE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C93-47B3-BF3E-B2C73757FE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0FD0C4-BCCF-4C09-B349-A8D998B5124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C93-47B3-BF3E-B2C73757FE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'FinFET_v96_Eq_Kappa_BOX=HfO2'!$G$25:$K$25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6C93-47B3-BF3E-B2C73757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540846023099834"/>
              <c:y val="0.9154298604477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490477469929604E-2"/>
              <c:y val="0.4249960569560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650902139540111"/>
          <c:y val="0.22903278037903188"/>
          <c:w val="0.22222961765865795"/>
          <c:h val="0.15574956836303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'FinFET_v96_Eq_Kappa_BOX=HfO2'!$E$17</c:f>
              <c:strCache>
                <c:ptCount val="1"/>
                <c:pt idx="0">
                  <c:v>VTH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A6F1DF5-52EC-4D5F-9A3F-ABC906A5EDA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DEE-4012-A68F-F88D84718614}"/>
                </c:ext>
              </c:extLst>
            </c:dLbl>
            <c:dLbl>
              <c:idx val="1"/>
              <c:layout>
                <c:manualLayout>
                  <c:x val="-3.7379689544261623E-2"/>
                  <c:y val="-1.1082000403187174E-2"/>
                </c:manualLayout>
              </c:layout>
              <c:tx>
                <c:rich>
                  <a:bodyPr/>
                  <a:lstStyle/>
                  <a:p>
                    <a:fld id="{BAEB7335-189A-4B4C-80AE-61538F504A7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DEE-4012-A68F-F88D84718614}"/>
                </c:ext>
              </c:extLst>
            </c:dLbl>
            <c:dLbl>
              <c:idx val="2"/>
              <c:layout>
                <c:manualLayout>
                  <c:x val="2.0314882188679377E-2"/>
                  <c:y val="7.6403404766982472E-2"/>
                </c:manualLayout>
              </c:layout>
              <c:tx>
                <c:rich>
                  <a:bodyPr/>
                  <a:lstStyle/>
                  <a:p>
                    <a:fld id="{4BC3F2DB-84DB-4FAE-AD45-D3706A6AB9F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DEE-4012-A68F-F88D84718614}"/>
                </c:ext>
              </c:extLst>
            </c:dLbl>
            <c:dLbl>
              <c:idx val="3"/>
              <c:layout>
                <c:manualLayout>
                  <c:x val="-3.2114065079422362E-2"/>
                  <c:y val="-0.11613936422540162"/>
                </c:manualLayout>
              </c:layout>
              <c:tx>
                <c:rich>
                  <a:bodyPr/>
                  <a:lstStyle/>
                  <a:p>
                    <a:fld id="{6C163B1D-2A02-4BC7-9339-332E4377B63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DEE-4012-A68F-F88D84718614}"/>
                </c:ext>
              </c:extLst>
            </c:dLbl>
            <c:dLbl>
              <c:idx val="4"/>
              <c:layout>
                <c:manualLayout>
                  <c:x val="-2.0306130271778158E-2"/>
                  <c:y val="-0.15060226789961881"/>
                </c:manualLayout>
              </c:layout>
              <c:tx>
                <c:rich>
                  <a:bodyPr/>
                  <a:lstStyle/>
                  <a:p>
                    <a:fld id="{96E2B435-0F0D-4FF3-8E1D-12DACBB865F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DEE-4012-A68F-F88D84718614}"/>
                </c:ext>
              </c:extLst>
            </c:dLbl>
            <c:dLbl>
              <c:idx val="5"/>
              <c:layout>
                <c:manualLayout>
                  <c:x val="5.3437184925731991E-3"/>
                  <c:y val="-0.17928841416621291"/>
                </c:manualLayout>
              </c:layout>
              <c:tx>
                <c:rich>
                  <a:bodyPr/>
                  <a:lstStyle/>
                  <a:p>
                    <a:fld id="{6F1C49D2-92D1-48E0-80E0-9AB11C6C60B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DEE-4012-A68F-F88D84718614}"/>
                </c:ext>
              </c:extLst>
            </c:dLbl>
            <c:dLbl>
              <c:idx val="6"/>
              <c:layout>
                <c:manualLayout>
                  <c:x val="1.4962411779204958E-2"/>
                  <c:y val="-0.19363148729950996"/>
                </c:manualLayout>
              </c:layout>
              <c:tx>
                <c:rich>
                  <a:bodyPr/>
                  <a:lstStyle/>
                  <a:p>
                    <a:fld id="{922B721E-9CDE-4C60-A6F4-79081A948ED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DEE-4012-A68F-F88D84718614}"/>
                </c:ext>
              </c:extLst>
            </c:dLbl>
            <c:dLbl>
              <c:idx val="7"/>
              <c:layout>
                <c:manualLayout>
                  <c:x val="2.4581105065836717E-2"/>
                  <c:y val="-0.13864970695520462"/>
                </c:manualLayout>
              </c:layout>
              <c:tx>
                <c:rich>
                  <a:bodyPr/>
                  <a:lstStyle/>
                  <a:p>
                    <a:fld id="{EAE2288A-8387-414B-88AA-325D921912A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DEE-4012-A68F-F88D84718614}"/>
                </c:ext>
              </c:extLst>
            </c:dLbl>
            <c:dLbl>
              <c:idx val="8"/>
              <c:layout>
                <c:manualLayout>
                  <c:x val="-1.4962411779204996E-2"/>
                  <c:y val="-7.4105877855367985E-2"/>
                </c:manualLayout>
              </c:layout>
              <c:tx>
                <c:rich>
                  <a:bodyPr/>
                  <a:lstStyle/>
                  <a:p>
                    <a:fld id="{5EA1CD53-AE01-45AF-9E00-622E5147F0B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DEE-4012-A68F-F88D84718614}"/>
                </c:ext>
              </c:extLst>
            </c:dLbl>
            <c:dLbl>
              <c:idx val="9"/>
              <c:layout>
                <c:manualLayout>
                  <c:x val="-1.0687436985146398E-2"/>
                  <c:y val="-9.0839463177547902E-2"/>
                </c:manualLayout>
              </c:layout>
              <c:tx>
                <c:rich>
                  <a:bodyPr/>
                  <a:lstStyle/>
                  <a:p>
                    <a:fld id="{1FC0E0F5-D421-4EFA-B30A-9F5E51963DE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DEE-4012-A68F-F88D84718614}"/>
                </c:ext>
              </c:extLst>
            </c:dLbl>
            <c:dLbl>
              <c:idx val="10"/>
              <c:layout>
                <c:manualLayout>
                  <c:x val="1.4968305098172961E-2"/>
                  <c:y val="8.2358718929972638E-2"/>
                </c:manualLayout>
              </c:layout>
              <c:tx>
                <c:rich>
                  <a:bodyPr/>
                  <a:lstStyle/>
                  <a:p>
                    <a:fld id="{D0A83570-3EB1-40E4-802D-A4D3CA83AFA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DEE-4012-A68F-F88D84718614}"/>
                </c:ext>
              </c:extLst>
            </c:dLbl>
            <c:dLbl>
              <c:idx val="11"/>
              <c:layout>
                <c:manualLayout>
                  <c:x val="-2.2833869435726496E-2"/>
                  <c:y val="0.12731800786847938"/>
                </c:manualLayout>
              </c:layout>
              <c:tx>
                <c:rich>
                  <a:bodyPr/>
                  <a:lstStyle/>
                  <a:p>
                    <a:fld id="{D79DB30B-73BD-422D-90E4-7C525A0AF30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DEE-4012-A68F-F88D84718614}"/>
                </c:ext>
              </c:extLst>
            </c:dLbl>
            <c:dLbl>
              <c:idx val="12"/>
              <c:layout>
                <c:manualLayout>
                  <c:x val="2.4540959962365688E-2"/>
                  <c:y val="0.10582211501229498"/>
                </c:manualLayout>
              </c:layout>
              <c:tx>
                <c:rich>
                  <a:bodyPr/>
                  <a:lstStyle/>
                  <a:p>
                    <a:fld id="{CA54BFF4-9182-414E-B52D-B2D28B996A7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DEE-4012-A68F-F88D84718614}"/>
                </c:ext>
              </c:extLst>
            </c:dLbl>
            <c:dLbl>
              <c:idx val="13"/>
              <c:layout>
                <c:manualLayout>
                  <c:x val="-8.5351011073453616E-3"/>
                  <c:y val="-6.5988779509344841E-2"/>
                </c:manualLayout>
              </c:layout>
              <c:tx>
                <c:rich>
                  <a:bodyPr/>
                  <a:lstStyle/>
                  <a:p>
                    <a:fld id="{50410444-E37B-4A9E-91D7-899F208DC0E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DEE-4012-A68F-F88D8471861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CC080C0-1713-40ED-B146-F9C606086FB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DEE-4012-A68F-F88D847186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'FinFET_v96_Eq_Kappa_BOX=HfO2'!$L$17:$Z$17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0.72519999999999996</c:v>
                </c:pt>
                <c:pt idx="2">
                  <c:v>0.70120000000000005</c:v>
                </c:pt>
                <c:pt idx="3">
                  <c:v>0.73119999999999996</c:v>
                </c:pt>
                <c:pt idx="4">
                  <c:v>0.7631</c:v>
                </c:pt>
                <c:pt idx="5">
                  <c:v>0.76880000000000004</c:v>
                </c:pt>
                <c:pt idx="6">
                  <c:v>0.78169999999999995</c:v>
                </c:pt>
                <c:pt idx="7">
                  <c:v>0.80010000000000003</c:v>
                </c:pt>
                <c:pt idx="8">
                  <c:v>0.84470000000000001</c:v>
                </c:pt>
                <c:pt idx="9">
                  <c:v>0.84970000000000001</c:v>
                </c:pt>
                <c:pt idx="10">
                  <c:v>0.85799999999999998</c:v>
                </c:pt>
                <c:pt idx="11">
                  <c:v>0.8952</c:v>
                </c:pt>
                <c:pt idx="12">
                  <c:v>0.90269999999999995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'FinFET_v96_Eq_Kappa_BOX=HfO2'!$L$27:$Z$27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8DEE-4012-A68F-F88D8471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'FinFET_v96_Eq_Kappa_BOX=HfO2'!$F$17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4850328732995798E-2"/>
                  <c:y val="-2.9213512437978883E-2"/>
                </c:manualLayout>
              </c:layout>
              <c:tx>
                <c:rich>
                  <a:bodyPr/>
                  <a:lstStyle/>
                  <a:p>
                    <a:fld id="{71DCD5EB-2492-44BE-8AB3-5C76121A45E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DEE-4012-A68F-F88D84718614}"/>
                </c:ext>
              </c:extLst>
            </c:dLbl>
            <c:dLbl>
              <c:idx val="1"/>
              <c:layout>
                <c:manualLayout>
                  <c:x val="7.5817463894363682E-2"/>
                  <c:y val="4.0527678682376764E-2"/>
                </c:manualLayout>
              </c:layout>
              <c:tx>
                <c:rich>
                  <a:bodyPr/>
                  <a:lstStyle/>
                  <a:p>
                    <a:fld id="{9C877313-3971-44EB-83D4-02BEA55491E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DEE-4012-A68F-F88D84718614}"/>
                </c:ext>
              </c:extLst>
            </c:dLbl>
            <c:dLbl>
              <c:idx val="2"/>
              <c:layout>
                <c:manualLayout>
                  <c:x val="5.099398192967561E-3"/>
                  <c:y val="-9.1407623576608033E-2"/>
                </c:manualLayout>
              </c:layout>
              <c:tx>
                <c:rich>
                  <a:bodyPr/>
                  <a:lstStyle/>
                  <a:p>
                    <a:fld id="{E3E2F515-9FDE-4291-8B73-EC191F42DAA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DEE-4012-A68F-F88D84718614}"/>
                </c:ext>
              </c:extLst>
            </c:dLbl>
            <c:dLbl>
              <c:idx val="3"/>
              <c:layout>
                <c:manualLayout>
                  <c:x val="1.721922734867597E-2"/>
                  <c:y val="-0.15113679668085425"/>
                </c:manualLayout>
              </c:layout>
              <c:tx>
                <c:rich>
                  <a:bodyPr/>
                  <a:lstStyle/>
                  <a:p>
                    <a:fld id="{6B46FBFC-C187-4158-8FBE-DB12AC15347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DEE-4012-A68F-F88D84718614}"/>
                </c:ext>
              </c:extLst>
            </c:dLbl>
            <c:dLbl>
              <c:idx val="4"/>
              <c:layout>
                <c:manualLayout>
                  <c:x val="-6.7236542796299148E-2"/>
                  <c:y val="9.0371157292145093E-2"/>
                </c:manualLayout>
              </c:layout>
              <c:tx>
                <c:rich>
                  <a:bodyPr/>
                  <a:lstStyle/>
                  <a:p>
                    <a:fld id="{41377E8D-6C90-4896-9877-5658E9D55C4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DEE-4012-A68F-F88D847186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'FinFET_v96_Eq_Kappa_BOX=HfO2'!$G$17:$K$17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8DEE-4012-A68F-F88D8471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V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TH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(V)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032650582673274"/>
              <c:y val="0.43509328771629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16128415040074"/>
          <c:y val="0.36613598008267201"/>
          <c:w val="0.22077868258013714"/>
          <c:h val="0.13127701869044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'FinFET_v96_Eq_Kappa_BOX=HfO2'!$F$17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7BB672D-C564-410A-9F3D-5298B09A7D4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DE7-429D-9FFC-0BFB7D87FB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C63910B-01B0-4E6E-B51E-7E021E5DB46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DE7-429D-9FFC-0BFB7D87FB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73028F-5296-4D03-AC0D-BC9C24931BD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DE7-429D-9FFC-0BFB7D87FB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8F6814B-58A9-4519-8245-58FFD4F0463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DE7-429D-9FFC-0BFB7D87FB9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7F9C9A-8A13-4E26-9D43-EC56BCD2B1C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DE7-429D-9FFC-0BFB7D87FB9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FD8CEFA-D8D3-4052-8F3A-5ADAF7650AE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DE7-429D-9FFC-0BFB7D87FB9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576EFCB-A0DC-40C5-A04A-B35961F53F4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DE7-429D-9FFC-0BFB7D87FB9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CDB05EE-F9FF-48E4-9A2F-E6B9932E236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E7-429D-9FFC-0BFB7D87FB9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4A7D880-CC59-43F2-8C76-39A26761FB7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DE7-429D-9FFC-0BFB7D87FB9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44D3D8A-E25C-44C4-A1A6-C0986F6201B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DE7-429D-9FFC-0BFB7D87FB9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A4FF9A5-CB57-4743-BD5E-0AD4738FE8E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DE7-429D-9FFC-0BFB7D87FB9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AE3EA26-3A98-4237-BB63-302BB3ACC82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DE7-429D-9FFC-0BFB7D87FB9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D8E1D54-F32C-4C00-A327-12BCB2D9264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DE7-429D-9FFC-0BFB7D87FB9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B749768-1397-4056-81AA-5B2C120C12D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DE7-429D-9FFC-0BFB7D87FB9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B7C9B92-AD34-47D9-A778-989E628788A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DE7-429D-9FFC-0BFB7D87FB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'FinFET_v96_Eq_Kappa_BOX=HfO2'!$L$12:$Z$12</c:f>
              <c:numCache>
                <c:formatCode>0.0</c:formatCode>
                <c:ptCount val="15"/>
                <c:pt idx="0" formatCode="General">
                  <c:v>9</c:v>
                </c:pt>
                <c:pt idx="1">
                  <c:v>6.25</c:v>
                </c:pt>
                <c:pt idx="2">
                  <c:v>7.4666666666666659</c:v>
                </c:pt>
                <c:pt idx="3">
                  <c:v>6.8999999999999995</c:v>
                </c:pt>
                <c:pt idx="4">
                  <c:v>6.1166666666666671</c:v>
                </c:pt>
                <c:pt idx="5">
                  <c:v>5.8999999999999995</c:v>
                </c:pt>
                <c:pt idx="6">
                  <c:v>6.333333333333333</c:v>
                </c:pt>
                <c:pt idx="7">
                  <c:v>5.833333333333333</c:v>
                </c:pt>
                <c:pt idx="8">
                  <c:v>5.7</c:v>
                </c:pt>
                <c:pt idx="9">
                  <c:v>5.6333333333333329</c:v>
                </c:pt>
                <c:pt idx="10">
                  <c:v>5.416666666666667</c:v>
                </c:pt>
                <c:pt idx="11">
                  <c:v>4.5666666666666664</c:v>
                </c:pt>
                <c:pt idx="12">
                  <c:v>4.3500000000000005</c:v>
                </c:pt>
                <c:pt idx="13">
                  <c:v>3.7833333333333332</c:v>
                </c:pt>
                <c:pt idx="14" formatCode="General">
                  <c:v>3.5</c:v>
                </c:pt>
              </c:numCache>
            </c:numRef>
          </c:xVal>
          <c:yVal>
            <c:numRef>
              <c:f>'FinFET_v96_Eq_Kappa_BOX=HfO2'!$L$17:$Z$17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0.72519999999999996</c:v>
                </c:pt>
                <c:pt idx="2">
                  <c:v>0.70120000000000005</c:v>
                </c:pt>
                <c:pt idx="3">
                  <c:v>0.73119999999999996</c:v>
                </c:pt>
                <c:pt idx="4">
                  <c:v>0.7631</c:v>
                </c:pt>
                <c:pt idx="5">
                  <c:v>0.76880000000000004</c:v>
                </c:pt>
                <c:pt idx="6">
                  <c:v>0.78169999999999995</c:v>
                </c:pt>
                <c:pt idx="7">
                  <c:v>0.80010000000000003</c:v>
                </c:pt>
                <c:pt idx="8">
                  <c:v>0.84470000000000001</c:v>
                </c:pt>
                <c:pt idx="9">
                  <c:v>0.84970000000000001</c:v>
                </c:pt>
                <c:pt idx="10">
                  <c:v>0.85799999999999998</c:v>
                </c:pt>
                <c:pt idx="11">
                  <c:v>0.8952</c:v>
                </c:pt>
                <c:pt idx="12">
                  <c:v>0.90269999999999995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'FinFET_v96_Eq_Kappa_BOX=HfO2'!$L$27:$Z$27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2DE7-429D-9FFC-0BFB7D87F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'FinFET_v96_Eq_Kappa_BOX=HfO2'!$F$17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A35E8F2-7DEA-4887-9347-A670BA49851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DE7-429D-9FFC-0BFB7D87FB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ADDFDE-2DD0-4634-99CC-D744D4CFF55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DE7-429D-9FFC-0BFB7D87FB97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51EA4D26-7C4A-4F57-9A7A-8394719EF7C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DE7-429D-9FFC-0BFB7D87FB97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3A64E61E-F994-4764-9002-6C87613F8BB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DE7-429D-9FFC-0BFB7D87FB97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E414CA51-5E9F-4454-9B73-66AEE601FA2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DE7-429D-9FFC-0BFB7D87FB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'FinFET_v96_Eq_Kappa_BOX=HfO2'!$G$12:$K$12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'FinFET_v96_Eq_Kappa_BOX=HfO2'!$G$17:$K$17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2DE7-429D-9FFC-0BFB7D87F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5172704586757"/>
          <c:y val="0.106499953946599"/>
          <c:w val="0.81678541668617222"/>
          <c:h val="0.741492753866033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'FinFET_v96_Eq_Kappa_BOX=HfO2'!$E$24</c:f>
              <c:strCache>
                <c:ptCount val="1"/>
                <c:pt idx="0">
                  <c:v>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0.10445722545159244"/>
                  <c:y val="-6.8206948913611898E-2"/>
                </c:manualLayout>
              </c:layout>
              <c:tx>
                <c:rich>
                  <a:bodyPr/>
                  <a:lstStyle/>
                  <a:p>
                    <a:fld id="{D72FDD8E-0504-4249-9A0F-79239B782E6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FCD-449B-8813-4A74DF470458}"/>
                </c:ext>
              </c:extLst>
            </c:dLbl>
            <c:dLbl>
              <c:idx val="1"/>
              <c:layout>
                <c:manualLayout>
                  <c:x val="-3.8065711445285866E-2"/>
                  <c:y val="4.202766959467695E-2"/>
                </c:manualLayout>
              </c:layout>
              <c:tx>
                <c:rich>
                  <a:bodyPr/>
                  <a:lstStyle/>
                  <a:p>
                    <a:fld id="{E4C48CFB-E67E-47B2-BA0F-8DEF911FCF6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FCD-449B-8813-4A74DF470458}"/>
                </c:ext>
              </c:extLst>
            </c:dLbl>
            <c:dLbl>
              <c:idx val="2"/>
              <c:layout>
                <c:manualLayout>
                  <c:x val="-1.7302596111493571E-2"/>
                  <c:y val="-7.3548421790684881E-2"/>
                </c:manualLayout>
              </c:layout>
              <c:tx>
                <c:rich>
                  <a:bodyPr/>
                  <a:lstStyle/>
                  <a:p>
                    <a:fld id="{F3257592-318D-4512-B030-BC6F709DCA6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FCD-449B-8813-4A74DF470458}"/>
                </c:ext>
              </c:extLst>
            </c:dLbl>
            <c:dLbl>
              <c:idx val="3"/>
              <c:layout>
                <c:manualLayout>
                  <c:x val="6.6294068481772333E-3"/>
                  <c:y val="-4.4654398944344413E-2"/>
                </c:manualLayout>
              </c:layout>
              <c:tx>
                <c:rich>
                  <a:bodyPr/>
                  <a:lstStyle/>
                  <a:p>
                    <a:fld id="{77E44F72-F955-4336-AD9F-133E0A79A28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FCD-449B-8813-4A74DF470458}"/>
                </c:ext>
              </c:extLst>
            </c:dLbl>
            <c:dLbl>
              <c:idx val="4"/>
              <c:layout>
                <c:manualLayout>
                  <c:x val="-3.2042133099523473E-2"/>
                  <c:y val="6.3041504392015474E-2"/>
                </c:manualLayout>
              </c:layout>
              <c:tx>
                <c:rich>
                  <a:bodyPr/>
                  <a:lstStyle/>
                  <a:p>
                    <a:fld id="{C6AEC52A-69CF-4949-8573-8F433CDA114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FCD-449B-8813-4A74DF470458}"/>
                </c:ext>
              </c:extLst>
            </c:dLbl>
            <c:dLbl>
              <c:idx val="5"/>
              <c:layout>
                <c:manualLayout>
                  <c:x val="-9.944110272265912E-3"/>
                  <c:y val="0.13133646748336578"/>
                </c:manualLayout>
              </c:layout>
              <c:tx>
                <c:rich>
                  <a:bodyPr/>
                  <a:lstStyle/>
                  <a:p>
                    <a:fld id="{C34BC372-25D2-4D21-AF09-1490D417DDA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FCD-449B-8813-4A74DF470458}"/>
                </c:ext>
              </c:extLst>
            </c:dLbl>
            <c:dLbl>
              <c:idx val="6"/>
              <c:layout>
                <c:manualLayout>
                  <c:x val="1.9240330875261755E-2"/>
                  <c:y val="-1.5760376098003893E-2"/>
                </c:manualLayout>
              </c:layout>
              <c:tx>
                <c:rich>
                  <a:bodyPr/>
                  <a:lstStyle/>
                  <a:p>
                    <a:fld id="{87B9EA95-F47A-44DE-85DC-6B2A7C1772C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FCD-449B-8813-4A74DF470458}"/>
                </c:ext>
              </c:extLst>
            </c:dLbl>
            <c:dLbl>
              <c:idx val="7"/>
              <c:layout>
                <c:manualLayout>
                  <c:x val="-2.0763115333792284E-2"/>
                  <c:y val="0.11032263268602725"/>
                </c:manualLayout>
              </c:layout>
              <c:tx>
                <c:rich>
                  <a:bodyPr/>
                  <a:lstStyle/>
                  <a:p>
                    <a:fld id="{4F932C11-876F-46F4-8105-C972E71F214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FCD-449B-8813-4A74DF470458}"/>
                </c:ext>
              </c:extLst>
            </c:dLbl>
            <c:dLbl>
              <c:idx val="8"/>
              <c:layout>
                <c:manualLayout>
                  <c:x val="-5.536830755677942E-2"/>
                  <c:y val="3.4147481545675006E-2"/>
                </c:manualLayout>
              </c:layout>
              <c:tx>
                <c:rich>
                  <a:bodyPr/>
                  <a:lstStyle/>
                  <a:p>
                    <a:fld id="{E88C2924-A130-424D-BDE8-6DB1BFB191E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FCD-449B-8813-4A74DF470458}"/>
                </c:ext>
              </c:extLst>
            </c:dLbl>
            <c:dLbl>
              <c:idx val="9"/>
              <c:layout>
                <c:manualLayout>
                  <c:x val="-3.1083044108784603E-2"/>
                  <c:y val="7.6175151140352143E-2"/>
                </c:manualLayout>
              </c:layout>
              <c:tx>
                <c:rich>
                  <a:bodyPr/>
                  <a:lstStyle/>
                  <a:p>
                    <a:fld id="{AFE79D45-5B84-44B5-8448-3258DC4EDAE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FCD-449B-8813-4A74DF470458}"/>
                </c:ext>
              </c:extLst>
            </c:dLbl>
            <c:dLbl>
              <c:idx val="10"/>
              <c:layout>
                <c:manualLayout>
                  <c:x val="2.9167911130452157E-2"/>
                  <c:y val="9.718898593769057E-2"/>
                </c:manualLayout>
              </c:layout>
              <c:tx>
                <c:rich>
                  <a:bodyPr/>
                  <a:lstStyle/>
                  <a:p>
                    <a:fld id="{F5ACD33E-906A-4072-B6F3-C9E99DA4661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FCD-449B-8813-4A74DF470458}"/>
                </c:ext>
              </c:extLst>
            </c:dLbl>
            <c:dLbl>
              <c:idx val="11"/>
              <c:layout>
                <c:manualLayout>
                  <c:x val="-3.4605192222987205E-2"/>
                  <c:y val="5.5161316343013626E-2"/>
                </c:manualLayout>
              </c:layout>
              <c:tx>
                <c:rich>
                  <a:bodyPr/>
                  <a:lstStyle/>
                  <a:p>
                    <a:fld id="{E8F7F0F3-3E3A-4533-80F8-13EFBBECE5F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FCD-449B-8813-4A74DF470458}"/>
                </c:ext>
              </c:extLst>
            </c:dLbl>
            <c:dLbl>
              <c:idx val="12"/>
              <c:layout>
                <c:manualLayout>
                  <c:x val="1.3842076889194792E-2"/>
                  <c:y val="7.6175151140352046E-2"/>
                </c:manualLayout>
              </c:layout>
              <c:tx>
                <c:rich>
                  <a:bodyPr/>
                  <a:lstStyle/>
                  <a:p>
                    <a:fld id="{517251E5-3AFC-4CC6-8A26-357E5345ECB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FCD-449B-8813-4A74DF470458}"/>
                </c:ext>
              </c:extLst>
            </c:dLbl>
            <c:dLbl>
              <c:idx val="13"/>
              <c:layout>
                <c:manualLayout>
                  <c:x val="-4.3256490278733926E-2"/>
                  <c:y val="4.9907857643678895E-2"/>
                </c:manualLayout>
              </c:layout>
              <c:tx>
                <c:rich>
                  <a:bodyPr/>
                  <a:lstStyle/>
                  <a:p>
                    <a:fld id="{886B6784-D809-46D9-A33B-63BCB005F5F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FCD-449B-8813-4A74DF47045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7F9787A-6D7E-402D-A5F8-1F931485ECF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FCD-449B-8813-4A74DF4704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'FinFET_v96_Eq_Kappa_BOX=HfO2'!$L$24:$Z$24</c:f>
              <c:numCache>
                <c:formatCode>0.00E+00</c:formatCode>
                <c:ptCount val="15"/>
                <c:pt idx="0">
                  <c:v>3.5498819279999998E-14</c:v>
                </c:pt>
                <c:pt idx="1">
                  <c:v>4.4236330220000001E-17</c:v>
                </c:pt>
                <c:pt idx="2">
                  <c:v>3.2885927990000001E-16</c:v>
                </c:pt>
                <c:pt idx="3">
                  <c:v>7.9159222519999996E-17</c:v>
                </c:pt>
                <c:pt idx="4">
                  <c:v>1.7175918300000001E-17</c:v>
                </c:pt>
                <c:pt idx="5">
                  <c:v>1.844024602E-17</c:v>
                </c:pt>
                <c:pt idx="6">
                  <c:v>4.7632356960000001E-17</c:v>
                </c:pt>
                <c:pt idx="7">
                  <c:v>2.8082815860000003E-17</c:v>
                </c:pt>
                <c:pt idx="8">
                  <c:v>1.9365883659999999E-17</c:v>
                </c:pt>
                <c:pt idx="9">
                  <c:v>6.4873805830000003E-18</c:v>
                </c:pt>
                <c:pt idx="10">
                  <c:v>8.3604322150000003E-18</c:v>
                </c:pt>
                <c:pt idx="11">
                  <c:v>1.049373011E-18</c:v>
                </c:pt>
                <c:pt idx="12">
                  <c:v>1.6351807910000001E-18</c:v>
                </c:pt>
                <c:pt idx="13">
                  <c:v>5.2241631520000003E-19</c:v>
                </c:pt>
                <c:pt idx="14">
                  <c:v>3.2121096930000001E-19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'FinFET_v96_Eq_Kappa_BOX=HfO2'!$L$27:$Z$27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4FCD-449B-8813-4A74DF470458}"/>
            </c:ext>
          </c:extLst>
        </c:ser>
        <c:ser>
          <c:idx val="0"/>
          <c:order val="1"/>
          <c:tx>
            <c:strRef>
              <c:f>'FinFET_v96_Eq_Kappa_BOX=HfO2'!$F$24</c:f>
              <c:strCache>
                <c:ptCount val="1"/>
                <c:pt idx="0">
                  <c:v>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3.5450122775407641E-2"/>
                  <c:y val="3.1964607407376763E-2"/>
                </c:manualLayout>
              </c:layout>
              <c:tx>
                <c:rich>
                  <a:bodyPr/>
                  <a:lstStyle/>
                  <a:p>
                    <a:fld id="{AAF2FA02-4AF2-49CF-92CD-FF787663C88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FCD-449B-8813-4A74DF470458}"/>
                </c:ext>
              </c:extLst>
            </c:dLbl>
            <c:dLbl>
              <c:idx val="1"/>
              <c:layout>
                <c:manualLayout>
                  <c:x val="9.839329677155775E-3"/>
                  <c:y val="-5.5543950145917918E-2"/>
                </c:manualLayout>
              </c:layout>
              <c:tx>
                <c:rich>
                  <a:bodyPr/>
                  <a:lstStyle/>
                  <a:p>
                    <a:fld id="{4990F640-1ACA-4937-9993-CCC8842CE07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FCD-449B-8813-4A74DF470458}"/>
                </c:ext>
              </c:extLst>
            </c:dLbl>
            <c:dLbl>
              <c:idx val="2"/>
              <c:layout>
                <c:manualLayout>
                  <c:x val="-2.2309753806240139E-2"/>
                  <c:y val="-0.11319424766955331"/>
                </c:manualLayout>
              </c:layout>
              <c:tx>
                <c:rich>
                  <a:bodyPr/>
                  <a:lstStyle/>
                  <a:p>
                    <a:fld id="{A0E9F346-84C4-4232-9362-84B717A9ECF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FCD-449B-8813-4A74DF470458}"/>
                </c:ext>
              </c:extLst>
            </c:dLbl>
            <c:dLbl>
              <c:idx val="3"/>
              <c:layout>
                <c:manualLayout>
                  <c:x val="-5.3913254592443428E-3"/>
                  <c:y val="-7.715758928294425E-2"/>
                </c:manualLayout>
              </c:layout>
              <c:tx>
                <c:rich>
                  <a:bodyPr/>
                  <a:lstStyle/>
                  <a:p>
                    <a:fld id="{338FC83A-38CB-4146-A39B-9BE368A3E54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FCD-449B-8813-4A74DF470458}"/>
                </c:ext>
              </c:extLst>
            </c:dLbl>
            <c:dLbl>
              <c:idx val="4"/>
              <c:layout>
                <c:manualLayout>
                  <c:x val="-2.0774099659517414E-2"/>
                  <c:y val="-4.7154541964982775E-2"/>
                </c:manualLayout>
              </c:layout>
              <c:tx>
                <c:rich>
                  <a:bodyPr/>
                  <a:lstStyle/>
                  <a:p>
                    <a:fld id="{C2571991-91BF-4BEF-A739-D30C81840F3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FCD-449B-8813-4A74DF4704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'FinFET_v96_Eq_Kappa_BOX=HfO2'!$G$24:$K$24</c:f>
              <c:numCache>
                <c:formatCode>0.00E+00</c:formatCode>
                <c:ptCount val="5"/>
                <c:pt idx="0">
                  <c:v>3.5498819279999998E-14</c:v>
                </c:pt>
                <c:pt idx="1">
                  <c:v>4.2785692460000002E-16</c:v>
                </c:pt>
                <c:pt idx="2">
                  <c:v>1.37294566E-17</c:v>
                </c:pt>
                <c:pt idx="3">
                  <c:v>6.9021704639999997E-18</c:v>
                </c:pt>
                <c:pt idx="4">
                  <c:v>3.2121096930000001E-19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4FCD-449B-8813-4A74DF470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4838447122761"/>
              <c:y val="0.1285631711573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7E-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OFF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8749630358368164E-2"/>
              <c:y val="0.39129683903112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213016936046486"/>
          <c:y val="0.28581607516996183"/>
          <c:w val="0.18735572771321396"/>
          <c:h val="0.1475259917764065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'FinFET_v96_Eq_Kappa_BOX=HfO2'!$F$20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2716D6A-E3C0-42C2-884A-720BB7A9238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AE7-43F6-8552-442766E8C944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E74B5A7D-3258-4025-95A3-9D3B02A3D0C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AE7-43F6-8552-442766E8C944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0D4F3C2B-C77B-457F-B83C-789459364FB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AE7-43F6-8552-442766E8C944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2A4DE148-F350-4CF8-9E4A-981E66ED4D7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AE7-43F6-8552-442766E8C944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A768DE81-851E-4273-8730-9EB32E56369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AE7-43F6-8552-442766E8C9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'FinFET_v96_Eq_Kappa_BOX=HfO2'!$G$20:$K$20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AE7-43F6-8552-442766E8C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'FinFET_v96_Eq_Kappa_BOX=HfO2'!$F$26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77DD1ED-1E7E-4705-BB7C-5AAE35532F7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5F2-4D4E-B3D6-380B27AA449E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9066BA77-49F0-429A-A34C-44BC2279A30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5F2-4D4E-B3D6-380B27AA449E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229BC0D4-29A2-4B6D-9966-456D9B67D60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5F2-4D4E-B3D6-380B27AA449E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E346C261-56D4-49EF-ABFC-FEF6A2E269B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5F2-4D4E-B3D6-380B27AA44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7970EF4-7CE0-4BE4-9A9F-5207B1C5AD4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5F2-4D4E-B3D6-380B27AA44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'FinFET_v96_Eq_Kappa_BOX=HfO2'!$G$23:$K$23</c:f>
              <c:numCache>
                <c:formatCode>0.00E+00</c:formatCode>
                <c:ptCount val="5"/>
                <c:pt idx="0">
                  <c:v>100000</c:v>
                </c:pt>
                <c:pt idx="1">
                  <c:v>10000000</c:v>
                </c:pt>
                <c:pt idx="2">
                  <c:v>1000000000</c:v>
                </c:pt>
                <c:pt idx="3">
                  <c:v>1000000000</c:v>
                </c:pt>
                <c:pt idx="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5F2-4D4E-B3D6-380B27AA4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'FinFET_v96_Eq_Kappa_BOX=HfO2'!$F$25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1360573-4C3F-4530-A0AC-A7F9D2DF385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F4D-4F92-BA85-8335AE2E0159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F742203D-7AA6-4DE0-A91A-7ACBD08D5CE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4D-4F92-BA85-8335AE2E0159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2DF3085F-84D2-4276-A789-07E32B8C895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4D-4F92-BA85-8335AE2E0159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56B296AB-719A-46E0-AFED-78F59C8BF67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F4D-4F92-BA85-8335AE2E015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F7A64A-54A1-4E8C-B5A8-BB506BD7885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F4D-4F92-BA85-8335AE2E01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'FinFET_v96_Eq_Kappa_BOX=HfO2'!$G$25:$K$25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F4D-4F92-BA85-8335AE2E0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'FinFET_v96_Eq_Kappa_BOX=HfO2'!$F$17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316B1D0-E585-4DC1-8967-20931E54A24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F2-4894-B36F-1C4F298F898E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A1D6232D-F6F0-4CC9-8B5F-06D1E216414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EF2-4894-B36F-1C4F298F898E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3110251A-4151-4889-9573-5E40C7624D8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EF2-4894-B36F-1C4F298F898E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F0678FEE-68D2-4E69-B02A-E3EF896097A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EF2-4894-B36F-1C4F298F89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ED94B2A-CF4C-485F-8341-5E7E60BCA78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EF2-4894-B36F-1C4F298F8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'FinFET_v96_Eq_Kappa_BOX=HfO2'!$G$17:$K$17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EF2-4894-B36F-1C4F298F8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FinFET_v9_Makale.in!$M$2</c:f>
              <c:strCache>
                <c:ptCount val="1"/>
                <c:pt idx="0">
                  <c:v>Max Id (A)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FinFET_v9_Makale.in!$C$3:$C$7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FinFET_v9_Makale.in!$M$3:$M$7</c:f>
              <c:numCache>
                <c:formatCode>0.00E+00</c:formatCode>
                <c:ptCount val="5"/>
                <c:pt idx="0">
                  <c:v>8.9099999999999994E-6</c:v>
                </c:pt>
                <c:pt idx="1">
                  <c:v>9.1500000000000005E-6</c:v>
                </c:pt>
                <c:pt idx="2">
                  <c:v>1.5099999999999999E-5</c:v>
                </c:pt>
                <c:pt idx="3">
                  <c:v>7.6750000000000002E-6</c:v>
                </c:pt>
                <c:pt idx="4">
                  <c:v>1.0900000000000001E-5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8-4058-9114-C1EA2ABB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'FinFET_v96_Eq_Kappa_BOX=HfO2'!$F$20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EC035C2-72C6-45D8-A189-D9622E753B1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973-4D64-A1F2-9BC6BF078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5E0664-D4AC-4A21-B500-6F188FDA8C7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973-4D64-A1F2-9BC6BF0784D4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E107ABE8-C500-474D-B445-C8E0EC64606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973-4D64-A1F2-9BC6BF0784D4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F88422F9-3901-49D8-B5A1-11D53A5CD9A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973-4D64-A1F2-9BC6BF0784D4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A630A175-9D8D-4259-8B58-E27CFF47739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973-4D64-A1F2-9BC6BF078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'FinFET_v96_Eq_Kappa_BOX=HfO2'!$G$12:$K$12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'FinFET_v96_Eq_Kappa_BOX=HfO2'!$G$20:$K$20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973-4D64-A1F2-9BC6BF07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'FinFET_v96_Eq_Kappa_BOX=HfO2'!$F$18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DC6352-0524-4D4F-8CE3-1AB3E20D63D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D5D-460E-B90D-1322A48F3A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24A819-BFE3-4241-AFA5-B8CCF8E3598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D5D-460E-B90D-1322A48F3A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7FC806-D4C7-48F2-B008-FE39B9E7056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D5D-460E-B90D-1322A48F3A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A04BF0-7301-46BD-9AB4-8F7ACEFB992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D5D-460E-B90D-1322A48F3A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309111-FC09-42CE-9DB2-FF5871D9C71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D5D-460E-B90D-1322A48F3A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'FinFET_v96_Eq_Kappa_BOX=HfO2'!$G$18:$K$18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7D5D-460E-B90D-1322A48F3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'FinFET_v96_Eq_Kappa_BOX=HfO2'!$E$18</c:f>
              <c:strCache>
                <c:ptCount val="1"/>
                <c:pt idx="0">
                  <c:v>SS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0EA7507-C1AA-4F6A-B050-0119D3A685C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8DC-414B-9B8B-4D1AFF882812}"/>
                </c:ext>
              </c:extLst>
            </c:dLbl>
            <c:dLbl>
              <c:idx val="1"/>
              <c:layout>
                <c:manualLayout>
                  <c:x val="-3.2785098412662007E-2"/>
                  <c:y val="4.933165503355829E-2"/>
                </c:manualLayout>
              </c:layout>
              <c:tx>
                <c:rich>
                  <a:bodyPr/>
                  <a:lstStyle/>
                  <a:p>
                    <a:fld id="{1A57B2A4-C618-4E32-BAC2-A7B4DAF2DB4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8DC-414B-9B8B-4D1AFF882812}"/>
                </c:ext>
              </c:extLst>
            </c:dLbl>
            <c:dLbl>
              <c:idx val="2"/>
              <c:layout>
                <c:manualLayout>
                  <c:x val="-2.1856732275107992E-2"/>
                  <c:y val="-4.6982528603388848E-2"/>
                </c:manualLayout>
              </c:layout>
              <c:tx>
                <c:rich>
                  <a:bodyPr/>
                  <a:lstStyle/>
                  <a:p>
                    <a:fld id="{28ABBC53-FA60-4325-9D86-AFD0AFAD631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8DC-414B-9B8B-4D1AFF882812}"/>
                </c:ext>
              </c:extLst>
            </c:dLbl>
            <c:dLbl>
              <c:idx val="3"/>
              <c:layout>
                <c:manualLayout>
                  <c:x val="0"/>
                  <c:y val="-8.2219425055930481E-2"/>
                </c:manualLayout>
              </c:layout>
              <c:tx>
                <c:rich>
                  <a:bodyPr/>
                  <a:lstStyle/>
                  <a:p>
                    <a:fld id="{83E12B7E-4247-44C2-B756-C5A53155648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8DC-414B-9B8B-4D1AFF882812}"/>
                </c:ext>
              </c:extLst>
            </c:dLbl>
            <c:dLbl>
              <c:idx val="4"/>
              <c:layout>
                <c:manualLayout>
                  <c:x val="-1.2749760493812996E-2"/>
                  <c:y val="6.8124666474913831E-2"/>
                </c:manualLayout>
              </c:layout>
              <c:tx>
                <c:rich>
                  <a:bodyPr/>
                  <a:lstStyle/>
                  <a:p>
                    <a:fld id="{D2EFE25F-A43D-46DD-8558-70462627BE1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8DC-414B-9B8B-4D1AFF882812}"/>
                </c:ext>
              </c:extLst>
            </c:dLbl>
            <c:dLbl>
              <c:idx val="5"/>
              <c:layout>
                <c:manualLayout>
                  <c:x val="1.5682962736530467E-2"/>
                  <c:y val="7.5916848354706509E-2"/>
                </c:manualLayout>
              </c:layout>
              <c:tx>
                <c:rich>
                  <a:bodyPr/>
                  <a:lstStyle/>
                  <a:p>
                    <a:fld id="{27F4D1B7-7223-49C6-A14A-CD46DD13A35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8DC-414B-9B8B-4D1AFF882812}"/>
                </c:ext>
              </c:extLst>
            </c:dLbl>
            <c:dLbl>
              <c:idx val="6"/>
              <c:layout>
                <c:manualLayout>
                  <c:x val="3.3648791454586871E-3"/>
                  <c:y val="6.9153626932126039E-2"/>
                </c:manualLayout>
              </c:layout>
              <c:tx>
                <c:rich>
                  <a:bodyPr/>
                  <a:lstStyle/>
                  <a:p>
                    <a:fld id="{E6C162B4-7F55-46D6-B9E2-A4715F263CC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8DC-414B-9B8B-4D1AFF882812}"/>
                </c:ext>
              </c:extLst>
            </c:dLbl>
            <c:dLbl>
              <c:idx val="7"/>
              <c:layout>
                <c:manualLayout>
                  <c:x val="1.8213943562590026E-2"/>
                  <c:y val="2.8189517162033349E-2"/>
                </c:manualLayout>
              </c:layout>
              <c:tx>
                <c:rich>
                  <a:bodyPr/>
                  <a:lstStyle/>
                  <a:p>
                    <a:fld id="{0FC9A387-5E2D-4F07-B530-827E337C6CF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8DC-414B-9B8B-4D1AFF882812}"/>
                </c:ext>
              </c:extLst>
            </c:dLbl>
            <c:dLbl>
              <c:idx val="8"/>
              <c:layout>
                <c:manualLayout>
                  <c:x val="-2.1856732275108027E-2"/>
                  <c:y val="0.10101243649728602"/>
                </c:manualLayout>
              </c:layout>
              <c:tx>
                <c:rich>
                  <a:bodyPr/>
                  <a:lstStyle/>
                  <a:p>
                    <a:fld id="{EF64FA3B-0FF5-43F9-A8B6-B37C8FECE25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8DC-414B-9B8B-4D1AFF882812}"/>
                </c:ext>
              </c:extLst>
            </c:dLbl>
            <c:dLbl>
              <c:idx val="9"/>
              <c:layout>
                <c:manualLayout>
                  <c:x val="-1.6392549206330993E-2"/>
                  <c:y val="6.1077287184405415E-2"/>
                </c:manualLayout>
              </c:layout>
              <c:tx>
                <c:rich>
                  <a:bodyPr/>
                  <a:lstStyle/>
                  <a:p>
                    <a:fld id="{C7FBBD31-7156-4623-8639-67F9A3464D6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8DC-414B-9B8B-4D1AFF882812}"/>
                </c:ext>
              </c:extLst>
            </c:dLbl>
            <c:dLbl>
              <c:idx val="10"/>
              <c:layout>
                <c:manualLayout>
                  <c:x val="1.6392549206330993E-2"/>
                  <c:y val="6.3426413614574947E-2"/>
                </c:manualLayout>
              </c:layout>
              <c:tx>
                <c:rich>
                  <a:bodyPr/>
                  <a:lstStyle/>
                  <a:p>
                    <a:fld id="{14C38558-F217-4A0F-9887-0F651355190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8DC-414B-9B8B-4D1AFF882812}"/>
                </c:ext>
              </c:extLst>
            </c:dLbl>
            <c:dLbl>
              <c:idx val="11"/>
              <c:layout>
                <c:manualLayout>
                  <c:x val="-2.003533791884906E-2"/>
                  <c:y val="5.6379034324066615E-2"/>
                </c:manualLayout>
              </c:layout>
              <c:tx>
                <c:rich>
                  <a:bodyPr/>
                  <a:lstStyle/>
                  <a:p>
                    <a:fld id="{D467E5A0-79A3-443C-838E-1FD4EA80A07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8DC-414B-9B8B-4D1AFF882812}"/>
                </c:ext>
              </c:extLst>
            </c:dLbl>
            <c:dLbl>
              <c:idx val="12"/>
              <c:layout>
                <c:manualLayout>
                  <c:x val="2.5499520987625923E-2"/>
                  <c:y val="7.7521172195591598E-2"/>
                </c:manualLayout>
              </c:layout>
              <c:tx>
                <c:rich>
                  <a:bodyPr/>
                  <a:lstStyle/>
                  <a:p>
                    <a:fld id="{1E90A7B4-546C-4CB1-B284-7004C9C217C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8DC-414B-9B8B-4D1AFF882812}"/>
                </c:ext>
              </c:extLst>
            </c:dLbl>
            <c:dLbl>
              <c:idx val="13"/>
              <c:layout>
                <c:manualLayout>
                  <c:x val="-4.1892070193956854E-2"/>
                  <c:y val="6.3426413614574947E-2"/>
                </c:manualLayout>
              </c:layout>
              <c:tx>
                <c:rich>
                  <a:bodyPr/>
                  <a:lstStyle/>
                  <a:p>
                    <a:fld id="{EAB4B674-237C-4C27-8F56-C46361233C9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8DC-414B-9B8B-4D1AFF88281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94D6F46-A484-46CC-938E-53DCF0BF6E0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8DC-414B-9B8B-4D1AFF8828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'FinFET_v96_Eq_Kappa_BOX=HfO2'!$L$18:$Z$18</c:f>
              <c:numCache>
                <c:formatCode>General</c:formatCode>
                <c:ptCount val="15"/>
                <c:pt idx="0">
                  <c:v>89.6</c:v>
                </c:pt>
                <c:pt idx="1">
                  <c:v>77.099999999999994</c:v>
                </c:pt>
                <c:pt idx="2">
                  <c:v>82.6</c:v>
                </c:pt>
                <c:pt idx="3">
                  <c:v>78.900000000000006</c:v>
                </c:pt>
                <c:pt idx="4">
                  <c:v>76.2</c:v>
                </c:pt>
                <c:pt idx="5">
                  <c:v>76.8</c:v>
                </c:pt>
                <c:pt idx="6">
                  <c:v>81.099999999999994</c:v>
                </c:pt>
                <c:pt idx="7">
                  <c:v>81.7</c:v>
                </c:pt>
                <c:pt idx="8">
                  <c:v>82</c:v>
                </c:pt>
                <c:pt idx="9">
                  <c:v>79</c:v>
                </c:pt>
                <c:pt idx="10">
                  <c:v>80.3</c:v>
                </c:pt>
                <c:pt idx="11">
                  <c:v>78.3</c:v>
                </c:pt>
                <c:pt idx="12">
                  <c:v>79.8</c:v>
                </c:pt>
                <c:pt idx="13">
                  <c:v>77</c:v>
                </c:pt>
                <c:pt idx="1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'FinFET_v96_Eq_Kappa_BOX=HfO2'!$L$27:$Z$27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38DC-414B-9B8B-4D1AFF88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'FinFET_v96_Eq_Kappa_BOX=HfO2'!$F$18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3641171246000693E-2"/>
                  <c:y val="-4.0873105572259469E-2"/>
                </c:manualLayout>
              </c:layout>
              <c:tx>
                <c:rich>
                  <a:bodyPr/>
                  <a:lstStyle/>
                  <a:p>
                    <a:fld id="{C8828010-A5A0-4BD0-8E3D-4504D800A80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8DC-414B-9B8B-4D1AFF882812}"/>
                </c:ext>
              </c:extLst>
            </c:dLbl>
            <c:dLbl>
              <c:idx val="1"/>
              <c:layout>
                <c:manualLayout>
                  <c:x val="1.3167881790248725E-2"/>
                  <c:y val="-4.9451696267995941E-2"/>
                </c:manualLayout>
              </c:layout>
              <c:tx>
                <c:rich>
                  <a:bodyPr/>
                  <a:lstStyle/>
                  <a:p>
                    <a:fld id="{C034CACF-B397-4239-8FE3-96C7F895A9E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8DC-414B-9B8B-4D1AFF882812}"/>
                </c:ext>
              </c:extLst>
            </c:dLbl>
            <c:dLbl>
              <c:idx val="2"/>
              <c:layout>
                <c:manualLayout>
                  <c:x val="-6.9869649478826699E-3"/>
                  <c:y val="-7.3756361456831829E-2"/>
                </c:manualLayout>
              </c:layout>
              <c:tx>
                <c:rich>
                  <a:bodyPr/>
                  <a:lstStyle/>
                  <a:p>
                    <a:fld id="{4D2C968A-42DF-4A99-97B3-84C4E5D5AC8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8DC-414B-9B8B-4D1AFF882812}"/>
                </c:ext>
              </c:extLst>
            </c:dLbl>
            <c:dLbl>
              <c:idx val="3"/>
              <c:layout>
                <c:manualLayout>
                  <c:x val="1.0829801039757999E-2"/>
                  <c:y val="-4.5647061585301026E-2"/>
                </c:manualLayout>
              </c:layout>
              <c:tx>
                <c:rich>
                  <a:bodyPr/>
                  <a:lstStyle/>
                  <a:p>
                    <a:fld id="{65647C6E-3343-4147-B49E-7257BB7A57A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8DC-414B-9B8B-4D1AFF88281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5B34D7-F8DE-4ECB-ABC7-F8CDE76673D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8DC-414B-9B8B-4D1AFF8828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'FinFET_v96_Eq_Kappa_BOX=HfO2'!$G$18:$K$18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38DC-414B-9B8B-4D1AFF88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At val="3.9"/>
        <c:crossBetween val="midCat"/>
        <c:minorUnit val="1"/>
      </c:valAx>
      <c:valAx>
        <c:axId val="363195216"/>
        <c:scaling>
          <c:orientation val="minMax"/>
          <c:max val="90"/>
          <c:min val="7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SS (mV/decade)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2737627967246"/>
              <c:y val="0.3632886878245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  <c:majorUnit val="5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80705470406246"/>
          <c:y val="0.14705776471921889"/>
          <c:w val="0.23186483319188161"/>
          <c:h val="0.186311484991868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'FinFET_v96_Eq_Kappa_BOX=HfO2'!$F$17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25A1D8E-72C1-4678-8C25-66D4BBE950F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54E-4EDF-A1C6-62798E4A9C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8A3959-34EF-451C-9E8D-C10FA015DF6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54E-4EDF-A1C6-62798E4A9C36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1D1BF42D-8DFC-4E8C-AF61-110E2EFA8D3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54E-4EDF-A1C6-62798E4A9C36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2D3E5D13-F7F0-4B30-ACA6-F99F01669BD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54E-4EDF-A1C6-62798E4A9C36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64A400DC-ECD4-4799-8263-A09E97E4093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54E-4EDF-A1C6-62798E4A9C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'FinFET_v96_Eq_Kappa_BOX=HfO2'!$G$12:$K$12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'FinFET_v96_Eq_Kappa_BOX=HfO2'!$G$17:$K$17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54E-4EDF-A1C6-62798E4A9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'FinFET_v96_Eq_Kappa_BOX=HfO2'!$E$26</c:f>
              <c:strCache>
                <c:ptCount val="1"/>
                <c:pt idx="0">
                  <c:v>ION/IOFF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438B9A0-D71C-487D-A717-81BF20251B4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D3-4FEA-9C93-344DDF800107}"/>
                </c:ext>
              </c:extLst>
            </c:dLbl>
            <c:dLbl>
              <c:idx val="1"/>
              <c:layout>
                <c:manualLayout>
                  <c:x val="-2.0601754441209617E-2"/>
                  <c:y val="-4.6475084414488999E-2"/>
                </c:manualLayout>
              </c:layout>
              <c:tx>
                <c:rich>
                  <a:bodyPr/>
                  <a:lstStyle/>
                  <a:p>
                    <a:fld id="{6F70EAC0-E920-41A2-A673-191C7755156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DD3-4FEA-9C93-344DDF800107}"/>
                </c:ext>
              </c:extLst>
            </c:dLbl>
            <c:dLbl>
              <c:idx val="2"/>
              <c:layout>
                <c:manualLayout>
                  <c:x val="-1.4542414899677399E-2"/>
                  <c:y val="4.1827575973039974E-2"/>
                </c:manualLayout>
              </c:layout>
              <c:tx>
                <c:rich>
                  <a:bodyPr/>
                  <a:lstStyle/>
                  <a:p>
                    <a:fld id="{9E3A668A-3CC8-49BF-9C8F-C654BF1F921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DD3-4FEA-9C93-344DDF800107}"/>
                </c:ext>
              </c:extLst>
            </c:dLbl>
            <c:dLbl>
              <c:idx val="3"/>
              <c:layout>
                <c:manualLayout>
                  <c:x val="1.3330546991370928E-2"/>
                  <c:y val="-4.2601668575170822E-17"/>
                </c:manualLayout>
              </c:layout>
              <c:tx>
                <c:rich>
                  <a:bodyPr/>
                  <a:lstStyle/>
                  <a:p>
                    <a:fld id="{408F534B-3BA9-4FC7-A92B-A79AE857A8E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DD3-4FEA-9C93-344DDF800107}"/>
                </c:ext>
              </c:extLst>
            </c:dLbl>
            <c:dLbl>
              <c:idx val="4"/>
              <c:layout>
                <c:manualLayout>
                  <c:x val="-2.3025490257822512E-2"/>
                  <c:y val="-6.2741363959560134E-2"/>
                </c:manualLayout>
              </c:layout>
              <c:tx>
                <c:rich>
                  <a:bodyPr/>
                  <a:lstStyle/>
                  <a:p>
                    <a:fld id="{DB3F2904-207B-41D9-BDFA-FCF7E57C69D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DD3-4FEA-9C93-344DDF800107}"/>
                </c:ext>
              </c:extLst>
            </c:dLbl>
            <c:dLbl>
              <c:idx val="5"/>
              <c:layout>
                <c:manualLayout>
                  <c:x val="-7.271207449838688E-3"/>
                  <c:y val="-8.8302660387529014E-2"/>
                </c:manualLayout>
              </c:layout>
              <c:tx>
                <c:rich>
                  <a:bodyPr/>
                  <a:lstStyle/>
                  <a:p>
                    <a:fld id="{127A44BF-792E-42FE-B6CA-4B2963F650F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DD3-4FEA-9C93-344DDF8001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5CF4BD-5EA7-4546-B42C-B3E4671B67B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D3-4FEA-9C93-344DDF800107}"/>
                </c:ext>
              </c:extLst>
            </c:dLbl>
            <c:dLbl>
              <c:idx val="7"/>
              <c:layout>
                <c:manualLayout>
                  <c:x val="0"/>
                  <c:y val="-7.2036380842457878E-2"/>
                </c:manualLayout>
              </c:layout>
              <c:tx>
                <c:rich>
                  <a:bodyPr/>
                  <a:lstStyle/>
                  <a:p>
                    <a:fld id="{3B3F29D0-F076-4375-A3F7-F335D17541A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DD3-4FEA-9C93-344DDF800107}"/>
                </c:ext>
              </c:extLst>
            </c:dLbl>
            <c:dLbl>
              <c:idx val="8"/>
              <c:layout>
                <c:manualLayout>
                  <c:x val="-2.1813622349516108E-2"/>
                  <c:y val="-6.5065118180284584E-2"/>
                </c:manualLayout>
              </c:layout>
              <c:tx>
                <c:rich>
                  <a:bodyPr/>
                  <a:lstStyle/>
                  <a:p>
                    <a:fld id="{FBDD4A5B-ABE6-4EE6-89EF-3EAAC7A240A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DD3-4FEA-9C93-344DDF800107}"/>
                </c:ext>
              </c:extLst>
            </c:dLbl>
            <c:dLbl>
              <c:idx val="9"/>
              <c:layout>
                <c:manualLayout>
                  <c:x val="-2.5449226074435453E-2"/>
                  <c:y val="-8.3655151946080142E-2"/>
                </c:manualLayout>
              </c:layout>
              <c:tx>
                <c:rich>
                  <a:bodyPr/>
                  <a:lstStyle/>
                  <a:p>
                    <a:fld id="{CC322E4C-B24F-4419-99D4-9EEC63194B8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DD3-4FEA-9C93-344DDF800107}"/>
                </c:ext>
              </c:extLst>
            </c:dLbl>
            <c:dLbl>
              <c:idx val="10"/>
              <c:layout>
                <c:manualLayout>
                  <c:x val="1.6966150716290273E-2"/>
                  <c:y val="-8.3655151946080142E-2"/>
                </c:manualLayout>
              </c:layout>
              <c:tx>
                <c:rich>
                  <a:bodyPr/>
                  <a:lstStyle/>
                  <a:p>
                    <a:fld id="{F1FDD0FC-ACDB-47AB-89C0-D41C57BEC1B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DD3-4FEA-9C93-344DDF800107}"/>
                </c:ext>
              </c:extLst>
            </c:dLbl>
            <c:dLbl>
              <c:idx val="11"/>
              <c:layout>
                <c:manualLayout>
                  <c:x val="-3.0296697707661201E-2"/>
                  <c:y val="-6.0417609738835643E-2"/>
                </c:manualLayout>
              </c:layout>
              <c:tx>
                <c:rich>
                  <a:bodyPr/>
                  <a:lstStyle/>
                  <a:p>
                    <a:fld id="{DE829424-509A-4BC8-A117-9CE8820E82F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DD3-4FEA-9C93-344DDF800107}"/>
                </c:ext>
              </c:extLst>
            </c:dLbl>
            <c:dLbl>
              <c:idx val="12"/>
              <c:layout>
                <c:manualLayout>
                  <c:x val="1.2118679083064391E-2"/>
                  <c:y val="-4.1827575973040078E-2"/>
                </c:manualLayout>
              </c:layout>
              <c:tx>
                <c:rich>
                  <a:bodyPr/>
                  <a:lstStyle/>
                  <a:p>
                    <a:fld id="{44B4BF80-ABD1-43CE-B1D6-88F0B51323F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DD3-4FEA-9C93-344DDF800107}"/>
                </c:ext>
              </c:extLst>
            </c:dLbl>
            <c:dLbl>
              <c:idx val="13"/>
              <c:layout>
                <c:manualLayout>
                  <c:x val="7.2712074498385987E-3"/>
                  <c:y val="-7.2036380842457892E-2"/>
                </c:manualLayout>
              </c:layout>
              <c:tx>
                <c:rich>
                  <a:bodyPr/>
                  <a:lstStyle/>
                  <a:p>
                    <a:fld id="{EF573AFA-9FCC-4DE2-B712-93AA32D7BAC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DD3-4FEA-9C93-344DDF80010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08C1F41-F1A7-4752-AF94-B76A79F0BD6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DD3-4FEA-9C93-344DDF8001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'FinFET_v96_Eq_Kappa_BOX=HfO2'!$L$26:$Z$26</c:f>
              <c:numCache>
                <c:formatCode>0.00E+00</c:formatCode>
                <c:ptCount val="15"/>
                <c:pt idx="0">
                  <c:v>564673300</c:v>
                </c:pt>
                <c:pt idx="1">
                  <c:v>435573200000</c:v>
                </c:pt>
                <c:pt idx="2">
                  <c:v>57994100000</c:v>
                </c:pt>
                <c:pt idx="3">
                  <c:v>137177900000</c:v>
                </c:pt>
                <c:pt idx="4">
                  <c:v>1043995000000</c:v>
                </c:pt>
                <c:pt idx="5">
                  <c:v>968975100000</c:v>
                </c:pt>
                <c:pt idx="6">
                  <c:v>342691700000</c:v>
                </c:pt>
                <c:pt idx="7">
                  <c:v>670699500000</c:v>
                </c:pt>
                <c:pt idx="8">
                  <c:v>736092300000</c:v>
                </c:pt>
                <c:pt idx="9">
                  <c:v>1898009000000</c:v>
                </c:pt>
                <c:pt idx="10">
                  <c:v>1868277000000</c:v>
                </c:pt>
                <c:pt idx="11">
                  <c:v>15155030000000</c:v>
                </c:pt>
                <c:pt idx="12">
                  <c:v>8682320000000</c:v>
                </c:pt>
                <c:pt idx="13">
                  <c:v>28206590000000</c:v>
                </c:pt>
                <c:pt idx="14">
                  <c:v>42738920000000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'FinFET_v96_Eq_Kappa_BOX=HfO2'!$L$27:$Z$27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4DD3-4FEA-9C93-344DDF800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'FinFET_v96_Eq_Kappa_BOX=HfO2'!$F$26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0623915966760605E-2"/>
                  <c:y val="4.4902250981662204E-3"/>
                </c:manualLayout>
              </c:layout>
              <c:tx>
                <c:rich>
                  <a:bodyPr/>
                  <a:lstStyle/>
                  <a:p>
                    <a:fld id="{9B84F13C-AA2D-461F-A7B2-1C6201D0150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DD3-4FEA-9C93-344DDF800107}"/>
                </c:ext>
              </c:extLst>
            </c:dLbl>
            <c:dLbl>
              <c:idx val="1"/>
              <c:layout>
                <c:manualLayout>
                  <c:x val="-8.4922006921955978E-3"/>
                  <c:y val="4.0412025883495899E-2"/>
                </c:manualLayout>
              </c:layout>
              <c:tx>
                <c:rich>
                  <a:bodyPr/>
                  <a:lstStyle/>
                  <a:p>
                    <a:fld id="{D1122AD2-8BF4-45E6-B5DB-A6722CFA6BD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DD3-4FEA-9C93-344DDF800107}"/>
                </c:ext>
              </c:extLst>
            </c:dLbl>
            <c:dLbl>
              <c:idx val="2"/>
              <c:layout>
                <c:manualLayout>
                  <c:x val="0"/>
                  <c:y val="3.8166913334412911E-2"/>
                </c:manualLayout>
              </c:layout>
              <c:tx>
                <c:rich>
                  <a:bodyPr/>
                  <a:lstStyle/>
                  <a:p>
                    <a:fld id="{C7C7D100-C868-4BC1-AA63-6BB39DFD025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DD3-4FEA-9C93-344DDF800107}"/>
                </c:ext>
              </c:extLst>
            </c:dLbl>
            <c:dLbl>
              <c:idx val="3"/>
              <c:layout>
                <c:manualLayout>
                  <c:x val="9.7053722196520607E-3"/>
                  <c:y val="6.0618038825243935E-2"/>
                </c:manualLayout>
              </c:layout>
              <c:tx>
                <c:rich>
                  <a:bodyPr/>
                  <a:lstStyle/>
                  <a:p>
                    <a:fld id="{184CF1E9-9998-4017-8F3F-36EB8C4B369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DD3-4FEA-9C93-344DDF8001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CB9B7B-3CDF-4D64-9FC7-AC6EB5AEAF2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DD3-4FEA-9C93-344DDF8001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'FinFET_v96_Eq_Kappa_BOX=HfO2'!$G$13:$K$13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'FinFET_v96_Eq_Kappa_BOX=HfO2'!$G$26:$K$26</c:f>
              <c:numCache>
                <c:formatCode>0.00E+00</c:formatCode>
                <c:ptCount val="5"/>
                <c:pt idx="0">
                  <c:v>564673300</c:v>
                </c:pt>
                <c:pt idx="1">
                  <c:v>43707140000</c:v>
                </c:pt>
                <c:pt idx="2">
                  <c:v>853136200000</c:v>
                </c:pt>
                <c:pt idx="3">
                  <c:v>2063067000000</c:v>
                </c:pt>
                <c:pt idx="4">
                  <c:v>42738920000000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'FinFET_v96_Eq_Kappa_BOX=HfO2'!$G$27:$K$27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4DD3-4FEA-9C93-344DDF800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>
                    <a:solidFill>
                      <a:schemeClr val="tx1"/>
                    </a:solidFill>
                  </a:rPr>
                  <a:t>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600">
                    <a:solidFill>
                      <a:schemeClr val="tx1"/>
                    </a:solidFill>
                  </a:rPr>
                  <a:t>/I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OFF</a:t>
                </a:r>
                <a:endParaRPr lang="en-US" sz="1600" baseline="-25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6737209825870442E-2"/>
              <c:y val="0.40106587390784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770738257785601"/>
          <c:y val="0.41006342628356185"/>
          <c:w val="0.22591204370595122"/>
          <c:h val="0.20796830452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6948454305553"/>
          <c:y val="0.1345369796342365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'FinFET_v97_Maxwell Garnet'!$E$21</c:f>
              <c:strCache>
                <c:ptCount val="1"/>
                <c:pt idx="0">
                  <c:v>DIBL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tx1"/>
                </a:solidFill>
                <a:prstDash val="dashDot"/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2ABD-4C40-8573-B501B65CAB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B5C2939-F84C-48D4-BDF0-4355782D124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ABD-4C40-8573-B501B65CAB09}"/>
                </c:ext>
              </c:extLst>
            </c:dLbl>
            <c:dLbl>
              <c:idx val="1"/>
              <c:layout>
                <c:manualLayout>
                  <c:x val="-3.8646850519421662E-2"/>
                  <c:y val="2.8646727549493683E-2"/>
                </c:manualLayout>
              </c:layout>
              <c:tx>
                <c:rich>
                  <a:bodyPr/>
                  <a:lstStyle/>
                  <a:p>
                    <a:fld id="{92964395-563C-4FA2-835D-B20AF42B14E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ABD-4C40-8573-B501B65CAB09}"/>
                </c:ext>
              </c:extLst>
            </c:dLbl>
            <c:dLbl>
              <c:idx val="2"/>
              <c:layout>
                <c:manualLayout>
                  <c:x val="2.777742381083434E-2"/>
                  <c:y val="-5.7293455098987409E-2"/>
                </c:manualLayout>
              </c:layout>
              <c:tx>
                <c:rich>
                  <a:bodyPr/>
                  <a:lstStyle/>
                  <a:p>
                    <a:fld id="{CC614F88-5A6E-4F57-A853-4AEDED67CC3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ABD-4C40-8573-B501B65CAB09}"/>
                </c:ext>
              </c:extLst>
            </c:dLbl>
            <c:dLbl>
              <c:idx val="3"/>
              <c:layout>
                <c:manualLayout>
                  <c:x val="1.570028302351505E-2"/>
                  <c:y val="2.6443133122609555E-2"/>
                </c:manualLayout>
              </c:layout>
              <c:tx>
                <c:rich>
                  <a:bodyPr/>
                  <a:lstStyle/>
                  <a:p>
                    <a:fld id="{3330C4BB-0463-4820-BA48-192424830EA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ABD-4C40-8573-B501B65CAB09}"/>
                </c:ext>
              </c:extLst>
            </c:dLbl>
            <c:dLbl>
              <c:idx val="4"/>
              <c:layout>
                <c:manualLayout>
                  <c:x val="-3.8489091032382738E-2"/>
                  <c:y val="-1.8240292878781404E-2"/>
                </c:manualLayout>
              </c:layout>
              <c:tx>
                <c:rich>
                  <a:bodyPr/>
                  <a:lstStyle/>
                  <a:p>
                    <a:fld id="{2110E562-11E3-4408-AC04-B271A3225EB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ABD-4C40-8573-B501B65CAB09}"/>
                </c:ext>
              </c:extLst>
            </c:dLbl>
            <c:dLbl>
              <c:idx val="5"/>
              <c:layout>
                <c:manualLayout>
                  <c:x val="-4.9551177312016428E-2"/>
                  <c:y val="4.0638098481931652E-2"/>
                </c:manualLayout>
              </c:layout>
              <c:tx>
                <c:rich>
                  <a:bodyPr/>
                  <a:lstStyle/>
                  <a:p>
                    <a:fld id="{67116B8C-365C-46D9-B6A3-36E908222AD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ABD-4C40-8573-B501B65CAB09}"/>
                </c:ext>
              </c:extLst>
            </c:dLbl>
            <c:dLbl>
              <c:idx val="6"/>
              <c:layout>
                <c:manualLayout>
                  <c:x val="0"/>
                  <c:y val="-4.1868294110798461E-2"/>
                </c:manualLayout>
              </c:layout>
              <c:tx>
                <c:rich>
                  <a:bodyPr/>
                  <a:lstStyle/>
                  <a:p>
                    <a:fld id="{5F5035BA-4127-47FB-A353-C17CB9884F0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ABD-4C40-8573-B501B65CAB09}"/>
                </c:ext>
              </c:extLst>
            </c:dLbl>
            <c:dLbl>
              <c:idx val="7"/>
              <c:layout>
                <c:manualLayout>
                  <c:x val="-1.6447267482893001E-2"/>
                  <c:y val="3.9943368917463667E-2"/>
                </c:manualLayout>
              </c:layout>
              <c:tx>
                <c:rich>
                  <a:bodyPr/>
                  <a:lstStyle/>
                  <a:p>
                    <a:fld id="{9889E2E8-61A3-44B2-AEF1-668E7C6504C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ABD-4C40-8573-B501B65CAB09}"/>
                </c:ext>
              </c:extLst>
            </c:dLbl>
            <c:dLbl>
              <c:idx val="8"/>
              <c:layout>
                <c:manualLayout>
                  <c:x val="-5.0516931980002344E-2"/>
                  <c:y val="-2.0520329488629165E-2"/>
                </c:manualLayout>
              </c:layout>
              <c:tx>
                <c:rich>
                  <a:bodyPr/>
                  <a:lstStyle/>
                  <a:p>
                    <a:fld id="{271C275D-EA6F-4B3B-B0E7-E9C15D18631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ABD-4C40-8573-B501B65CAB09}"/>
                </c:ext>
              </c:extLst>
            </c:dLbl>
            <c:dLbl>
              <c:idx val="9"/>
              <c:layout>
                <c:manualLayout>
                  <c:x val="-4.3300227411430581E-2"/>
                  <c:y val="2.0520329488629082E-2"/>
                </c:manualLayout>
              </c:layout>
              <c:tx>
                <c:rich>
                  <a:bodyPr/>
                  <a:lstStyle/>
                  <a:p>
                    <a:fld id="{5A9D4417-4B42-43C0-8302-0431E739C4E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ABD-4C40-8573-B501B65CAB09}"/>
                </c:ext>
              </c:extLst>
            </c:dLbl>
            <c:dLbl>
              <c:idx val="10"/>
              <c:layout>
                <c:manualLayout>
                  <c:x val="-2.7664034179525093E-2"/>
                  <c:y val="4.3320695587105752E-2"/>
                </c:manualLayout>
              </c:layout>
              <c:tx>
                <c:rich>
                  <a:bodyPr/>
                  <a:lstStyle/>
                  <a:p>
                    <a:fld id="{A9CD80D3-EAF5-4805-BC50-DACD29D9F06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ABD-4C40-8573-B501B65CAB09}"/>
                </c:ext>
              </c:extLst>
            </c:dLbl>
            <c:dLbl>
              <c:idx val="11"/>
              <c:layout>
                <c:manualLayout>
                  <c:x val="-6.0139204738098022E-2"/>
                  <c:y val="1.5960256268933729E-2"/>
                </c:manualLayout>
              </c:layout>
              <c:tx>
                <c:rich>
                  <a:bodyPr/>
                  <a:lstStyle/>
                  <a:p>
                    <a:fld id="{4F6A95BB-2250-4A8B-8A0E-018D6C2CAE6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ABD-4C40-8573-B501B65CAB09}"/>
                </c:ext>
              </c:extLst>
            </c:dLbl>
            <c:dLbl>
              <c:idx val="12"/>
              <c:layout>
                <c:manualLayout>
                  <c:x val="-3.4880738748096857E-2"/>
                  <c:y val="3.6480585757562807E-2"/>
                </c:manualLayout>
              </c:layout>
              <c:tx>
                <c:rich>
                  <a:bodyPr/>
                  <a:lstStyle/>
                  <a:p>
                    <a:fld id="{85A1C2F0-6060-4924-BDE4-7790A6A0A45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ABD-4C40-8573-B501B65CAB09}"/>
                </c:ext>
              </c:extLst>
            </c:dLbl>
            <c:dLbl>
              <c:idx val="13"/>
              <c:layout>
                <c:manualLayout>
                  <c:x val="9.661712629855327E-3"/>
                  <c:y val="-8.1504017395556128E-2"/>
                </c:manualLayout>
              </c:layout>
              <c:tx>
                <c:rich>
                  <a:bodyPr/>
                  <a:lstStyle/>
                  <a:p>
                    <a:fld id="{87C9D22B-B362-4827-9CFA-CC383A1ECCC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ABD-4C40-8573-B501B65CAB0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ACA540F-2887-439B-B0D6-FCB459EFAAA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ABD-4C40-8573-B501B65CAB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'FinFET_v97_Maxwell Garnet'!$L$21:$Z$21</c:f>
              <c:numCache>
                <c:formatCode>General</c:formatCode>
                <c:ptCount val="15"/>
                <c:pt idx="0">
                  <c:v>19.3</c:v>
                </c:pt>
                <c:pt idx="1">
                  <c:v>12.7</c:v>
                </c:pt>
                <c:pt idx="2">
                  <c:v>15.22</c:v>
                </c:pt>
                <c:pt idx="3">
                  <c:v>12.52</c:v>
                </c:pt>
                <c:pt idx="4">
                  <c:v>9.74</c:v>
                </c:pt>
                <c:pt idx="5">
                  <c:v>9.48</c:v>
                </c:pt>
                <c:pt idx="6">
                  <c:v>9.3000000000000007</c:v>
                </c:pt>
                <c:pt idx="7">
                  <c:v>8.43</c:v>
                </c:pt>
                <c:pt idx="8">
                  <c:v>9.83</c:v>
                </c:pt>
                <c:pt idx="9">
                  <c:v>8.8699999999999992</c:v>
                </c:pt>
                <c:pt idx="10">
                  <c:v>8.6999999999999993</c:v>
                </c:pt>
                <c:pt idx="11">
                  <c:v>6.43</c:v>
                </c:pt>
                <c:pt idx="12">
                  <c:v>6.17</c:v>
                </c:pt>
                <c:pt idx="13">
                  <c:v>5.48</c:v>
                </c:pt>
                <c:pt idx="1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Garnet'!$L$28:$Z$28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2ABD-4C40-8573-B501B65CAB09}"/>
            </c:ext>
          </c:extLst>
        </c:ser>
        <c:ser>
          <c:idx val="0"/>
          <c:order val="0"/>
          <c:tx>
            <c:strRef>
              <c:f>'FinFET_v97_Maxwell Garnet'!$F$21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2858758167885216E-2"/>
                  <c:y val="-2.756138194649909E-2"/>
                </c:manualLayout>
              </c:layout>
              <c:tx>
                <c:rich>
                  <a:bodyPr/>
                  <a:lstStyle/>
                  <a:p>
                    <a:fld id="{2B34750D-702D-4DD3-9A5B-5FBCEF16B7C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ABD-4C40-8573-B501B65CAB09}"/>
                </c:ext>
              </c:extLst>
            </c:dLbl>
            <c:dLbl>
              <c:idx val="1"/>
              <c:layout>
                <c:manualLayout>
                  <c:x val="8.592922651854672E-3"/>
                  <c:y val="-3.3057562778100492E-2"/>
                </c:manualLayout>
              </c:layout>
              <c:tx>
                <c:rich>
                  <a:bodyPr/>
                  <a:lstStyle/>
                  <a:p>
                    <a:fld id="{408B949A-CFDD-42EE-AABD-28594851A1C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ABD-4C40-8573-B501B65CAB09}"/>
                </c:ext>
              </c:extLst>
            </c:dLbl>
            <c:dLbl>
              <c:idx val="2"/>
              <c:layout>
                <c:manualLayout>
                  <c:x val="2.3093787504870348E-2"/>
                  <c:y val="-6.0350384014687827E-2"/>
                </c:manualLayout>
              </c:layout>
              <c:tx>
                <c:rich>
                  <a:bodyPr/>
                  <a:lstStyle/>
                  <a:p>
                    <a:fld id="{26746A0D-C116-4493-BB96-5C0FE96AA45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ABD-4C40-8573-B501B65CAB09}"/>
                </c:ext>
              </c:extLst>
            </c:dLbl>
            <c:dLbl>
              <c:idx val="3"/>
              <c:layout>
                <c:manualLayout>
                  <c:x val="1.6875094025771288E-2"/>
                  <c:y val="-5.3835026428384739E-2"/>
                </c:manualLayout>
              </c:layout>
              <c:tx>
                <c:rich>
                  <a:bodyPr/>
                  <a:lstStyle/>
                  <a:p>
                    <a:fld id="{FC50B57C-D26A-4017-8CA8-BD5A3906C51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ABD-4C40-8573-B501B65CAB09}"/>
                </c:ext>
              </c:extLst>
            </c:dLbl>
            <c:dLbl>
              <c:idx val="4"/>
              <c:layout>
                <c:manualLayout>
                  <c:x val="-5.8672081283151515E-3"/>
                  <c:y val="-7.6311863093974974E-2"/>
                </c:manualLayout>
              </c:layout>
              <c:tx>
                <c:rich>
                  <a:bodyPr/>
                  <a:lstStyle/>
                  <a:p>
                    <a:fld id="{A76C662E-1E14-4985-9099-1D60B619525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ABD-4C40-8573-B501B65CAB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2ABD-4C40-8573-B501B65CA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400" b="1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8718463209510626"/>
              <c:y val="0.91470285049687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Drain Induced Barrier Lowering  - DIBL  (mV/V)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686350891075122"/>
              <c:y val="0.18281632624572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268307273705989"/>
          <c:y val="0.1458296647758863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'FinFET_v97_Maxwell Garnet'!$F$24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792CC8D-5C83-4284-9313-4BAC63E2C4B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813-4AE5-8861-8A915C29A06F}"/>
                </c:ext>
              </c:extLst>
            </c:dLbl>
            <c:dLbl>
              <c:idx val="1"/>
              <c:layout>
                <c:manualLayout>
                  <c:x val="-3.1611814774940399E-2"/>
                  <c:y val="-6.435824011704662E-2"/>
                </c:manualLayout>
              </c:layout>
              <c:tx>
                <c:rich>
                  <a:bodyPr/>
                  <a:lstStyle/>
                  <a:p>
                    <a:fld id="{DF2141B7-8D70-4E19-933D-9B64F503539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813-4AE5-8861-8A915C29A06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49AEBC-0161-4D8C-A14E-8B7234D1A3A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13-4AE5-8861-8A915C29A06F}"/>
                </c:ext>
              </c:extLst>
            </c:dLbl>
            <c:dLbl>
              <c:idx val="3"/>
              <c:layout>
                <c:manualLayout>
                  <c:x val="-3.050227592671478E-17"/>
                  <c:y val="4.5970171512176042E-2"/>
                </c:manualLayout>
              </c:layout>
              <c:tx>
                <c:rich>
                  <a:bodyPr/>
                  <a:lstStyle/>
                  <a:p>
                    <a:fld id="{EDCA3F61-1778-4D1D-A262-AA1E0E99D46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813-4AE5-8861-8A915C29A06F}"/>
                </c:ext>
              </c:extLst>
            </c:dLbl>
            <c:dLbl>
              <c:idx val="4"/>
              <c:layout>
                <c:manualLayout>
                  <c:x val="-9.2187807455357644E-3"/>
                  <c:y val="-3.6818487682708852E-2"/>
                </c:manualLayout>
              </c:layout>
              <c:tx>
                <c:rich>
                  <a:bodyPr/>
                  <a:lstStyle/>
                  <a:p>
                    <a:fld id="{8C85A62B-CEB0-474D-A85C-DD25DE52AE9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813-4AE5-8861-8A915C29A06F}"/>
                </c:ext>
              </c:extLst>
            </c:dLbl>
            <c:dLbl>
              <c:idx val="5"/>
              <c:layout>
                <c:manualLayout>
                  <c:x val="1.6637797249968319E-3"/>
                  <c:y val="-4.5970171512176125E-2"/>
                </c:manualLayout>
              </c:layout>
              <c:tx>
                <c:rich>
                  <a:bodyPr/>
                  <a:lstStyle/>
                  <a:p>
                    <a:fld id="{46B4B045-1420-435E-AFAC-B58A8019D94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813-4AE5-8861-8A915C29A06F}"/>
                </c:ext>
              </c:extLst>
            </c:dLbl>
            <c:dLbl>
              <c:idx val="6"/>
              <c:layout>
                <c:manualLayout>
                  <c:x val="-4.9913391749905871E-3"/>
                  <c:y val="3.9074645785349707E-2"/>
                </c:manualLayout>
              </c:layout>
              <c:tx>
                <c:rich>
                  <a:bodyPr/>
                  <a:lstStyle/>
                  <a:p>
                    <a:fld id="{24CEA24A-ADDC-4451-A698-5151EE1ADA2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813-4AE5-8861-8A915C29A06F}"/>
                </c:ext>
              </c:extLst>
            </c:dLbl>
            <c:dLbl>
              <c:idx val="7"/>
              <c:layout>
                <c:manualLayout>
                  <c:x val="1.4974017524971732E-2"/>
                  <c:y val="-0.12182095450726677"/>
                </c:manualLayout>
              </c:layout>
              <c:tx>
                <c:rich>
                  <a:bodyPr/>
                  <a:lstStyle/>
                  <a:p>
                    <a:fld id="{430902AF-E74D-4050-8B60-0934FB43DEE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813-4AE5-8861-8A915C29A06F}"/>
                </c:ext>
              </c:extLst>
            </c:dLbl>
            <c:dLbl>
              <c:idx val="8"/>
              <c:layout>
                <c:manualLayout>
                  <c:x val="-3.1611814774940385E-2"/>
                  <c:y val="-5.9761222965828961E-2"/>
                </c:manualLayout>
              </c:layout>
              <c:tx>
                <c:rich>
                  <a:bodyPr/>
                  <a:lstStyle/>
                  <a:p>
                    <a:fld id="{236DA957-8E2C-48F8-9DDE-365B1CED8D2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813-4AE5-8861-8A915C29A06F}"/>
                </c:ext>
              </c:extLst>
            </c:dLbl>
            <c:dLbl>
              <c:idx val="9"/>
              <c:layout>
                <c:manualLayout>
                  <c:x val="-5.656851064989335E-2"/>
                  <c:y val="-0.14250753168774599"/>
                </c:manualLayout>
              </c:layout>
              <c:tx>
                <c:rich>
                  <a:bodyPr/>
                  <a:lstStyle/>
                  <a:p>
                    <a:fld id="{091E3D17-A555-454C-B272-F493441FF2F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813-4AE5-8861-8A915C29A06F}"/>
                </c:ext>
              </c:extLst>
            </c:dLbl>
            <c:dLbl>
              <c:idx val="10"/>
              <c:layout>
                <c:manualLayout>
                  <c:x val="1.33102377999749E-2"/>
                  <c:y val="-9.4238851599961052E-2"/>
                </c:manualLayout>
              </c:layout>
              <c:tx>
                <c:rich>
                  <a:bodyPr/>
                  <a:lstStyle/>
                  <a:p>
                    <a:fld id="{366329C1-20B4-4A1F-9D53-21A3D2D949A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813-4AE5-8861-8A915C29A06F}"/>
                </c:ext>
              </c:extLst>
            </c:dLbl>
            <c:dLbl>
              <c:idx val="11"/>
              <c:layout>
                <c:manualLayout>
                  <c:x val="-4.6585832299912144E-2"/>
                  <c:y val="-1.6089560029261644E-2"/>
                </c:manualLayout>
              </c:layout>
              <c:tx>
                <c:rich>
                  <a:bodyPr/>
                  <a:lstStyle/>
                  <a:p>
                    <a:fld id="{5BC13A11-4CD0-4D0A-AB11-144534D9A9B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813-4AE5-8861-8A915C29A06F}"/>
                </c:ext>
              </c:extLst>
            </c:dLbl>
            <c:dLbl>
              <c:idx val="12"/>
              <c:layout>
                <c:manualLayout>
                  <c:x val="3.1711545578414262E-2"/>
                  <c:y val="-8.1441975322336213E-2"/>
                </c:manualLayout>
              </c:layout>
              <c:tx>
                <c:rich>
                  <a:bodyPr/>
                  <a:lstStyle/>
                  <a:p>
                    <a:fld id="{8BFC8D23-C280-4FAA-9EA1-1F4BC0BDB4F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813-4AE5-8861-8A915C29A06F}"/>
                </c:ext>
              </c:extLst>
            </c:dLbl>
            <c:dLbl>
              <c:idx val="13"/>
              <c:layout>
                <c:manualLayout>
                  <c:x val="0"/>
                  <c:y val="-4.5970171512176104E-2"/>
                </c:manualLayout>
              </c:layout>
              <c:tx>
                <c:rich>
                  <a:bodyPr/>
                  <a:lstStyle/>
                  <a:p>
                    <a:fld id="{C46DF94C-A6AC-417D-B903-4B88823D35D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813-4AE5-8861-8A915C29A06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6334A52-885E-46B1-BB16-F4DA4DBDED5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813-4AE5-8861-8A915C29A0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'FinFET_v97_Maxwell Garnet'!$L$24:$Z$24</c:f>
              <c:numCache>
                <c:formatCode>0.00E+00</c:formatCode>
                <c:ptCount val="15"/>
                <c:pt idx="0">
                  <c:v>100000</c:v>
                </c:pt>
                <c:pt idx="1">
                  <c:v>100000000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</c:v>
                </c:pt>
                <c:pt idx="10">
                  <c:v>1000000000</c:v>
                </c:pt>
                <c:pt idx="11">
                  <c:v>10000000000</c:v>
                </c:pt>
                <c:pt idx="12">
                  <c:v>10000000000</c:v>
                </c:pt>
                <c:pt idx="13">
                  <c:v>10000000000</c:v>
                </c:pt>
                <c:pt idx="1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Garnet'!$L$28:$Z$28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E813-4AE5-8861-8A915C29A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'FinFET_v97_Maxwell Garnet'!$F$24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1A06D69-AD8A-4116-8342-2E10916927F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813-4AE5-8861-8A915C29A06F}"/>
                </c:ext>
              </c:extLst>
            </c:dLbl>
            <c:dLbl>
              <c:idx val="1"/>
              <c:layout>
                <c:manualLayout>
                  <c:x val="1.7348375299447598E-2"/>
                  <c:y val="7.3671724471441723E-3"/>
                </c:manualLayout>
              </c:layout>
              <c:tx>
                <c:rich>
                  <a:bodyPr/>
                  <a:lstStyle/>
                  <a:p>
                    <a:fld id="{D37730ED-E30A-4BF2-B28C-16DF7E09CAB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813-4AE5-8861-8A915C29A06F}"/>
                </c:ext>
              </c:extLst>
            </c:dLbl>
            <c:dLbl>
              <c:idx val="2"/>
              <c:layout>
                <c:manualLayout>
                  <c:x val="-2.3072170572269544E-2"/>
                  <c:y val="7.8191642043667325E-2"/>
                </c:manualLayout>
              </c:layout>
              <c:tx>
                <c:rich>
                  <a:bodyPr/>
                  <a:lstStyle/>
                  <a:p>
                    <a:fld id="{8BB1E9C9-6F71-42FA-A2B4-2507B137758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813-4AE5-8861-8A915C29A06F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06196B39-3285-4272-BFC7-DEFA61CFF38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813-4AE5-8861-8A915C29A06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A63A5C-9949-45D6-9452-47601725BB3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813-4AE5-8861-8A915C29A0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Garnet'!$G$24:$K$24</c:f>
              <c:numCache>
                <c:formatCode>0.00E+00</c:formatCode>
                <c:ptCount val="5"/>
                <c:pt idx="0">
                  <c:v>100000</c:v>
                </c:pt>
                <c:pt idx="1">
                  <c:v>10000000</c:v>
                </c:pt>
                <c:pt idx="2">
                  <c:v>1000000000</c:v>
                </c:pt>
                <c:pt idx="3">
                  <c:v>1000000000</c:v>
                </c:pt>
                <c:pt idx="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E813-4AE5-8861-8A915C29A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'FinFET_v97_Maxwell Garnet'!$E$26</c:f>
              <c:strCache>
                <c:ptCount val="1"/>
                <c:pt idx="0">
                  <c:v>ION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43A832F-955A-4489-B987-8B958855D2B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74A-4A0A-BE90-BF3A9C88CA65}"/>
                </c:ext>
              </c:extLst>
            </c:dLbl>
            <c:dLbl>
              <c:idx val="1"/>
              <c:layout>
                <c:manualLayout>
                  <c:x val="-3.8728076603231174E-2"/>
                  <c:y val="4.0067945026160859E-2"/>
                </c:manualLayout>
              </c:layout>
              <c:tx>
                <c:rich>
                  <a:bodyPr/>
                  <a:lstStyle/>
                  <a:p>
                    <a:fld id="{AE2BF034-A062-4928-9F8B-F1256949766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74A-4A0A-BE90-BF3A9C88CA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C7A8BC-03CE-4045-8EF8-D116E64CFE8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74A-4A0A-BE90-BF3A9C88CA65}"/>
                </c:ext>
              </c:extLst>
            </c:dLbl>
            <c:dLbl>
              <c:idx val="3"/>
              <c:layout>
                <c:manualLayout>
                  <c:x val="2.3613806855620256E-2"/>
                  <c:y val="-5.8495700604053263E-2"/>
                </c:manualLayout>
              </c:layout>
              <c:tx>
                <c:rich>
                  <a:bodyPr/>
                  <a:lstStyle/>
                  <a:p>
                    <a:fld id="{36715742-16C6-4EFE-B57A-ACBF392C419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4A-4A0A-BE90-BF3A9C88CA65}"/>
                </c:ext>
              </c:extLst>
            </c:dLbl>
            <c:dLbl>
              <c:idx val="4"/>
              <c:layout>
                <c:manualLayout>
                  <c:x val="-1.1799850546488536E-2"/>
                  <c:y val="-0.18079128262117924"/>
                </c:manualLayout>
              </c:layout>
              <c:tx>
                <c:rich>
                  <a:bodyPr/>
                  <a:lstStyle/>
                  <a:p>
                    <a:fld id="{4B0CD337-A4D0-475F-902E-1A5340B3D57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74A-4A0A-BE90-BF3A9C88CA65}"/>
                </c:ext>
              </c:extLst>
            </c:dLbl>
            <c:dLbl>
              <c:idx val="5"/>
              <c:layout>
                <c:manualLayout>
                  <c:x val="2.4719377677402558E-2"/>
                  <c:y val="-0.18789143174166587"/>
                </c:manualLayout>
              </c:layout>
              <c:tx>
                <c:rich>
                  <a:bodyPr/>
                  <a:lstStyle/>
                  <a:p>
                    <a:fld id="{47C61F31-9EF4-465F-8907-92E58F91765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74A-4A0A-BE90-BF3A9C88CA65}"/>
                </c:ext>
              </c:extLst>
            </c:dLbl>
            <c:dLbl>
              <c:idx val="6"/>
              <c:layout>
                <c:manualLayout>
                  <c:x val="6.4573781265213929E-3"/>
                  <c:y val="3.9646760038857129E-2"/>
                </c:manualLayout>
              </c:layout>
              <c:tx>
                <c:rich>
                  <a:bodyPr/>
                  <a:lstStyle/>
                  <a:p>
                    <a:fld id="{BD91906F-F65A-4923-9759-952789A1F3B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4A-4A0A-BE90-BF3A9C88CA65}"/>
                </c:ext>
              </c:extLst>
            </c:dLbl>
            <c:dLbl>
              <c:idx val="7"/>
              <c:layout>
                <c:manualLayout>
                  <c:x val="2.8993677155244393E-2"/>
                  <c:y val="-6.9796359659771087E-2"/>
                </c:manualLayout>
              </c:layout>
              <c:tx>
                <c:rich>
                  <a:bodyPr/>
                  <a:lstStyle/>
                  <a:p>
                    <a:fld id="{27D6BBCC-E892-422D-8285-7E3A09BCE89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74A-4A0A-BE90-BF3A9C88CA65}"/>
                </c:ext>
              </c:extLst>
            </c:dLbl>
            <c:dLbl>
              <c:idx val="8"/>
              <c:layout>
                <c:manualLayout>
                  <c:x val="-1.2914756253042824E-2"/>
                  <c:y val="-7.9293520077714258E-2"/>
                </c:manualLayout>
              </c:layout>
              <c:tx>
                <c:rich>
                  <a:bodyPr/>
                  <a:lstStyle/>
                  <a:p>
                    <a:fld id="{B92216F3-EBB4-43CA-8CD2-1A58BD5D5C0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74A-4A0A-BE90-BF3A9C88CA65}"/>
                </c:ext>
              </c:extLst>
            </c:dLbl>
            <c:dLbl>
              <c:idx val="9"/>
              <c:layout>
                <c:manualLayout>
                  <c:x val="8.6098375020284834E-3"/>
                  <c:y val="-4.8975409459764689E-2"/>
                </c:manualLayout>
              </c:layout>
              <c:tx>
                <c:rich>
                  <a:bodyPr/>
                  <a:lstStyle/>
                  <a:p>
                    <a:fld id="{AAC5D8F2-38C6-4F2C-A9C4-FA8DA172565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74A-4A0A-BE90-BF3A9C88CA65}"/>
                </c:ext>
              </c:extLst>
            </c:dLbl>
            <c:dLbl>
              <c:idx val="10"/>
              <c:layout>
                <c:manualLayout>
                  <c:x val="8.6098375020285233E-3"/>
                  <c:y val="-6.9964870656806746E-2"/>
                </c:manualLayout>
              </c:layout>
              <c:tx>
                <c:rich>
                  <a:bodyPr/>
                  <a:lstStyle/>
                  <a:p>
                    <a:fld id="{9228537C-57F1-403C-90BA-CB53E45993C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74A-4A0A-BE90-BF3A9C88CA65}"/>
                </c:ext>
              </c:extLst>
            </c:dLbl>
            <c:dLbl>
              <c:idx val="11"/>
              <c:layout>
                <c:manualLayout>
                  <c:x val="0"/>
                  <c:y val="-6.7632708301579816E-2"/>
                </c:manualLayout>
              </c:layout>
              <c:tx>
                <c:rich>
                  <a:bodyPr/>
                  <a:lstStyle/>
                  <a:p>
                    <a:fld id="{BF823BFF-5086-45B4-B5F0-D1309BE7B76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74A-4A0A-BE90-BF3A9C88CA65}"/>
                </c:ext>
              </c:extLst>
            </c:dLbl>
            <c:dLbl>
              <c:idx val="12"/>
              <c:layout>
                <c:manualLayout>
                  <c:x val="1.183852656528922E-2"/>
                  <c:y val="7.9293520077714175E-2"/>
                </c:manualLayout>
              </c:layout>
              <c:tx>
                <c:rich>
                  <a:bodyPr/>
                  <a:lstStyle/>
                  <a:p>
                    <a:fld id="{9D4E0EED-373B-4D49-81F4-F132011529E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74A-4A0A-BE90-BF3A9C88CA65}"/>
                </c:ext>
              </c:extLst>
            </c:dLbl>
            <c:dLbl>
              <c:idx val="13"/>
              <c:layout>
                <c:manualLayout>
                  <c:x val="2.1524593755071308E-3"/>
                  <c:y val="-8.6290007143394937E-2"/>
                </c:manualLayout>
              </c:layout>
              <c:tx>
                <c:rich>
                  <a:bodyPr/>
                  <a:lstStyle/>
                  <a:p>
                    <a:fld id="{97F655D6-4B4B-426E-8719-70D8791D2B8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74A-4A0A-BE90-BF3A9C88CA6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438834B-E4AF-4518-B3FC-29A21075275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74A-4A0A-BE90-BF3A9C88CA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'FinFET_v97_Maxwell Garnet'!$L$26:$Z$26</c:f>
              <c:numCache>
                <c:formatCode>0.00E+00</c:formatCode>
                <c:ptCount val="15"/>
                <c:pt idx="0">
                  <c:v>2.0045235509999999E-5</c:v>
                </c:pt>
                <c:pt idx="1">
                  <c:v>1.9268158390000001E-5</c:v>
                </c:pt>
                <c:pt idx="2">
                  <c:v>1.9071899419999999E-5</c:v>
                </c:pt>
                <c:pt idx="3">
                  <c:v>1.085889421E-5</c:v>
                </c:pt>
                <c:pt idx="4">
                  <c:v>1.7931580230000001E-5</c:v>
                </c:pt>
                <c:pt idx="5">
                  <c:v>1.786813879E-5</c:v>
                </c:pt>
                <c:pt idx="6">
                  <c:v>1.632321543E-5</c:v>
                </c:pt>
                <c:pt idx="7">
                  <c:v>1.8835130689999999E-5</c:v>
                </c:pt>
                <c:pt idx="8">
                  <c:v>1.425507866E-5</c:v>
                </c:pt>
                <c:pt idx="9">
                  <c:v>1.231310583E-5</c:v>
                </c:pt>
                <c:pt idx="10">
                  <c:v>1.5619603890000002E-5</c:v>
                </c:pt>
                <c:pt idx="11">
                  <c:v>1.590327458E-5</c:v>
                </c:pt>
                <c:pt idx="12">
                  <c:v>1.4197163190000001E-5</c:v>
                </c:pt>
                <c:pt idx="13">
                  <c:v>1.4735582659999999E-5</c:v>
                </c:pt>
                <c:pt idx="1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Garnet'!$L$28:$Z$28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B74A-4A0A-BE90-BF3A9C88C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'FinFET_v97_Maxwell Garnet'!$F$26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9.7423519103974534E-3"/>
                  <c:y val="-9.678775896072235E-2"/>
                </c:manualLayout>
              </c:layout>
              <c:tx>
                <c:rich>
                  <a:bodyPr/>
                  <a:lstStyle/>
                  <a:p>
                    <a:fld id="{63469E0A-1A41-4D93-BEE1-03896CE1486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74A-4A0A-BE90-BF3A9C88CA65}"/>
                </c:ext>
              </c:extLst>
            </c:dLbl>
            <c:dLbl>
              <c:idx val="1"/>
              <c:layout>
                <c:manualLayout>
                  <c:x val="4.2083740422546145E-2"/>
                  <c:y val="2.4877126740589239E-2"/>
                </c:manualLayout>
              </c:layout>
              <c:tx>
                <c:rich>
                  <a:bodyPr/>
                  <a:lstStyle/>
                  <a:p>
                    <a:fld id="{06B92FC8-A359-4D02-AD56-CD9F4D4AB80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74A-4A0A-BE90-BF3A9C88CA65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14C55F0A-F3CB-4FC6-BE19-49BC7C994C0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74A-4A0A-BE90-BF3A9C88CA65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42A585B4-FCFF-4A0F-B85F-FA462C5715A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74A-4A0A-BE90-BF3A9C88CA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D6D1AA0-C2DA-4F9B-9441-AAB6D9ABF47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74A-4A0A-BE90-BF3A9C88CA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B74A-4A0A-BE90-BF3A9C88C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540846023099834"/>
              <c:y val="0.9154298604477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490477469929604E-2"/>
              <c:y val="0.4249960569560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650902139540111"/>
          <c:y val="0.22903278037903188"/>
          <c:w val="0.22222961765865795"/>
          <c:h val="0.15574956836303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'FinFET_v97_Maxwell Garnet'!$E$18</c:f>
              <c:strCache>
                <c:ptCount val="1"/>
                <c:pt idx="0">
                  <c:v>VTH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8CB3BFC-D6F5-4232-9201-6036FA414A2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87-4DC2-BB42-7363457319BA}"/>
                </c:ext>
              </c:extLst>
            </c:dLbl>
            <c:dLbl>
              <c:idx val="1"/>
              <c:layout>
                <c:manualLayout>
                  <c:x val="-3.7379689544261623E-2"/>
                  <c:y val="-1.1082000403187174E-2"/>
                </c:manualLayout>
              </c:layout>
              <c:tx>
                <c:rich>
                  <a:bodyPr/>
                  <a:lstStyle/>
                  <a:p>
                    <a:fld id="{B997E916-8ACC-4EC6-8D3A-16F344C4861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687-4DC2-BB42-7363457319BA}"/>
                </c:ext>
              </c:extLst>
            </c:dLbl>
            <c:dLbl>
              <c:idx val="2"/>
              <c:layout>
                <c:manualLayout>
                  <c:x val="2.0314882188679377E-2"/>
                  <c:y val="7.6403404766982472E-2"/>
                </c:manualLayout>
              </c:layout>
              <c:tx>
                <c:rich>
                  <a:bodyPr/>
                  <a:lstStyle/>
                  <a:p>
                    <a:fld id="{2D4A192E-72DD-4BB5-9DD6-7373A99E9F8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687-4DC2-BB42-7363457319BA}"/>
                </c:ext>
              </c:extLst>
            </c:dLbl>
            <c:dLbl>
              <c:idx val="3"/>
              <c:layout>
                <c:manualLayout>
                  <c:x val="-3.2114065079422362E-2"/>
                  <c:y val="-0.11613936422540162"/>
                </c:manualLayout>
              </c:layout>
              <c:tx>
                <c:rich>
                  <a:bodyPr/>
                  <a:lstStyle/>
                  <a:p>
                    <a:fld id="{3931DD95-CF2B-40AD-8F9C-6BCE5B53766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687-4DC2-BB42-7363457319BA}"/>
                </c:ext>
              </c:extLst>
            </c:dLbl>
            <c:dLbl>
              <c:idx val="4"/>
              <c:layout>
                <c:manualLayout>
                  <c:x val="-2.0306130271778158E-2"/>
                  <c:y val="-0.15060226789961881"/>
                </c:manualLayout>
              </c:layout>
              <c:tx>
                <c:rich>
                  <a:bodyPr/>
                  <a:lstStyle/>
                  <a:p>
                    <a:fld id="{02C93381-C6A3-4BEA-A811-078779EB35D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687-4DC2-BB42-7363457319BA}"/>
                </c:ext>
              </c:extLst>
            </c:dLbl>
            <c:dLbl>
              <c:idx val="5"/>
              <c:layout>
                <c:manualLayout>
                  <c:x val="5.3437184925731991E-3"/>
                  <c:y val="-0.17928841416621291"/>
                </c:manualLayout>
              </c:layout>
              <c:tx>
                <c:rich>
                  <a:bodyPr/>
                  <a:lstStyle/>
                  <a:p>
                    <a:fld id="{B3BB780D-54A1-42F1-98A7-B8E920C2D76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687-4DC2-BB42-7363457319BA}"/>
                </c:ext>
              </c:extLst>
            </c:dLbl>
            <c:dLbl>
              <c:idx val="6"/>
              <c:layout>
                <c:manualLayout>
                  <c:x val="1.4962411779204958E-2"/>
                  <c:y val="-0.19363148729950996"/>
                </c:manualLayout>
              </c:layout>
              <c:tx>
                <c:rich>
                  <a:bodyPr/>
                  <a:lstStyle/>
                  <a:p>
                    <a:fld id="{8A9F403E-1FB5-4C56-854C-11694281D14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687-4DC2-BB42-7363457319BA}"/>
                </c:ext>
              </c:extLst>
            </c:dLbl>
            <c:dLbl>
              <c:idx val="7"/>
              <c:layout>
                <c:manualLayout>
                  <c:x val="2.4581105065836717E-2"/>
                  <c:y val="-0.13864970695520462"/>
                </c:manualLayout>
              </c:layout>
              <c:tx>
                <c:rich>
                  <a:bodyPr/>
                  <a:lstStyle/>
                  <a:p>
                    <a:fld id="{9574F6C2-E108-42EA-9CE3-8E7DDE6E3EF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687-4DC2-BB42-7363457319BA}"/>
                </c:ext>
              </c:extLst>
            </c:dLbl>
            <c:dLbl>
              <c:idx val="8"/>
              <c:layout>
                <c:manualLayout>
                  <c:x val="-1.4962411779204996E-2"/>
                  <c:y val="-7.4105877855367985E-2"/>
                </c:manualLayout>
              </c:layout>
              <c:tx>
                <c:rich>
                  <a:bodyPr/>
                  <a:lstStyle/>
                  <a:p>
                    <a:fld id="{5FF1221C-7B83-4FB7-A148-CEA8FA9D23F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687-4DC2-BB42-7363457319BA}"/>
                </c:ext>
              </c:extLst>
            </c:dLbl>
            <c:dLbl>
              <c:idx val="9"/>
              <c:layout>
                <c:manualLayout>
                  <c:x val="-1.0687436985146398E-2"/>
                  <c:y val="-9.0839463177547902E-2"/>
                </c:manualLayout>
              </c:layout>
              <c:tx>
                <c:rich>
                  <a:bodyPr/>
                  <a:lstStyle/>
                  <a:p>
                    <a:fld id="{330545C0-EBA8-455A-B147-5E80A9D5142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687-4DC2-BB42-7363457319BA}"/>
                </c:ext>
              </c:extLst>
            </c:dLbl>
            <c:dLbl>
              <c:idx val="10"/>
              <c:layout>
                <c:manualLayout>
                  <c:x val="1.4968305098172961E-2"/>
                  <c:y val="8.2358718929972638E-2"/>
                </c:manualLayout>
              </c:layout>
              <c:tx>
                <c:rich>
                  <a:bodyPr/>
                  <a:lstStyle/>
                  <a:p>
                    <a:fld id="{C11B2D89-CD57-464B-999F-949F93F69F7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687-4DC2-BB42-7363457319BA}"/>
                </c:ext>
              </c:extLst>
            </c:dLbl>
            <c:dLbl>
              <c:idx val="11"/>
              <c:layout>
                <c:manualLayout>
                  <c:x val="-2.2833869435726496E-2"/>
                  <c:y val="0.12731800786847938"/>
                </c:manualLayout>
              </c:layout>
              <c:tx>
                <c:rich>
                  <a:bodyPr/>
                  <a:lstStyle/>
                  <a:p>
                    <a:fld id="{91912123-9FCD-4B4F-B7AE-B217889B53B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687-4DC2-BB42-7363457319BA}"/>
                </c:ext>
              </c:extLst>
            </c:dLbl>
            <c:dLbl>
              <c:idx val="12"/>
              <c:layout>
                <c:manualLayout>
                  <c:x val="2.4540959962365688E-2"/>
                  <c:y val="0.10582211501229498"/>
                </c:manualLayout>
              </c:layout>
              <c:tx>
                <c:rich>
                  <a:bodyPr/>
                  <a:lstStyle/>
                  <a:p>
                    <a:fld id="{855CAEAC-A267-4AB1-B04C-465078F1E69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687-4DC2-BB42-7363457319BA}"/>
                </c:ext>
              </c:extLst>
            </c:dLbl>
            <c:dLbl>
              <c:idx val="13"/>
              <c:layout>
                <c:manualLayout>
                  <c:x val="-8.5351011073453616E-3"/>
                  <c:y val="-6.5988779509344841E-2"/>
                </c:manualLayout>
              </c:layout>
              <c:tx>
                <c:rich>
                  <a:bodyPr/>
                  <a:lstStyle/>
                  <a:p>
                    <a:fld id="{F1E69D3C-9A45-4ABD-8390-125B9055BD2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687-4DC2-BB42-7363457319B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E61D1E5-D157-4AD5-93D2-EF1256CAAE9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687-4DC2-BB42-7363457319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'FinFET_v97_Maxwell Garnet'!$L$18:$Z$18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0.72519999999999996</c:v>
                </c:pt>
                <c:pt idx="2">
                  <c:v>0.70120000000000005</c:v>
                </c:pt>
                <c:pt idx="3">
                  <c:v>0.73119999999999996</c:v>
                </c:pt>
                <c:pt idx="4">
                  <c:v>0.7631</c:v>
                </c:pt>
                <c:pt idx="5">
                  <c:v>0.76880000000000004</c:v>
                </c:pt>
                <c:pt idx="6">
                  <c:v>0.78169999999999995</c:v>
                </c:pt>
                <c:pt idx="7">
                  <c:v>0.80010000000000003</c:v>
                </c:pt>
                <c:pt idx="8">
                  <c:v>0.84470000000000001</c:v>
                </c:pt>
                <c:pt idx="9">
                  <c:v>0.84970000000000001</c:v>
                </c:pt>
                <c:pt idx="10">
                  <c:v>0.85799999999999998</c:v>
                </c:pt>
                <c:pt idx="11">
                  <c:v>0.8952</c:v>
                </c:pt>
                <c:pt idx="12">
                  <c:v>0.90269999999999995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Garnet'!$L$28:$Z$28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4687-4DC2-BB42-73634573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'FinFET_v97_Maxwell Garnet'!$F$18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4850328732995798E-2"/>
                  <c:y val="-2.9213512437978883E-2"/>
                </c:manualLayout>
              </c:layout>
              <c:tx>
                <c:rich>
                  <a:bodyPr/>
                  <a:lstStyle/>
                  <a:p>
                    <a:fld id="{2456F3B3-FF36-4677-B488-6FAEE93B06D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687-4DC2-BB42-7363457319BA}"/>
                </c:ext>
              </c:extLst>
            </c:dLbl>
            <c:dLbl>
              <c:idx val="1"/>
              <c:layout>
                <c:manualLayout>
                  <c:x val="7.5817463894363682E-2"/>
                  <c:y val="4.0527678682376764E-2"/>
                </c:manualLayout>
              </c:layout>
              <c:tx>
                <c:rich>
                  <a:bodyPr/>
                  <a:lstStyle/>
                  <a:p>
                    <a:fld id="{91730DEE-F044-401C-9670-EA5C547696D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687-4DC2-BB42-7363457319BA}"/>
                </c:ext>
              </c:extLst>
            </c:dLbl>
            <c:dLbl>
              <c:idx val="2"/>
              <c:layout>
                <c:manualLayout>
                  <c:x val="5.099398192967561E-3"/>
                  <c:y val="-9.1407623576608033E-2"/>
                </c:manualLayout>
              </c:layout>
              <c:tx>
                <c:rich>
                  <a:bodyPr/>
                  <a:lstStyle/>
                  <a:p>
                    <a:fld id="{2C4CC3F2-833A-4EE2-B9AC-75349A966BB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687-4DC2-BB42-7363457319BA}"/>
                </c:ext>
              </c:extLst>
            </c:dLbl>
            <c:dLbl>
              <c:idx val="3"/>
              <c:layout>
                <c:manualLayout>
                  <c:x val="1.721922734867597E-2"/>
                  <c:y val="-0.15113679668085425"/>
                </c:manualLayout>
              </c:layout>
              <c:tx>
                <c:rich>
                  <a:bodyPr/>
                  <a:lstStyle/>
                  <a:p>
                    <a:fld id="{2F881C8F-498E-412E-9886-F91B7A04666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687-4DC2-BB42-7363457319BA}"/>
                </c:ext>
              </c:extLst>
            </c:dLbl>
            <c:dLbl>
              <c:idx val="4"/>
              <c:layout>
                <c:manualLayout>
                  <c:x val="-6.7236542796299148E-2"/>
                  <c:y val="9.0371157292145093E-2"/>
                </c:manualLayout>
              </c:layout>
              <c:tx>
                <c:rich>
                  <a:bodyPr/>
                  <a:lstStyle/>
                  <a:p>
                    <a:fld id="{C45B851F-CC77-46B0-84D6-E047E71FEA0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687-4DC2-BB42-7363457319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4687-4DC2-BB42-73634573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V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TH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(V)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032650582673274"/>
              <c:y val="0.43509328771629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16128415040074"/>
          <c:y val="0.36613598008267201"/>
          <c:w val="0.22077868258013714"/>
          <c:h val="0.13127701869044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'FinFET_v97_Maxwell Garnet'!$F$18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0553B87-FB7D-441E-8B2B-8EE4C76720C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140-48C6-857C-3B5CDC2FCD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88DF61-39CC-476A-B07F-CA1C97C5F7E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140-48C6-857C-3B5CDC2FCD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069B79-DC32-41FD-9FB4-1127B98FA4E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140-48C6-857C-3B5CDC2FCD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E90576E-64C8-4B25-82FC-68729879187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140-48C6-857C-3B5CDC2FCD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C7939A-CDD3-4DB2-BFC3-55B890897CF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140-48C6-857C-3B5CDC2FCD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2655DE8-AAA4-44DD-BA11-33508B20AAA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140-48C6-857C-3B5CDC2FCD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46F7B01-13A8-40FA-8E5A-53795D5AE13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140-48C6-857C-3B5CDC2FCD5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625B85D-BB7C-45C2-8D5C-0D677AAD5A6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140-48C6-857C-3B5CDC2FCD5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0D11C1D-4755-49C6-A5E7-471EF4EEBEF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140-48C6-857C-3B5CDC2FCD5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6C4FFF5-36C5-4331-85D1-432F3C63B02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140-48C6-857C-3B5CDC2FCD5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6861386-452D-41DC-A7E1-35E1A5544F7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140-48C6-857C-3B5CDC2FCD5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03CB492-6295-4DBF-AD76-EA8F8BCA3A5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140-48C6-857C-3B5CDC2FCD5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6D176CB-D81E-4D90-AA06-74E546FA494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140-48C6-857C-3B5CDC2FCD5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54C1100-EB2A-468B-AF3C-03AD7AE0EB6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140-48C6-857C-3B5CDC2FCD5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3756D2A-BC25-44CE-BC24-6DDC579B377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140-48C6-857C-3B5CDC2FCD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Garnet'!$L$13:$Z$13</c:f>
              <c:numCache>
                <c:formatCode>0.0</c:formatCode>
                <c:ptCount val="15"/>
                <c:pt idx="0" formatCode="General">
                  <c:v>9</c:v>
                </c:pt>
                <c:pt idx="1">
                  <c:v>6.25</c:v>
                </c:pt>
                <c:pt idx="2">
                  <c:v>7.4666666666666659</c:v>
                </c:pt>
                <c:pt idx="3">
                  <c:v>6.8999999999999995</c:v>
                </c:pt>
                <c:pt idx="4">
                  <c:v>6.1166666666666671</c:v>
                </c:pt>
                <c:pt idx="5">
                  <c:v>5.8999999999999995</c:v>
                </c:pt>
                <c:pt idx="6">
                  <c:v>6.333333333333333</c:v>
                </c:pt>
                <c:pt idx="7">
                  <c:v>5.833333333333333</c:v>
                </c:pt>
                <c:pt idx="8">
                  <c:v>5.7</c:v>
                </c:pt>
                <c:pt idx="9">
                  <c:v>5.6333333333333329</c:v>
                </c:pt>
                <c:pt idx="10">
                  <c:v>5.416666666666667</c:v>
                </c:pt>
                <c:pt idx="11">
                  <c:v>4.5666666666666664</c:v>
                </c:pt>
                <c:pt idx="12">
                  <c:v>4.3500000000000005</c:v>
                </c:pt>
                <c:pt idx="13">
                  <c:v>3.7833333333333332</c:v>
                </c:pt>
                <c:pt idx="14" formatCode="General">
                  <c:v>3.5</c:v>
                </c:pt>
              </c:numCache>
            </c:numRef>
          </c:xVal>
          <c:yVal>
            <c:numRef>
              <c:f>'FinFET_v97_Maxwell Garnet'!$L$18:$Z$18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0.72519999999999996</c:v>
                </c:pt>
                <c:pt idx="2">
                  <c:v>0.70120000000000005</c:v>
                </c:pt>
                <c:pt idx="3">
                  <c:v>0.73119999999999996</c:v>
                </c:pt>
                <c:pt idx="4">
                  <c:v>0.7631</c:v>
                </c:pt>
                <c:pt idx="5">
                  <c:v>0.76880000000000004</c:v>
                </c:pt>
                <c:pt idx="6">
                  <c:v>0.78169999999999995</c:v>
                </c:pt>
                <c:pt idx="7">
                  <c:v>0.80010000000000003</c:v>
                </c:pt>
                <c:pt idx="8">
                  <c:v>0.84470000000000001</c:v>
                </c:pt>
                <c:pt idx="9">
                  <c:v>0.84970000000000001</c:v>
                </c:pt>
                <c:pt idx="10">
                  <c:v>0.85799999999999998</c:v>
                </c:pt>
                <c:pt idx="11">
                  <c:v>0.8952</c:v>
                </c:pt>
                <c:pt idx="12">
                  <c:v>0.90269999999999995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'FinFET_v97_Maxwell Garnet'!$L$28:$Z$28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D140-48C6-857C-3B5CDC2FC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'FinFET_v97_Maxwell Garnet'!$F$18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60D93E-DD2F-4BBF-96F8-E394968AEE3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140-48C6-857C-3B5CDC2FCD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EE804B-1770-4EAA-8A47-35DFF983AA5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140-48C6-857C-3B5CDC2FCD51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CCEB7EE8-381B-43D6-8C80-61722ACB355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140-48C6-857C-3B5CDC2FCD51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76BA99E6-4747-4BC3-AFF2-6E0C17D3F9F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140-48C6-857C-3B5CDC2FCD51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D89C28AE-1231-41B3-B327-185F1BE143E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140-48C6-857C-3B5CDC2FCD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'FinFET_v97_Maxwell Garnet'!$G$18:$K$18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D140-48C6-857C-3B5CDC2FC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FinFET_v9_Makale.in!$H$2</c:f>
              <c:strCache>
                <c:ptCount val="1"/>
                <c:pt idx="0">
                  <c:v>DIBL (mV/V)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FinFET_v9_Makale.in!$C$3:$C$7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FinFET_v9_Makale.in!$H$3:$H$7</c:f>
              <c:numCache>
                <c:formatCode>General</c:formatCode>
                <c:ptCount val="5"/>
                <c:pt idx="0">
                  <c:v>25.91</c:v>
                </c:pt>
                <c:pt idx="1">
                  <c:v>21.57</c:v>
                </c:pt>
                <c:pt idx="2">
                  <c:v>30</c:v>
                </c:pt>
                <c:pt idx="3">
                  <c:v>37.909999999999997</c:v>
                </c:pt>
                <c:pt idx="4">
                  <c:v>45.04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F-4678-ABE6-8D54A15A0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5172704586757"/>
          <c:y val="0.106499953946599"/>
          <c:w val="0.81678541668617222"/>
          <c:h val="0.741492753866033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'FinFET_v97_Maxwell Garnet'!$E$25</c:f>
              <c:strCache>
                <c:ptCount val="1"/>
                <c:pt idx="0">
                  <c:v>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0.10445722545159244"/>
                  <c:y val="-6.8206948913611898E-2"/>
                </c:manualLayout>
              </c:layout>
              <c:tx>
                <c:rich>
                  <a:bodyPr/>
                  <a:lstStyle/>
                  <a:p>
                    <a:fld id="{55AA3244-A47B-4CD2-B2EC-3738CE21CFC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4BA-4942-A1F8-92F27CE046A8}"/>
                </c:ext>
              </c:extLst>
            </c:dLbl>
            <c:dLbl>
              <c:idx val="1"/>
              <c:layout>
                <c:manualLayout>
                  <c:x val="-3.8065711445285866E-2"/>
                  <c:y val="4.202766959467695E-2"/>
                </c:manualLayout>
              </c:layout>
              <c:tx>
                <c:rich>
                  <a:bodyPr/>
                  <a:lstStyle/>
                  <a:p>
                    <a:fld id="{F7296466-98A2-4C6D-AF8E-74F642CED1B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4BA-4942-A1F8-92F27CE046A8}"/>
                </c:ext>
              </c:extLst>
            </c:dLbl>
            <c:dLbl>
              <c:idx val="2"/>
              <c:layout>
                <c:manualLayout>
                  <c:x val="-1.7302596111493571E-2"/>
                  <c:y val="-7.3548421790684881E-2"/>
                </c:manualLayout>
              </c:layout>
              <c:tx>
                <c:rich>
                  <a:bodyPr/>
                  <a:lstStyle/>
                  <a:p>
                    <a:fld id="{D626D764-1414-4186-B77C-E53B665FDA0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4BA-4942-A1F8-92F27CE046A8}"/>
                </c:ext>
              </c:extLst>
            </c:dLbl>
            <c:dLbl>
              <c:idx val="3"/>
              <c:layout>
                <c:manualLayout>
                  <c:x val="6.6294068481772333E-3"/>
                  <c:y val="-4.4654398944344413E-2"/>
                </c:manualLayout>
              </c:layout>
              <c:tx>
                <c:rich>
                  <a:bodyPr/>
                  <a:lstStyle/>
                  <a:p>
                    <a:fld id="{3B4A6362-9A4B-4655-9B4D-DA6D785F995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4BA-4942-A1F8-92F27CE046A8}"/>
                </c:ext>
              </c:extLst>
            </c:dLbl>
            <c:dLbl>
              <c:idx val="4"/>
              <c:layout>
                <c:manualLayout>
                  <c:x val="-3.2042133099523473E-2"/>
                  <c:y val="6.3041504392015474E-2"/>
                </c:manualLayout>
              </c:layout>
              <c:tx>
                <c:rich>
                  <a:bodyPr/>
                  <a:lstStyle/>
                  <a:p>
                    <a:fld id="{030EB568-1C7E-4738-A83C-6778A4923F2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4BA-4942-A1F8-92F27CE046A8}"/>
                </c:ext>
              </c:extLst>
            </c:dLbl>
            <c:dLbl>
              <c:idx val="5"/>
              <c:layout>
                <c:manualLayout>
                  <c:x val="-9.944110272265912E-3"/>
                  <c:y val="0.13133646748336578"/>
                </c:manualLayout>
              </c:layout>
              <c:tx>
                <c:rich>
                  <a:bodyPr/>
                  <a:lstStyle/>
                  <a:p>
                    <a:fld id="{CCE8BBE7-770B-4C5B-A529-90A6C2E0536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4BA-4942-A1F8-92F27CE046A8}"/>
                </c:ext>
              </c:extLst>
            </c:dLbl>
            <c:dLbl>
              <c:idx val="6"/>
              <c:layout>
                <c:manualLayout>
                  <c:x val="1.9240330875261755E-2"/>
                  <c:y val="-1.5760376098003893E-2"/>
                </c:manualLayout>
              </c:layout>
              <c:tx>
                <c:rich>
                  <a:bodyPr/>
                  <a:lstStyle/>
                  <a:p>
                    <a:fld id="{C9CB9AD1-7074-4795-B304-5EFAC12273C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4BA-4942-A1F8-92F27CE046A8}"/>
                </c:ext>
              </c:extLst>
            </c:dLbl>
            <c:dLbl>
              <c:idx val="7"/>
              <c:layout>
                <c:manualLayout>
                  <c:x val="-2.0763115333792284E-2"/>
                  <c:y val="0.11032263268602725"/>
                </c:manualLayout>
              </c:layout>
              <c:tx>
                <c:rich>
                  <a:bodyPr/>
                  <a:lstStyle/>
                  <a:p>
                    <a:fld id="{6C360218-1D42-45C7-A085-57D4CDB3E4E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4BA-4942-A1F8-92F27CE046A8}"/>
                </c:ext>
              </c:extLst>
            </c:dLbl>
            <c:dLbl>
              <c:idx val="8"/>
              <c:layout>
                <c:manualLayout>
                  <c:x val="-5.536830755677942E-2"/>
                  <c:y val="3.4147481545675006E-2"/>
                </c:manualLayout>
              </c:layout>
              <c:tx>
                <c:rich>
                  <a:bodyPr/>
                  <a:lstStyle/>
                  <a:p>
                    <a:fld id="{A188E58B-0D69-441E-97E5-1BF4B71D3D9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4BA-4942-A1F8-92F27CE046A8}"/>
                </c:ext>
              </c:extLst>
            </c:dLbl>
            <c:dLbl>
              <c:idx val="9"/>
              <c:layout>
                <c:manualLayout>
                  <c:x val="-3.1083044108784603E-2"/>
                  <c:y val="7.6175151140352143E-2"/>
                </c:manualLayout>
              </c:layout>
              <c:tx>
                <c:rich>
                  <a:bodyPr/>
                  <a:lstStyle/>
                  <a:p>
                    <a:fld id="{64307F80-3237-4A48-A641-2BDE8D66420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4BA-4942-A1F8-92F27CE046A8}"/>
                </c:ext>
              </c:extLst>
            </c:dLbl>
            <c:dLbl>
              <c:idx val="10"/>
              <c:layout>
                <c:manualLayout>
                  <c:x val="2.9167911130452157E-2"/>
                  <c:y val="9.718898593769057E-2"/>
                </c:manualLayout>
              </c:layout>
              <c:tx>
                <c:rich>
                  <a:bodyPr/>
                  <a:lstStyle/>
                  <a:p>
                    <a:fld id="{BC205EA1-02A9-4CB7-ADCD-D8419827C09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4BA-4942-A1F8-92F27CE046A8}"/>
                </c:ext>
              </c:extLst>
            </c:dLbl>
            <c:dLbl>
              <c:idx val="11"/>
              <c:layout>
                <c:manualLayout>
                  <c:x val="-3.4605192222987205E-2"/>
                  <c:y val="5.5161316343013626E-2"/>
                </c:manualLayout>
              </c:layout>
              <c:tx>
                <c:rich>
                  <a:bodyPr/>
                  <a:lstStyle/>
                  <a:p>
                    <a:fld id="{49AE7D73-FDFF-41DD-84A5-0FBA856D9CF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4BA-4942-A1F8-92F27CE046A8}"/>
                </c:ext>
              </c:extLst>
            </c:dLbl>
            <c:dLbl>
              <c:idx val="12"/>
              <c:layout>
                <c:manualLayout>
                  <c:x val="1.3842076889194792E-2"/>
                  <c:y val="7.6175151140352046E-2"/>
                </c:manualLayout>
              </c:layout>
              <c:tx>
                <c:rich>
                  <a:bodyPr/>
                  <a:lstStyle/>
                  <a:p>
                    <a:fld id="{4F28C9E2-5138-4B82-BD51-F108280EC7C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4BA-4942-A1F8-92F27CE046A8}"/>
                </c:ext>
              </c:extLst>
            </c:dLbl>
            <c:dLbl>
              <c:idx val="13"/>
              <c:layout>
                <c:manualLayout>
                  <c:x val="-4.3256490278733926E-2"/>
                  <c:y val="4.9907857643678895E-2"/>
                </c:manualLayout>
              </c:layout>
              <c:tx>
                <c:rich>
                  <a:bodyPr/>
                  <a:lstStyle/>
                  <a:p>
                    <a:fld id="{2297E45E-74AE-4FC0-8725-7ACA84A54E4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4BA-4942-A1F8-92F27CE046A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21AAEE6-9544-4ED7-82A5-8FC45DFCAD2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4BA-4942-A1F8-92F27CE04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'FinFET_v97_Maxwell Garnet'!$L$25:$Z$25</c:f>
              <c:numCache>
                <c:formatCode>0.00E+00</c:formatCode>
                <c:ptCount val="15"/>
                <c:pt idx="0">
                  <c:v>3.5498819279999998E-14</c:v>
                </c:pt>
                <c:pt idx="1">
                  <c:v>4.4236330220000001E-17</c:v>
                </c:pt>
                <c:pt idx="2">
                  <c:v>3.2885927990000001E-16</c:v>
                </c:pt>
                <c:pt idx="3">
                  <c:v>7.9159222519999996E-17</c:v>
                </c:pt>
                <c:pt idx="4">
                  <c:v>1.7175918300000001E-17</c:v>
                </c:pt>
                <c:pt idx="5">
                  <c:v>1.844024602E-17</c:v>
                </c:pt>
                <c:pt idx="6">
                  <c:v>4.7632356960000001E-17</c:v>
                </c:pt>
                <c:pt idx="7">
                  <c:v>2.8082815860000003E-17</c:v>
                </c:pt>
                <c:pt idx="8">
                  <c:v>1.9365883659999999E-17</c:v>
                </c:pt>
                <c:pt idx="9">
                  <c:v>6.4873805830000003E-18</c:v>
                </c:pt>
                <c:pt idx="10">
                  <c:v>8.3604322150000003E-18</c:v>
                </c:pt>
                <c:pt idx="11">
                  <c:v>1.049373011E-18</c:v>
                </c:pt>
                <c:pt idx="12">
                  <c:v>1.6351807910000001E-18</c:v>
                </c:pt>
                <c:pt idx="13">
                  <c:v>5.2241631520000003E-19</c:v>
                </c:pt>
                <c:pt idx="14">
                  <c:v>3.2121096930000001E-19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Garnet'!$L$28:$Z$28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74BA-4942-A1F8-92F27CE046A8}"/>
            </c:ext>
          </c:extLst>
        </c:ser>
        <c:ser>
          <c:idx val="0"/>
          <c:order val="1"/>
          <c:tx>
            <c:strRef>
              <c:f>'FinFET_v97_Maxwell Garnet'!$F$25</c:f>
              <c:strCache>
                <c:ptCount val="1"/>
                <c:pt idx="0">
                  <c:v>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3.5450122775407641E-2"/>
                  <c:y val="3.1964607407376763E-2"/>
                </c:manualLayout>
              </c:layout>
              <c:tx>
                <c:rich>
                  <a:bodyPr/>
                  <a:lstStyle/>
                  <a:p>
                    <a:fld id="{84F8E03D-C42E-4C99-86D3-E7283739536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4BA-4942-A1F8-92F27CE046A8}"/>
                </c:ext>
              </c:extLst>
            </c:dLbl>
            <c:dLbl>
              <c:idx val="1"/>
              <c:layout>
                <c:manualLayout>
                  <c:x val="9.839329677155775E-3"/>
                  <c:y val="-5.5543950145917918E-2"/>
                </c:manualLayout>
              </c:layout>
              <c:tx>
                <c:rich>
                  <a:bodyPr/>
                  <a:lstStyle/>
                  <a:p>
                    <a:fld id="{72F1FD3C-7B82-4E6B-B766-B9DB6048875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4BA-4942-A1F8-92F27CE046A8}"/>
                </c:ext>
              </c:extLst>
            </c:dLbl>
            <c:dLbl>
              <c:idx val="2"/>
              <c:layout>
                <c:manualLayout>
                  <c:x val="-2.2309753806240139E-2"/>
                  <c:y val="-0.11319424766955331"/>
                </c:manualLayout>
              </c:layout>
              <c:tx>
                <c:rich>
                  <a:bodyPr/>
                  <a:lstStyle/>
                  <a:p>
                    <a:fld id="{44E0B991-AF77-4E84-B442-674E3D37EA6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4BA-4942-A1F8-92F27CE046A8}"/>
                </c:ext>
              </c:extLst>
            </c:dLbl>
            <c:dLbl>
              <c:idx val="3"/>
              <c:layout>
                <c:manualLayout>
                  <c:x val="-5.3913254592443428E-3"/>
                  <c:y val="-7.715758928294425E-2"/>
                </c:manualLayout>
              </c:layout>
              <c:tx>
                <c:rich>
                  <a:bodyPr/>
                  <a:lstStyle/>
                  <a:p>
                    <a:fld id="{202EDFCB-5709-4B9C-B4F3-70AE65692D8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4BA-4942-A1F8-92F27CE046A8}"/>
                </c:ext>
              </c:extLst>
            </c:dLbl>
            <c:dLbl>
              <c:idx val="4"/>
              <c:layout>
                <c:manualLayout>
                  <c:x val="-2.0774099659517414E-2"/>
                  <c:y val="-4.7154541964982775E-2"/>
                </c:manualLayout>
              </c:layout>
              <c:tx>
                <c:rich>
                  <a:bodyPr/>
                  <a:lstStyle/>
                  <a:p>
                    <a:fld id="{EE3B8EC3-E852-4E81-9BF3-636E84B9FA1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4BA-4942-A1F8-92F27CE04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Garnet'!$G$25:$K$25</c:f>
              <c:numCache>
                <c:formatCode>0.00E+00</c:formatCode>
                <c:ptCount val="5"/>
                <c:pt idx="0">
                  <c:v>3.5498819279999998E-14</c:v>
                </c:pt>
                <c:pt idx="1">
                  <c:v>4.2785692460000002E-16</c:v>
                </c:pt>
                <c:pt idx="2">
                  <c:v>1.37294566E-17</c:v>
                </c:pt>
                <c:pt idx="3">
                  <c:v>6.9021704639999997E-18</c:v>
                </c:pt>
                <c:pt idx="4">
                  <c:v>3.2121096930000001E-19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74BA-4942-A1F8-92F27CE0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4838447122761"/>
              <c:y val="0.1285631711573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7E-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OFF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8749630358368164E-2"/>
              <c:y val="0.39129683903112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213016936046486"/>
          <c:y val="0.28581607516996183"/>
          <c:w val="0.18735572771321396"/>
          <c:h val="0.1475259917764065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'FinFET_v97_Maxwell Garnet'!$F$21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BABF8A4-E698-42F4-8D27-B08B2CAF38C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3C1-4F6C-8525-87B35BF85542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186AB42A-E2FC-41F7-96DE-C8EB52EA6DC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3C1-4F6C-8525-87B35BF85542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67BDB1E2-55D4-4E88-90CC-1C826567F44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3C1-4F6C-8525-87B35BF85542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D30FEDE0-F1F1-4CA0-91B5-AFF70B8C631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3C1-4F6C-8525-87B35BF85542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88937A56-F0E4-46FC-89F2-E169CADE932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3C1-4F6C-8525-87B35BF855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3C1-4F6C-8525-87B35BF85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'FinFET_v97_Maxwell Garnet'!$F$27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E51A23-9627-48D9-9D42-A9E76E6EC8C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E86-4186-A168-E97D5126E9F6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E3BF22BF-922E-4C1B-B2AB-8AD98C4AF35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E86-4186-A168-E97D5126E9F6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C9F407AD-A883-45D4-A370-F1AEC0C4D71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E86-4186-A168-E97D5126E9F6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5A6BC804-BA66-4429-844E-C709EC7950E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E86-4186-A168-E97D5126E9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CF64C60-CA48-4A07-8F89-4FE07599F17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E86-4186-A168-E97D5126E9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Garnet'!$G$24:$K$24</c:f>
              <c:numCache>
                <c:formatCode>0.00E+00</c:formatCode>
                <c:ptCount val="5"/>
                <c:pt idx="0">
                  <c:v>100000</c:v>
                </c:pt>
                <c:pt idx="1">
                  <c:v>10000000</c:v>
                </c:pt>
                <c:pt idx="2">
                  <c:v>1000000000</c:v>
                </c:pt>
                <c:pt idx="3">
                  <c:v>1000000000</c:v>
                </c:pt>
                <c:pt idx="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E86-4186-A168-E97D5126E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'FinFET_v97_Maxwell Garnet'!$F$26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1CD04B-1D64-4FEC-AA15-8C7DC6B7DDE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4A9-4FCE-8986-EB5767F42945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C24F1A7A-41ED-4D58-8BB5-10E99A9C570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4A9-4FCE-8986-EB5767F42945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25A27BAF-AEBF-4D71-B30C-B71BFB310F2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4A9-4FCE-8986-EB5767F42945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B4764985-DAC6-4F61-9ADD-D3F9D6AF196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4A9-4FCE-8986-EB5767F429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99B461-1AC8-4A56-B281-EB7F31422FC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4A9-4FCE-8986-EB5767F429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4A9-4FCE-8986-EB5767F4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'FinFET_v97_Maxwell Garnet'!$F$18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84063D0-210C-4AD5-ACA7-B22884DD1B8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C96-437D-A3DF-D3FA6DE7996C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33E3EAC0-4819-435D-9DB0-22688A5ACCF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C96-437D-A3DF-D3FA6DE7996C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14F7B2FB-C309-4469-9883-D4CFB549C84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C96-437D-A3DF-D3FA6DE7996C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7AB3AA72-4DBD-4C44-95CE-4C59BFF5D9B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C96-437D-A3DF-D3FA6DE799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B679F4-622F-47FC-BA26-DA2E6470605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C96-437D-A3DF-D3FA6DE79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C96-437D-A3DF-D3FA6DE7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'FinFET_v97_Maxwell Garnet'!$F$21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B7E6B00-67CE-40D9-91F8-8924334364A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E62-47BC-816F-6E85E59684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944F50-8141-41FF-99BB-94ED48EBD2B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E62-47BC-816F-6E85E596842D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ADA88B8C-4F88-4B7B-90BA-3E146C811A4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E62-47BC-816F-6E85E596842D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C7C4D51A-D9A1-420F-83E3-C84EBAD7CDD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E62-47BC-816F-6E85E596842D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E0E05CFE-DCFD-41D4-987F-B0758A110BE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E62-47BC-816F-6E85E5968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'FinFET_v97_Maxwell Garnet'!$G$21:$K$21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E62-47BC-816F-6E85E5968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'FinFET_v97_Maxwell Garnet'!$F$19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5C20D0F-8716-41A9-BC0A-0DBC3DA9D65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4A6-4768-B368-55EC06C793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F6B5C0-C518-4F41-AA22-B7DC88258B9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4A6-4768-B368-55EC06C7939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DBBC72E-DA73-46A6-911B-AC953F6E725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4A6-4768-B368-55EC06C7939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9310DC-EA62-4D2E-93CC-B05E92F5869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4A6-4768-B368-55EC06C7939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612280E-271D-480C-9090-6BDF7B687AA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4A6-4768-B368-55EC06C793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4A6-4768-B368-55EC06C7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'FinFET_v97_Maxwell Garnet'!$E$19</c:f>
              <c:strCache>
                <c:ptCount val="1"/>
                <c:pt idx="0">
                  <c:v>SS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795E1DF-09F2-472E-883F-F05316034CA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BB9-4246-9B43-B73DF1D13BD9}"/>
                </c:ext>
              </c:extLst>
            </c:dLbl>
            <c:dLbl>
              <c:idx val="1"/>
              <c:layout>
                <c:manualLayout>
                  <c:x val="-3.2785098412662007E-2"/>
                  <c:y val="4.933165503355829E-2"/>
                </c:manualLayout>
              </c:layout>
              <c:tx>
                <c:rich>
                  <a:bodyPr/>
                  <a:lstStyle/>
                  <a:p>
                    <a:fld id="{34D6F34F-CA43-4BDB-A703-542CB0264C3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BB9-4246-9B43-B73DF1D13BD9}"/>
                </c:ext>
              </c:extLst>
            </c:dLbl>
            <c:dLbl>
              <c:idx val="2"/>
              <c:layout>
                <c:manualLayout>
                  <c:x val="-2.1856732275107992E-2"/>
                  <c:y val="-4.6982528603388848E-2"/>
                </c:manualLayout>
              </c:layout>
              <c:tx>
                <c:rich>
                  <a:bodyPr/>
                  <a:lstStyle/>
                  <a:p>
                    <a:fld id="{CBA1ED1A-E003-4B2E-A3BE-553748C9D27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BB9-4246-9B43-B73DF1D13BD9}"/>
                </c:ext>
              </c:extLst>
            </c:dLbl>
            <c:dLbl>
              <c:idx val="3"/>
              <c:layout>
                <c:manualLayout>
                  <c:x val="0"/>
                  <c:y val="-8.2219425055930481E-2"/>
                </c:manualLayout>
              </c:layout>
              <c:tx>
                <c:rich>
                  <a:bodyPr/>
                  <a:lstStyle/>
                  <a:p>
                    <a:fld id="{1F316883-771B-47B6-82B4-93A4687651F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BB9-4246-9B43-B73DF1D13BD9}"/>
                </c:ext>
              </c:extLst>
            </c:dLbl>
            <c:dLbl>
              <c:idx val="4"/>
              <c:layout>
                <c:manualLayout>
                  <c:x val="-1.2749760493812996E-2"/>
                  <c:y val="6.8124666474913831E-2"/>
                </c:manualLayout>
              </c:layout>
              <c:tx>
                <c:rich>
                  <a:bodyPr/>
                  <a:lstStyle/>
                  <a:p>
                    <a:fld id="{A4CC86D9-D88B-4467-AA18-FE5746C37A6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BB9-4246-9B43-B73DF1D13BD9}"/>
                </c:ext>
              </c:extLst>
            </c:dLbl>
            <c:dLbl>
              <c:idx val="5"/>
              <c:layout>
                <c:manualLayout>
                  <c:x val="1.5682962736530467E-2"/>
                  <c:y val="7.5916848354706509E-2"/>
                </c:manualLayout>
              </c:layout>
              <c:tx>
                <c:rich>
                  <a:bodyPr/>
                  <a:lstStyle/>
                  <a:p>
                    <a:fld id="{06A0B68D-1C0B-47C0-80E4-FA80B641F9F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BB9-4246-9B43-B73DF1D13BD9}"/>
                </c:ext>
              </c:extLst>
            </c:dLbl>
            <c:dLbl>
              <c:idx val="6"/>
              <c:layout>
                <c:manualLayout>
                  <c:x val="3.3648791454586871E-3"/>
                  <c:y val="6.9153626932126039E-2"/>
                </c:manualLayout>
              </c:layout>
              <c:tx>
                <c:rich>
                  <a:bodyPr/>
                  <a:lstStyle/>
                  <a:p>
                    <a:fld id="{21C65DBE-EF86-4744-BC58-DAD5AEAC21E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BB9-4246-9B43-B73DF1D13BD9}"/>
                </c:ext>
              </c:extLst>
            </c:dLbl>
            <c:dLbl>
              <c:idx val="7"/>
              <c:layout>
                <c:manualLayout>
                  <c:x val="1.8213943562590026E-2"/>
                  <c:y val="2.8189517162033349E-2"/>
                </c:manualLayout>
              </c:layout>
              <c:tx>
                <c:rich>
                  <a:bodyPr/>
                  <a:lstStyle/>
                  <a:p>
                    <a:fld id="{C7BA2F51-D741-42BB-8CDF-FE0CF48BCFA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BB9-4246-9B43-B73DF1D13BD9}"/>
                </c:ext>
              </c:extLst>
            </c:dLbl>
            <c:dLbl>
              <c:idx val="8"/>
              <c:layout>
                <c:manualLayout>
                  <c:x val="-2.1856732275108027E-2"/>
                  <c:y val="0.10101243649728602"/>
                </c:manualLayout>
              </c:layout>
              <c:tx>
                <c:rich>
                  <a:bodyPr/>
                  <a:lstStyle/>
                  <a:p>
                    <a:fld id="{BA5B337F-27A7-4F99-B852-19F2F3F2B0B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BB9-4246-9B43-B73DF1D13BD9}"/>
                </c:ext>
              </c:extLst>
            </c:dLbl>
            <c:dLbl>
              <c:idx val="9"/>
              <c:layout>
                <c:manualLayout>
                  <c:x val="-1.6392549206330993E-2"/>
                  <c:y val="6.1077287184405415E-2"/>
                </c:manualLayout>
              </c:layout>
              <c:tx>
                <c:rich>
                  <a:bodyPr/>
                  <a:lstStyle/>
                  <a:p>
                    <a:fld id="{286EC3E8-0120-4411-B359-75910F705A9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BB9-4246-9B43-B73DF1D13BD9}"/>
                </c:ext>
              </c:extLst>
            </c:dLbl>
            <c:dLbl>
              <c:idx val="10"/>
              <c:layout>
                <c:manualLayout>
                  <c:x val="1.6392549206330993E-2"/>
                  <c:y val="6.3426413614574947E-2"/>
                </c:manualLayout>
              </c:layout>
              <c:tx>
                <c:rich>
                  <a:bodyPr/>
                  <a:lstStyle/>
                  <a:p>
                    <a:fld id="{F7BA0757-54C0-4035-93E2-D7EE02CCFEC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BB9-4246-9B43-B73DF1D13BD9}"/>
                </c:ext>
              </c:extLst>
            </c:dLbl>
            <c:dLbl>
              <c:idx val="11"/>
              <c:layout>
                <c:manualLayout>
                  <c:x val="-2.003533791884906E-2"/>
                  <c:y val="5.6379034324066615E-2"/>
                </c:manualLayout>
              </c:layout>
              <c:tx>
                <c:rich>
                  <a:bodyPr/>
                  <a:lstStyle/>
                  <a:p>
                    <a:fld id="{7F4FB312-5563-4917-9558-6722165BBDE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BB9-4246-9B43-B73DF1D13BD9}"/>
                </c:ext>
              </c:extLst>
            </c:dLbl>
            <c:dLbl>
              <c:idx val="12"/>
              <c:layout>
                <c:manualLayout>
                  <c:x val="2.5499520987625923E-2"/>
                  <c:y val="7.7521172195591598E-2"/>
                </c:manualLayout>
              </c:layout>
              <c:tx>
                <c:rich>
                  <a:bodyPr/>
                  <a:lstStyle/>
                  <a:p>
                    <a:fld id="{156273DD-7273-4B59-A65F-A5463FAE182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BB9-4246-9B43-B73DF1D13BD9}"/>
                </c:ext>
              </c:extLst>
            </c:dLbl>
            <c:dLbl>
              <c:idx val="13"/>
              <c:layout>
                <c:manualLayout>
                  <c:x val="-4.1892070193956854E-2"/>
                  <c:y val="6.3426413614574947E-2"/>
                </c:manualLayout>
              </c:layout>
              <c:tx>
                <c:rich>
                  <a:bodyPr/>
                  <a:lstStyle/>
                  <a:p>
                    <a:fld id="{BB6B2CC4-ACCF-4B69-A681-7942614804B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BB9-4246-9B43-B73DF1D13BD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0E3315E-0E9E-4685-9B66-F024BC078FD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BB9-4246-9B43-B73DF1D13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'FinFET_v97_Maxwell Garnet'!$L$19:$Z$19</c:f>
              <c:numCache>
                <c:formatCode>General</c:formatCode>
                <c:ptCount val="15"/>
                <c:pt idx="0">
                  <c:v>89.6</c:v>
                </c:pt>
                <c:pt idx="1">
                  <c:v>77.099999999999994</c:v>
                </c:pt>
                <c:pt idx="2">
                  <c:v>82.6</c:v>
                </c:pt>
                <c:pt idx="3">
                  <c:v>78.900000000000006</c:v>
                </c:pt>
                <c:pt idx="4">
                  <c:v>76.2</c:v>
                </c:pt>
                <c:pt idx="5">
                  <c:v>76.8</c:v>
                </c:pt>
                <c:pt idx="6">
                  <c:v>81.099999999999994</c:v>
                </c:pt>
                <c:pt idx="7">
                  <c:v>81.7</c:v>
                </c:pt>
                <c:pt idx="8">
                  <c:v>82</c:v>
                </c:pt>
                <c:pt idx="9">
                  <c:v>79</c:v>
                </c:pt>
                <c:pt idx="10">
                  <c:v>80.3</c:v>
                </c:pt>
                <c:pt idx="11">
                  <c:v>78.3</c:v>
                </c:pt>
                <c:pt idx="12">
                  <c:v>79.8</c:v>
                </c:pt>
                <c:pt idx="13">
                  <c:v>77</c:v>
                </c:pt>
                <c:pt idx="1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Garnet'!$L$28:$Z$28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2BB9-4246-9B43-B73DF1D1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'FinFET_v97_Maxwell Garnet'!$F$19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3641171246000693E-2"/>
                  <c:y val="-4.0873105572259469E-2"/>
                </c:manualLayout>
              </c:layout>
              <c:tx>
                <c:rich>
                  <a:bodyPr/>
                  <a:lstStyle/>
                  <a:p>
                    <a:fld id="{12744AA1-45B9-496E-9BDC-C800991D3C6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BB9-4246-9B43-B73DF1D13BD9}"/>
                </c:ext>
              </c:extLst>
            </c:dLbl>
            <c:dLbl>
              <c:idx val="1"/>
              <c:layout>
                <c:manualLayout>
                  <c:x val="1.3167881790248725E-2"/>
                  <c:y val="-4.9451696267995941E-2"/>
                </c:manualLayout>
              </c:layout>
              <c:tx>
                <c:rich>
                  <a:bodyPr/>
                  <a:lstStyle/>
                  <a:p>
                    <a:fld id="{3A07AD3E-4F5E-4357-8BB4-3A96BCB55EA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BB9-4246-9B43-B73DF1D13BD9}"/>
                </c:ext>
              </c:extLst>
            </c:dLbl>
            <c:dLbl>
              <c:idx val="2"/>
              <c:layout>
                <c:manualLayout>
                  <c:x val="-6.9869649478826699E-3"/>
                  <c:y val="-7.3756361456831829E-2"/>
                </c:manualLayout>
              </c:layout>
              <c:tx>
                <c:rich>
                  <a:bodyPr/>
                  <a:lstStyle/>
                  <a:p>
                    <a:fld id="{FD27687E-B11E-4C32-9D02-219886214F0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BB9-4246-9B43-B73DF1D13BD9}"/>
                </c:ext>
              </c:extLst>
            </c:dLbl>
            <c:dLbl>
              <c:idx val="3"/>
              <c:layout>
                <c:manualLayout>
                  <c:x val="1.0829801039757999E-2"/>
                  <c:y val="-4.5647061585301026E-2"/>
                </c:manualLayout>
              </c:layout>
              <c:tx>
                <c:rich>
                  <a:bodyPr/>
                  <a:lstStyle/>
                  <a:p>
                    <a:fld id="{D93C4450-A705-4D3F-A22E-2D36DA547BC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BB9-4246-9B43-B73DF1D13B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310957-62C7-4996-8DB0-8CB8A027839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BB9-4246-9B43-B73DF1D13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2BB9-4246-9B43-B73DF1D1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At val="3.9"/>
        <c:crossBetween val="midCat"/>
        <c:minorUnit val="1"/>
      </c:valAx>
      <c:valAx>
        <c:axId val="363195216"/>
        <c:scaling>
          <c:orientation val="minMax"/>
          <c:max val="90"/>
          <c:min val="7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SS (mV/decade)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2737627967246"/>
              <c:y val="0.3632886878245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  <c:majorUnit val="5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80705470406246"/>
          <c:y val="0.14705776471921889"/>
          <c:w val="0.23186483319188161"/>
          <c:h val="0.186311484991868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'FinFET_v97_Maxwell Garnet'!$F$18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6FBA09-F8C9-49D2-B511-F6F881B64A6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A5D-4854-942A-634D745D87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3A0348-6B2A-47F5-B0F0-934D2501A5C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A5D-4854-942A-634D745D87D4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6B663218-17F6-4D1C-858E-323E5A8C3F3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A5D-4854-942A-634D745D87D4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E4B4F3DD-2263-41AA-8B89-6829D30D87C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A5D-4854-942A-634D745D87D4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522D6575-89AB-46F5-A87B-06FC3454D10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A5D-4854-942A-634D745D8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'FinFET_v97_Maxwell Garnet'!$G$18:$K$18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A5D-4854-942A-634D745D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'FinFET_v97_Maxwell Garnet'!$E$27</c:f>
              <c:strCache>
                <c:ptCount val="1"/>
                <c:pt idx="0">
                  <c:v>ION/IOFF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439A199-1CFD-46EE-9F00-47E406C17C3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0D-4A90-9880-318A8BBB5778}"/>
                </c:ext>
              </c:extLst>
            </c:dLbl>
            <c:dLbl>
              <c:idx val="1"/>
              <c:layout>
                <c:manualLayout>
                  <c:x val="-2.0601754441209617E-2"/>
                  <c:y val="-4.6475084414488999E-2"/>
                </c:manualLayout>
              </c:layout>
              <c:tx>
                <c:rich>
                  <a:bodyPr/>
                  <a:lstStyle/>
                  <a:p>
                    <a:fld id="{0CB5D0F6-B22C-45DA-BC61-314593FF8E3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60D-4A90-9880-318A8BBB5778}"/>
                </c:ext>
              </c:extLst>
            </c:dLbl>
            <c:dLbl>
              <c:idx val="2"/>
              <c:layout>
                <c:manualLayout>
                  <c:x val="-1.4542414899677399E-2"/>
                  <c:y val="4.1827575973039974E-2"/>
                </c:manualLayout>
              </c:layout>
              <c:tx>
                <c:rich>
                  <a:bodyPr/>
                  <a:lstStyle/>
                  <a:p>
                    <a:fld id="{19103EDB-F3A2-45D0-9D87-95E6F76B7B9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60D-4A90-9880-318A8BBB5778}"/>
                </c:ext>
              </c:extLst>
            </c:dLbl>
            <c:dLbl>
              <c:idx val="3"/>
              <c:layout>
                <c:manualLayout>
                  <c:x val="1.3330546991370928E-2"/>
                  <c:y val="-4.2601668575170822E-17"/>
                </c:manualLayout>
              </c:layout>
              <c:tx>
                <c:rich>
                  <a:bodyPr/>
                  <a:lstStyle/>
                  <a:p>
                    <a:fld id="{D8774E4C-A6F2-468E-BD83-873AD928BF0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60D-4A90-9880-318A8BBB5778}"/>
                </c:ext>
              </c:extLst>
            </c:dLbl>
            <c:dLbl>
              <c:idx val="4"/>
              <c:layout>
                <c:manualLayout>
                  <c:x val="-2.3025490257822512E-2"/>
                  <c:y val="-6.2741363959560134E-2"/>
                </c:manualLayout>
              </c:layout>
              <c:tx>
                <c:rich>
                  <a:bodyPr/>
                  <a:lstStyle/>
                  <a:p>
                    <a:fld id="{77710648-32FE-452E-9032-3CEF6466B05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60D-4A90-9880-318A8BBB5778}"/>
                </c:ext>
              </c:extLst>
            </c:dLbl>
            <c:dLbl>
              <c:idx val="5"/>
              <c:layout>
                <c:manualLayout>
                  <c:x val="-7.271207449838688E-3"/>
                  <c:y val="-8.8302660387529014E-2"/>
                </c:manualLayout>
              </c:layout>
              <c:tx>
                <c:rich>
                  <a:bodyPr/>
                  <a:lstStyle/>
                  <a:p>
                    <a:fld id="{1A923FA5-614D-48C1-874D-7431B068FA0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60D-4A90-9880-318A8BBB57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149B831-7771-4021-8E16-30208C3F66D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60D-4A90-9880-318A8BBB5778}"/>
                </c:ext>
              </c:extLst>
            </c:dLbl>
            <c:dLbl>
              <c:idx val="7"/>
              <c:layout>
                <c:manualLayout>
                  <c:x val="0"/>
                  <c:y val="-7.2036380842457878E-2"/>
                </c:manualLayout>
              </c:layout>
              <c:tx>
                <c:rich>
                  <a:bodyPr/>
                  <a:lstStyle/>
                  <a:p>
                    <a:fld id="{91A871BA-4E2C-4091-92BC-8EDFED1E053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60D-4A90-9880-318A8BBB5778}"/>
                </c:ext>
              </c:extLst>
            </c:dLbl>
            <c:dLbl>
              <c:idx val="8"/>
              <c:layout>
                <c:manualLayout>
                  <c:x val="-2.1813622349516108E-2"/>
                  <c:y val="-6.5065118180284584E-2"/>
                </c:manualLayout>
              </c:layout>
              <c:tx>
                <c:rich>
                  <a:bodyPr/>
                  <a:lstStyle/>
                  <a:p>
                    <a:fld id="{BAA69920-2B8A-4EEC-AF2C-D9B1A7CDA6F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60D-4A90-9880-318A8BBB5778}"/>
                </c:ext>
              </c:extLst>
            </c:dLbl>
            <c:dLbl>
              <c:idx val="9"/>
              <c:layout>
                <c:manualLayout>
                  <c:x val="-2.5449226074435453E-2"/>
                  <c:y val="-8.3655151946080142E-2"/>
                </c:manualLayout>
              </c:layout>
              <c:tx>
                <c:rich>
                  <a:bodyPr/>
                  <a:lstStyle/>
                  <a:p>
                    <a:fld id="{7361EE4A-A42E-4861-90B7-58CA8F3EBC8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60D-4A90-9880-318A8BBB5778}"/>
                </c:ext>
              </c:extLst>
            </c:dLbl>
            <c:dLbl>
              <c:idx val="10"/>
              <c:layout>
                <c:manualLayout>
                  <c:x val="1.6966150716290273E-2"/>
                  <c:y val="-8.3655151946080142E-2"/>
                </c:manualLayout>
              </c:layout>
              <c:tx>
                <c:rich>
                  <a:bodyPr/>
                  <a:lstStyle/>
                  <a:p>
                    <a:fld id="{83614DB8-6CED-4305-B4D0-5A5DB7CC2CF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60D-4A90-9880-318A8BBB5778}"/>
                </c:ext>
              </c:extLst>
            </c:dLbl>
            <c:dLbl>
              <c:idx val="11"/>
              <c:layout>
                <c:manualLayout>
                  <c:x val="-3.0296697707661201E-2"/>
                  <c:y val="-6.0417609738835643E-2"/>
                </c:manualLayout>
              </c:layout>
              <c:tx>
                <c:rich>
                  <a:bodyPr/>
                  <a:lstStyle/>
                  <a:p>
                    <a:fld id="{F7D07137-11E6-48DF-AC1B-1C6A9ABEC66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60D-4A90-9880-318A8BBB5778}"/>
                </c:ext>
              </c:extLst>
            </c:dLbl>
            <c:dLbl>
              <c:idx val="12"/>
              <c:layout>
                <c:manualLayout>
                  <c:x val="1.2118679083064391E-2"/>
                  <c:y val="-4.1827575973040078E-2"/>
                </c:manualLayout>
              </c:layout>
              <c:tx>
                <c:rich>
                  <a:bodyPr/>
                  <a:lstStyle/>
                  <a:p>
                    <a:fld id="{A2F5A3BB-DABD-4C14-8DE0-7E5222AD971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60D-4A90-9880-318A8BBB5778}"/>
                </c:ext>
              </c:extLst>
            </c:dLbl>
            <c:dLbl>
              <c:idx val="13"/>
              <c:layout>
                <c:manualLayout>
                  <c:x val="7.2712074498385987E-3"/>
                  <c:y val="-7.2036380842457892E-2"/>
                </c:manualLayout>
              </c:layout>
              <c:tx>
                <c:rich>
                  <a:bodyPr/>
                  <a:lstStyle/>
                  <a:p>
                    <a:fld id="{05658403-CD95-4213-91CD-315B042C2FB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60D-4A90-9880-318A8BBB577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35A58B0-DBDA-4886-9B8D-0351841A083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60D-4A90-9880-318A8BBB5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Garnet'!$L$11:$Z$11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7.4374255065554236</c:v>
                </c:pt>
                <c:pt idx="2">
                  <c:v>7.7881996974281389</c:v>
                </c:pt>
                <c:pt idx="3">
                  <c:v>8.5168334849863516</c:v>
                </c:pt>
                <c:pt idx="4">
                  <c:v>9.4688922610015176</c:v>
                </c:pt>
                <c:pt idx="5">
                  <c:v>9.5430531096487172</c:v>
                </c:pt>
                <c:pt idx="6">
                  <c:v>11.50391061452514</c:v>
                </c:pt>
                <c:pt idx="7">
                  <c:v>12.404819277108432</c:v>
                </c:pt>
                <c:pt idx="8">
                  <c:v>19.317073170731707</c:v>
                </c:pt>
                <c:pt idx="9">
                  <c:v>21.233243967828418</c:v>
                </c:pt>
                <c:pt idx="10">
                  <c:v>21.609822646657573</c:v>
                </c:pt>
                <c:pt idx="11">
                  <c:v>33.559322033898312</c:v>
                </c:pt>
                <c:pt idx="12">
                  <c:v>34.509803921568626</c:v>
                </c:pt>
                <c:pt idx="13">
                  <c:v>55.578947368421055</c:v>
                </c:pt>
                <c:pt idx="14">
                  <c:v>80</c:v>
                </c:pt>
              </c:numCache>
            </c:numRef>
          </c:xVal>
          <c:yVal>
            <c:numRef>
              <c:f>'FinFET_v97_Maxwell Garnet'!$L$27:$Z$27</c:f>
              <c:numCache>
                <c:formatCode>0.00E+00</c:formatCode>
                <c:ptCount val="15"/>
                <c:pt idx="0">
                  <c:v>564673300</c:v>
                </c:pt>
                <c:pt idx="1">
                  <c:v>435573200000</c:v>
                </c:pt>
                <c:pt idx="2">
                  <c:v>57994100000</c:v>
                </c:pt>
                <c:pt idx="3">
                  <c:v>137177900000</c:v>
                </c:pt>
                <c:pt idx="4">
                  <c:v>1043995000000</c:v>
                </c:pt>
                <c:pt idx="5">
                  <c:v>968975100000</c:v>
                </c:pt>
                <c:pt idx="6">
                  <c:v>342691700000</c:v>
                </c:pt>
                <c:pt idx="7">
                  <c:v>670699500000</c:v>
                </c:pt>
                <c:pt idx="8">
                  <c:v>736092300000</c:v>
                </c:pt>
                <c:pt idx="9">
                  <c:v>1898009000000</c:v>
                </c:pt>
                <c:pt idx="10">
                  <c:v>1868277000000</c:v>
                </c:pt>
                <c:pt idx="11">
                  <c:v>15155030000000</c:v>
                </c:pt>
                <c:pt idx="12">
                  <c:v>8682320000000</c:v>
                </c:pt>
                <c:pt idx="13">
                  <c:v>28206590000000</c:v>
                </c:pt>
                <c:pt idx="14">
                  <c:v>42738920000000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Garnet'!$L$28:$Z$28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60D-4A90-9880-318A8BBB5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'FinFET_v97_Maxwell Garnet'!$F$27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0623915966760605E-2"/>
                  <c:y val="4.4902250981662204E-3"/>
                </c:manualLayout>
              </c:layout>
              <c:tx>
                <c:rich>
                  <a:bodyPr/>
                  <a:lstStyle/>
                  <a:p>
                    <a:fld id="{70651C3C-21DE-4207-8CD3-F2835C6E282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60D-4A90-9880-318A8BBB5778}"/>
                </c:ext>
              </c:extLst>
            </c:dLbl>
            <c:dLbl>
              <c:idx val="1"/>
              <c:layout>
                <c:manualLayout>
                  <c:x val="-8.4922006921955978E-3"/>
                  <c:y val="4.0412025883495899E-2"/>
                </c:manualLayout>
              </c:layout>
              <c:tx>
                <c:rich>
                  <a:bodyPr/>
                  <a:lstStyle/>
                  <a:p>
                    <a:fld id="{CE22D5E4-ED5A-4292-B562-77A81A3D001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60D-4A90-9880-318A8BBB5778}"/>
                </c:ext>
              </c:extLst>
            </c:dLbl>
            <c:dLbl>
              <c:idx val="2"/>
              <c:layout>
                <c:manualLayout>
                  <c:x val="0"/>
                  <c:y val="3.8166913334412911E-2"/>
                </c:manualLayout>
              </c:layout>
              <c:tx>
                <c:rich>
                  <a:bodyPr/>
                  <a:lstStyle/>
                  <a:p>
                    <a:fld id="{CFFDFF31-CE66-426C-AE01-B4EF0D876DF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60D-4A90-9880-318A8BBB5778}"/>
                </c:ext>
              </c:extLst>
            </c:dLbl>
            <c:dLbl>
              <c:idx val="3"/>
              <c:layout>
                <c:manualLayout>
                  <c:x val="9.7053722196520607E-3"/>
                  <c:y val="6.0618038825243935E-2"/>
                </c:manualLayout>
              </c:layout>
              <c:tx>
                <c:rich>
                  <a:bodyPr/>
                  <a:lstStyle/>
                  <a:p>
                    <a:fld id="{B3ADEA5D-BCF7-4596-AF30-C08DC6E1BDF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60D-4A90-9880-318A8BBB57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F786C75-8615-4C66-9B7E-50C77DF90D8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60D-4A90-9880-318A8BBB5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'FinFET_v97_Maxwell Garnet'!$G$14:$K$14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'FinFET_v97_Maxwell Garnet'!$G$27:$K$27</c:f>
              <c:numCache>
                <c:formatCode>0.00E+00</c:formatCode>
                <c:ptCount val="5"/>
                <c:pt idx="0">
                  <c:v>564673300</c:v>
                </c:pt>
                <c:pt idx="1">
                  <c:v>43707140000</c:v>
                </c:pt>
                <c:pt idx="2">
                  <c:v>853136200000</c:v>
                </c:pt>
                <c:pt idx="3">
                  <c:v>2063067000000</c:v>
                </c:pt>
                <c:pt idx="4">
                  <c:v>42738920000000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'FinFET_v97_Maxwell Garnet'!$G$28:$K$28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A60D-4A90-9880-318A8BBB5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Equivalent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>
                    <a:solidFill>
                      <a:schemeClr val="tx1"/>
                    </a:solidFill>
                  </a:rPr>
                  <a:t>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600">
                    <a:solidFill>
                      <a:schemeClr val="tx1"/>
                    </a:solidFill>
                  </a:rPr>
                  <a:t>/I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OFF</a:t>
                </a:r>
                <a:endParaRPr lang="en-US" sz="1600" baseline="-25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6737209825870442E-2"/>
              <c:y val="0.40106587390784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770738257785601"/>
          <c:y val="0.41006342628356185"/>
          <c:w val="0.22591204370595122"/>
          <c:h val="0.20796830452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FinFET_v9_Makale_Try_La2O3.in!$H$2</c:f>
              <c:strCache>
                <c:ptCount val="1"/>
                <c:pt idx="0">
                  <c:v>DIBL (mV/V)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FinFET_v9_Makale_Try_La2O3.in!$D$3:$D$8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FinFET_v9_Makale_Try_La2O3.in!$H$3:$H$8</c:f>
              <c:numCache>
                <c:formatCode>General</c:formatCode>
                <c:ptCount val="6"/>
                <c:pt idx="0">
                  <c:v>45.04</c:v>
                </c:pt>
                <c:pt idx="1">
                  <c:v>36.26</c:v>
                </c:pt>
                <c:pt idx="2">
                  <c:v>19.48</c:v>
                </c:pt>
                <c:pt idx="3">
                  <c:v>25.91</c:v>
                </c:pt>
                <c:pt idx="4">
                  <c:v>22.17</c:v>
                </c:pt>
                <c:pt idx="5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1-4002-BC8F-D2509BEA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6948454305553"/>
          <c:y val="0.1345369796342365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FinFET_v97_QTUNN_FN_SCHENK_BBT_!$E$21</c:f>
              <c:strCache>
                <c:ptCount val="1"/>
                <c:pt idx="0">
                  <c:v>DIBL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23-42BD-8786-22A61A26957D}"/>
              </c:ext>
            </c:extLst>
          </c:dPt>
          <c:dPt>
            <c:idx val="9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lg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tx1"/>
                </a:solidFill>
                <a:prstDash val="dashDot"/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A-0023-42BD-8786-22A61A26957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27B039C-3EEE-490A-98FF-4AE6B2A700B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023-42BD-8786-22A61A26957D}"/>
                </c:ext>
              </c:extLst>
            </c:dLbl>
            <c:dLbl>
              <c:idx val="1"/>
              <c:layout>
                <c:manualLayout>
                  <c:x val="2.777742381083434E-2"/>
                  <c:y val="-5.7293455098987409E-2"/>
                </c:manualLayout>
              </c:layout>
              <c:tx>
                <c:rich>
                  <a:bodyPr/>
                  <a:lstStyle/>
                  <a:p>
                    <a:fld id="{273EE89E-E347-4E26-B47A-3B279426732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023-42BD-8786-22A61A26957D}"/>
                </c:ext>
              </c:extLst>
            </c:dLbl>
            <c:dLbl>
              <c:idx val="2"/>
              <c:layout>
                <c:manualLayout>
                  <c:x val="-4.5588367511530489E-2"/>
                  <c:y val="-3.9624119195027924E-2"/>
                </c:manualLayout>
              </c:layout>
              <c:tx>
                <c:rich>
                  <a:bodyPr/>
                  <a:lstStyle/>
                  <a:p>
                    <a:fld id="{CD3A2CD1-1040-4322-AB9A-4846E74D6FE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023-42BD-8786-22A61A26957D}"/>
                </c:ext>
              </c:extLst>
            </c:dLbl>
            <c:dLbl>
              <c:idx val="3"/>
              <c:layout>
                <c:manualLayout>
                  <c:x val="-1.6447267482893001E-2"/>
                  <c:y val="3.9943368917463667E-2"/>
                </c:manualLayout>
              </c:layout>
              <c:tx>
                <c:rich>
                  <a:bodyPr/>
                  <a:lstStyle/>
                  <a:p>
                    <a:fld id="{BC753555-9D58-4DAE-ADDF-33798DB4F0C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023-42BD-8786-22A61A26957D}"/>
                </c:ext>
              </c:extLst>
            </c:dLbl>
            <c:dLbl>
              <c:idx val="4"/>
              <c:layout>
                <c:manualLayout>
                  <c:x val="-2.8081799939944567E-3"/>
                  <c:y val="-7.2136946486216366E-2"/>
                </c:manualLayout>
              </c:layout>
              <c:tx>
                <c:rich>
                  <a:bodyPr/>
                  <a:lstStyle/>
                  <a:p>
                    <a:fld id="{955DDBEF-7104-44D6-A2CB-1EF9C1628A3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023-42BD-8786-22A61A26957D}"/>
                </c:ext>
              </c:extLst>
            </c:dLbl>
            <c:dLbl>
              <c:idx val="5"/>
              <c:layout>
                <c:manualLayout>
                  <c:x val="-2.7664034179525093E-2"/>
                  <c:y val="4.3320695587105752E-2"/>
                </c:manualLayout>
              </c:layout>
              <c:tx>
                <c:rich>
                  <a:bodyPr/>
                  <a:lstStyle/>
                  <a:p>
                    <a:fld id="{AD723DD1-AEBB-4F45-B827-F2794BF9CFD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023-42BD-8786-22A61A26957D}"/>
                </c:ext>
              </c:extLst>
            </c:dLbl>
            <c:dLbl>
              <c:idx val="6"/>
              <c:layout>
                <c:manualLayout>
                  <c:x val="1.570028302351505E-2"/>
                  <c:y val="2.6443133122609555E-2"/>
                </c:manualLayout>
              </c:layout>
              <c:tx>
                <c:rich>
                  <a:bodyPr/>
                  <a:lstStyle/>
                  <a:p>
                    <a:fld id="{D82D4F4B-2E4F-4AE3-AD30-24FD709B136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023-42BD-8786-22A61A26957D}"/>
                </c:ext>
              </c:extLst>
            </c:dLbl>
            <c:dLbl>
              <c:idx val="7"/>
              <c:layout>
                <c:manualLayout>
                  <c:x val="-4.9551177312016428E-2"/>
                  <c:y val="4.0638098481931652E-2"/>
                </c:manualLayout>
              </c:layout>
              <c:tx>
                <c:rich>
                  <a:bodyPr/>
                  <a:lstStyle/>
                  <a:p>
                    <a:fld id="{4C69B895-9439-4E29-8C2D-B2784C226D8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023-42BD-8786-22A61A26957D}"/>
                </c:ext>
              </c:extLst>
            </c:dLbl>
            <c:dLbl>
              <c:idx val="8"/>
              <c:layout>
                <c:manualLayout>
                  <c:x val="-4.3300227411430581E-2"/>
                  <c:y val="2.0520329488629082E-2"/>
                </c:manualLayout>
              </c:layout>
              <c:tx>
                <c:rich>
                  <a:bodyPr/>
                  <a:lstStyle/>
                  <a:p>
                    <a:fld id="{37E6531A-0E61-49F0-A7E1-BAD68EA1BAA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023-42BD-8786-22A61A26957D}"/>
                </c:ext>
              </c:extLst>
            </c:dLbl>
            <c:dLbl>
              <c:idx val="9"/>
              <c:layout>
                <c:manualLayout>
                  <c:x val="-2.1589577919856693E-2"/>
                  <c:y val="-5.3365018701075712E-2"/>
                </c:manualLayout>
              </c:layout>
              <c:tx>
                <c:rich>
                  <a:bodyPr/>
                  <a:lstStyle/>
                  <a:p>
                    <a:fld id="{089F4711-95F7-4FEC-8047-BEECF237868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023-42BD-8786-22A61A26957D}"/>
                </c:ext>
              </c:extLst>
            </c:dLbl>
            <c:dLbl>
              <c:idx val="10"/>
              <c:layout>
                <c:manualLayout>
                  <c:x val="-3.3158661051970635E-2"/>
                  <c:y val="5.9215259776426499E-2"/>
                </c:manualLayout>
              </c:layout>
              <c:tx>
                <c:rich>
                  <a:bodyPr/>
                  <a:lstStyle/>
                  <a:p>
                    <a:fld id="{ADFB5059-6764-4666-B84F-5CE5F83E1A9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023-42BD-8786-22A61A26957D}"/>
                </c:ext>
              </c:extLst>
            </c:dLbl>
            <c:dLbl>
              <c:idx val="11"/>
              <c:layout>
                <c:manualLayout>
                  <c:x val="-3.4880738748096857E-2"/>
                  <c:y val="3.6480585757562807E-2"/>
                </c:manualLayout>
              </c:layout>
              <c:tx>
                <c:rich>
                  <a:bodyPr/>
                  <a:lstStyle/>
                  <a:p>
                    <a:fld id="{85CFAF3E-E968-435D-81F1-130008919D6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023-42BD-8786-22A61A26957D}"/>
                </c:ext>
              </c:extLst>
            </c:dLbl>
            <c:dLbl>
              <c:idx val="12"/>
              <c:layout>
                <c:manualLayout>
                  <c:x val="-2.5707674569800431E-3"/>
                  <c:y val="-6.1495336256122121E-2"/>
                </c:manualLayout>
              </c:layout>
              <c:tx>
                <c:rich>
                  <a:bodyPr/>
                  <a:lstStyle/>
                  <a:p>
                    <a:fld id="{FB0F2832-EDDA-41FB-8ACC-3D47C93E5A0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023-42BD-8786-22A61A26957D}"/>
                </c:ext>
              </c:extLst>
            </c:dLbl>
            <c:dLbl>
              <c:idx val="13"/>
              <c:layout>
                <c:manualLayout>
                  <c:x val="9.661712629855327E-3"/>
                  <c:y val="-8.1504017395556128E-2"/>
                </c:manualLayout>
              </c:layout>
              <c:tx>
                <c:rich>
                  <a:bodyPr/>
                  <a:lstStyle/>
                  <a:p>
                    <a:fld id="{DDDF8027-7052-481F-AB7F-6715F885938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023-42BD-8786-22A61A26957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FD582C7-612A-4CE0-8391-3FD2A82144E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023-42BD-8786-22A61A2695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FinFET_v97_QTUNN_FN_SCHENK_BBT_!$L$14:$Y$14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</c:numCache>
            </c:numRef>
          </c:xVal>
          <c:yVal>
            <c:numRef>
              <c:f>FinFET_v97_QTUNN_FN_SCHENK_BBT_!$L$21:$Z$21</c:f>
              <c:numCache>
                <c:formatCode>General</c:formatCode>
                <c:ptCount val="15"/>
                <c:pt idx="0">
                  <c:v>19.3</c:v>
                </c:pt>
                <c:pt idx="1">
                  <c:v>15.22</c:v>
                </c:pt>
                <c:pt idx="2">
                  <c:v>9.3000000000000007</c:v>
                </c:pt>
                <c:pt idx="3">
                  <c:v>8.43</c:v>
                </c:pt>
                <c:pt idx="4">
                  <c:v>9.83</c:v>
                </c:pt>
                <c:pt idx="5">
                  <c:v>8.6999999999999993</c:v>
                </c:pt>
                <c:pt idx="6">
                  <c:v>12.52</c:v>
                </c:pt>
                <c:pt idx="7">
                  <c:v>9.48</c:v>
                </c:pt>
                <c:pt idx="8">
                  <c:v>8.8699999999999992</c:v>
                </c:pt>
                <c:pt idx="9">
                  <c:v>12.7</c:v>
                </c:pt>
                <c:pt idx="10">
                  <c:v>9.74</c:v>
                </c:pt>
                <c:pt idx="11">
                  <c:v>6.17</c:v>
                </c:pt>
                <c:pt idx="12">
                  <c:v>6.43</c:v>
                </c:pt>
                <c:pt idx="13">
                  <c:v>5.48</c:v>
                </c:pt>
                <c:pt idx="1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0023-42BD-8786-22A61A26957D}"/>
            </c:ext>
          </c:extLst>
        </c:ser>
        <c:ser>
          <c:idx val="0"/>
          <c:order val="0"/>
          <c:tx>
            <c:strRef>
              <c:f>FinFET_v97_QTUNN_FN_SCHENK_BBT_!$F$21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2858758167885216E-2"/>
                  <c:y val="-2.756138194649909E-2"/>
                </c:manualLayout>
              </c:layout>
              <c:tx>
                <c:rich>
                  <a:bodyPr/>
                  <a:lstStyle/>
                  <a:p>
                    <a:fld id="{9FC6D144-9851-441E-86E2-4C8D39A4E78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023-42BD-8786-22A61A26957D}"/>
                </c:ext>
              </c:extLst>
            </c:dLbl>
            <c:dLbl>
              <c:idx val="1"/>
              <c:layout>
                <c:manualLayout>
                  <c:x val="-4.9717783712455894E-2"/>
                  <c:y val="4.5489437408685732E-2"/>
                </c:manualLayout>
              </c:layout>
              <c:tx>
                <c:rich>
                  <a:bodyPr/>
                  <a:lstStyle/>
                  <a:p>
                    <a:fld id="{E840E6FF-FAF6-4D52-B72B-C54AEE50BFA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023-42BD-8786-22A61A26957D}"/>
                </c:ext>
              </c:extLst>
            </c:dLbl>
            <c:dLbl>
              <c:idx val="2"/>
              <c:layout>
                <c:manualLayout>
                  <c:x val="-1.1892628500384878E-2"/>
                  <c:y val="9.4499444074141348E-2"/>
                </c:manualLayout>
              </c:layout>
              <c:tx>
                <c:rich>
                  <a:bodyPr/>
                  <a:lstStyle/>
                  <a:p>
                    <a:fld id="{3A109AD3-62B7-42A2-B30E-73594C1DC07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023-42BD-8786-22A61A26957D}"/>
                </c:ext>
              </c:extLst>
            </c:dLbl>
            <c:dLbl>
              <c:idx val="3"/>
              <c:layout>
                <c:manualLayout>
                  <c:x val="1.8995514875990965E-2"/>
                  <c:y val="6.0619244152882792E-2"/>
                </c:manualLayout>
              </c:layout>
              <c:tx>
                <c:rich>
                  <a:bodyPr/>
                  <a:lstStyle/>
                  <a:p>
                    <a:fld id="{6EB886BF-853A-4E09-ABF8-868AAA568C7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023-42BD-8786-22A61A26957D}"/>
                </c:ext>
              </c:extLst>
            </c:dLbl>
            <c:dLbl>
              <c:idx val="4"/>
              <c:layout>
                <c:manualLayout>
                  <c:x val="-5.8672081283151515E-3"/>
                  <c:y val="-7.6311863093974974E-2"/>
                </c:manualLayout>
              </c:layout>
              <c:tx>
                <c:rich>
                  <a:bodyPr/>
                  <a:lstStyle/>
                  <a:p>
                    <a:fld id="{4994294E-7A07-4CB9-9FBF-AF479399E38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023-42BD-8786-22A61A2695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0023-42BD-8786-22A61A269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400" b="1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8718463209510626"/>
              <c:y val="0.91470285049687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Drain Induced Barrier Lowering  - DIBL  (mV/V)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686350891075122"/>
              <c:y val="0.18281632624572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817193040922003"/>
          <c:y val="9.5680339412281629E-2"/>
          <c:w val="0.22813212863322893"/>
          <c:h val="0.2048447185582727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268307273705989"/>
          <c:y val="0.1458296647758863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FinFET_v97_QTUNN_FN_SCHENK_BBT_!$F$24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01781F1-5ED1-41C4-A0C8-74930361825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0BD-4C03-8A69-72D980C9E6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EE12F4-3AB7-4E19-9717-3F8D4F5AE63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BD-4C03-8A69-72D980C9E6C5}"/>
                </c:ext>
              </c:extLst>
            </c:dLbl>
            <c:dLbl>
              <c:idx val="2"/>
              <c:layout>
                <c:manualLayout>
                  <c:x val="-4.9913391749905871E-3"/>
                  <c:y val="3.9074645785349707E-2"/>
                </c:manualLayout>
              </c:layout>
              <c:tx>
                <c:rich>
                  <a:bodyPr/>
                  <a:lstStyle/>
                  <a:p>
                    <a:fld id="{BE81456D-8351-418C-B724-F09DF81CB7C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0BD-4C03-8A69-72D980C9E6C5}"/>
                </c:ext>
              </c:extLst>
            </c:dLbl>
            <c:dLbl>
              <c:idx val="3"/>
              <c:layout>
                <c:manualLayout>
                  <c:x val="1.4974017524971732E-2"/>
                  <c:y val="-0.12182095450726677"/>
                </c:manualLayout>
              </c:layout>
              <c:tx>
                <c:rich>
                  <a:bodyPr/>
                  <a:lstStyle/>
                  <a:p>
                    <a:fld id="{B9957819-DAE8-4A51-A78C-B747B0D07FB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0BD-4C03-8A69-72D980C9E6C5}"/>
                </c:ext>
              </c:extLst>
            </c:dLbl>
            <c:dLbl>
              <c:idx val="4"/>
              <c:layout>
                <c:manualLayout>
                  <c:x val="-3.1611814774940385E-2"/>
                  <c:y val="-5.9761222965828961E-2"/>
                </c:manualLayout>
              </c:layout>
              <c:tx>
                <c:rich>
                  <a:bodyPr/>
                  <a:lstStyle/>
                  <a:p>
                    <a:fld id="{00947B9E-0343-41A8-ADDC-B7A041B787F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0BD-4C03-8A69-72D980C9E6C5}"/>
                </c:ext>
              </c:extLst>
            </c:dLbl>
            <c:dLbl>
              <c:idx val="5"/>
              <c:layout>
                <c:manualLayout>
                  <c:x val="1.33102377999749E-2"/>
                  <c:y val="-9.4238851599961052E-2"/>
                </c:manualLayout>
              </c:layout>
              <c:tx>
                <c:rich>
                  <a:bodyPr/>
                  <a:lstStyle/>
                  <a:p>
                    <a:fld id="{40C2B37B-19F3-4407-94F3-585A45695D1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0BD-4C03-8A69-72D980C9E6C5}"/>
                </c:ext>
              </c:extLst>
            </c:dLbl>
            <c:dLbl>
              <c:idx val="6"/>
              <c:layout>
                <c:manualLayout>
                  <c:x val="-3.050227592671478E-17"/>
                  <c:y val="4.5970171512176042E-2"/>
                </c:manualLayout>
              </c:layout>
              <c:tx>
                <c:rich>
                  <a:bodyPr/>
                  <a:lstStyle/>
                  <a:p>
                    <a:fld id="{C878BB28-45A5-4434-AFBB-FAB1A55E9F7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0BD-4C03-8A69-72D980C9E6C5}"/>
                </c:ext>
              </c:extLst>
            </c:dLbl>
            <c:dLbl>
              <c:idx val="7"/>
              <c:layout>
                <c:manualLayout>
                  <c:x val="1.6637797249968319E-3"/>
                  <c:y val="-4.5970171512176125E-2"/>
                </c:manualLayout>
              </c:layout>
              <c:tx>
                <c:rich>
                  <a:bodyPr/>
                  <a:lstStyle/>
                  <a:p>
                    <a:fld id="{AB3275F1-979F-4FA4-A170-4C3AD77A152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0BD-4C03-8A69-72D980C9E6C5}"/>
                </c:ext>
              </c:extLst>
            </c:dLbl>
            <c:dLbl>
              <c:idx val="8"/>
              <c:layout>
                <c:manualLayout>
                  <c:x val="-5.656851064989335E-2"/>
                  <c:y val="-0.14250753168774599"/>
                </c:manualLayout>
              </c:layout>
              <c:tx>
                <c:rich>
                  <a:bodyPr/>
                  <a:lstStyle/>
                  <a:p>
                    <a:fld id="{CF774275-2C2B-4832-9768-6F4CB59157C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BD-4C03-8A69-72D980C9E6C5}"/>
                </c:ext>
              </c:extLst>
            </c:dLbl>
            <c:dLbl>
              <c:idx val="9"/>
              <c:layout>
                <c:manualLayout>
                  <c:x val="-3.1611814774940399E-2"/>
                  <c:y val="-6.435824011704662E-2"/>
                </c:manualLayout>
              </c:layout>
              <c:tx>
                <c:rich>
                  <a:bodyPr/>
                  <a:lstStyle/>
                  <a:p>
                    <a:fld id="{2A11194D-4A9A-4F21-8E47-1CBF01ECC25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BD-4C03-8A69-72D980C9E6C5}"/>
                </c:ext>
              </c:extLst>
            </c:dLbl>
            <c:dLbl>
              <c:idx val="10"/>
              <c:layout>
                <c:manualLayout>
                  <c:x val="-9.2187807455357644E-3"/>
                  <c:y val="-3.6818487682708852E-2"/>
                </c:manualLayout>
              </c:layout>
              <c:tx>
                <c:rich>
                  <a:bodyPr/>
                  <a:lstStyle/>
                  <a:p>
                    <a:fld id="{FCD0DEA4-9FF4-413E-9192-5B2F71C6068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BD-4C03-8A69-72D980C9E6C5}"/>
                </c:ext>
              </c:extLst>
            </c:dLbl>
            <c:dLbl>
              <c:idx val="11"/>
              <c:layout>
                <c:manualLayout>
                  <c:x val="3.1711545578414262E-2"/>
                  <c:y val="-8.1441975322336213E-2"/>
                </c:manualLayout>
              </c:layout>
              <c:tx>
                <c:rich>
                  <a:bodyPr/>
                  <a:lstStyle/>
                  <a:p>
                    <a:fld id="{C34F6E60-D985-46E9-BF97-345A0B691A2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BD-4C03-8A69-72D980C9E6C5}"/>
                </c:ext>
              </c:extLst>
            </c:dLbl>
            <c:dLbl>
              <c:idx val="12"/>
              <c:layout>
                <c:manualLayout>
                  <c:x val="-4.6585832299912144E-2"/>
                  <c:y val="-1.6089560029261644E-2"/>
                </c:manualLayout>
              </c:layout>
              <c:tx>
                <c:rich>
                  <a:bodyPr/>
                  <a:lstStyle/>
                  <a:p>
                    <a:fld id="{CB91C602-6247-42D9-BFCE-E6C07992E56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BD-4C03-8A69-72D980C9E6C5}"/>
                </c:ext>
              </c:extLst>
            </c:dLbl>
            <c:dLbl>
              <c:idx val="13"/>
              <c:layout>
                <c:manualLayout>
                  <c:x val="0"/>
                  <c:y val="-4.5970171512176104E-2"/>
                </c:manualLayout>
              </c:layout>
              <c:tx>
                <c:rich>
                  <a:bodyPr/>
                  <a:lstStyle/>
                  <a:p>
                    <a:fld id="{4F6343CF-9932-45BC-B52B-3EFC10860CF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0BD-4C03-8A69-72D980C9E6C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32FF8DE-915D-4FD0-8DAC-DE99BA1899F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0BD-4C03-8A69-72D980C9E6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FinFET_v97_QTUNN_FN_SCHENK_BBT_!$L$24:$Z$24</c:f>
              <c:numCache>
                <c:formatCode>0.00E+00</c:formatCode>
                <c:ptCount val="1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70BD-4C03-8A69-72D980C9E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FinFET_v97_QTUNN_FN_SCHENK_BBT_!$F$24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0A5C4C8-1FAD-4CC3-AC98-02F42643DE3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0BD-4C03-8A69-72D980C9E6C5}"/>
                </c:ext>
              </c:extLst>
            </c:dLbl>
            <c:dLbl>
              <c:idx val="1"/>
              <c:layout>
                <c:manualLayout>
                  <c:x val="1.7348375299447598E-2"/>
                  <c:y val="7.3671724471441723E-3"/>
                </c:manualLayout>
              </c:layout>
              <c:tx>
                <c:rich>
                  <a:bodyPr/>
                  <a:lstStyle/>
                  <a:p>
                    <a:fld id="{3E5CB7D7-CBAE-4B05-AD12-64F62E92AB9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0BD-4C03-8A69-72D980C9E6C5}"/>
                </c:ext>
              </c:extLst>
            </c:dLbl>
            <c:dLbl>
              <c:idx val="2"/>
              <c:layout>
                <c:manualLayout>
                  <c:x val="-2.3072170572269544E-2"/>
                  <c:y val="7.8191642043667325E-2"/>
                </c:manualLayout>
              </c:layout>
              <c:tx>
                <c:rich>
                  <a:bodyPr/>
                  <a:lstStyle/>
                  <a:p>
                    <a:fld id="{14B2BF41-FC24-4F1C-88AF-A0BAC28ED76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0BD-4C03-8A69-72D980C9E6C5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6AC2657E-1EEE-4716-9B5B-A8EE58B21F9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BD-4C03-8A69-72D980C9E6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D6CC37-24AF-498D-A16A-04F849A3022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BD-4C03-8A69-72D980C9E6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FinFET_v97_QTUNN_FN_SCHENK_BBT_!$G$24:$K$24</c:f>
              <c:numCache>
                <c:formatCode>0.00E+00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70BD-4C03-8A69-72D980C9E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FinFET_v97_QTUNN_FN_SCHENK_BBT_!$E$26</c:f>
              <c:strCache>
                <c:ptCount val="1"/>
                <c:pt idx="0">
                  <c:v>ION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E7E4B02-E6E6-4F5C-9AD3-088CAD4E08A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3B9-4D06-AB5B-326D0FDC8963}"/>
                </c:ext>
              </c:extLst>
            </c:dLbl>
            <c:dLbl>
              <c:idx val="1"/>
              <c:layout>
                <c:manualLayout>
                  <c:x val="-8.5053845949068212E-3"/>
                  <c:y val="-0.11517770449852452"/>
                </c:manualLayout>
              </c:layout>
              <c:tx>
                <c:rich>
                  <a:bodyPr/>
                  <a:lstStyle/>
                  <a:p>
                    <a:fld id="{F9D1D90E-28DF-4804-A0C1-1D9FA36D003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3B9-4D06-AB5B-326D0FDC8963}"/>
                </c:ext>
              </c:extLst>
            </c:dLbl>
            <c:dLbl>
              <c:idx val="2"/>
              <c:layout>
                <c:manualLayout>
                  <c:x val="-5.3080297025442653E-2"/>
                  <c:y val="3.9646750584910309E-2"/>
                </c:manualLayout>
              </c:layout>
              <c:tx>
                <c:rich>
                  <a:bodyPr/>
                  <a:lstStyle/>
                  <a:p>
                    <a:fld id="{B63467D9-8080-48F7-BB87-51A58FE315F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3B9-4D06-AB5B-326D0FDC8963}"/>
                </c:ext>
              </c:extLst>
            </c:dLbl>
            <c:dLbl>
              <c:idx val="3"/>
              <c:layout>
                <c:manualLayout>
                  <c:x val="2.8993677155244393E-2"/>
                  <c:y val="-6.9796359659771087E-2"/>
                </c:manualLayout>
              </c:layout>
              <c:tx>
                <c:rich>
                  <a:bodyPr/>
                  <a:lstStyle/>
                  <a:p>
                    <a:fld id="{042E133B-7529-4AE9-B64D-79BA8CE4DC4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3B9-4D06-AB5B-326D0FDC8963}"/>
                </c:ext>
              </c:extLst>
            </c:dLbl>
            <c:dLbl>
              <c:idx val="4"/>
              <c:layout>
                <c:manualLayout>
                  <c:x val="2.110674810181749E-2"/>
                  <c:y val="-0.10328885627368006"/>
                </c:manualLayout>
              </c:layout>
              <c:tx>
                <c:rich>
                  <a:bodyPr/>
                  <a:lstStyle/>
                  <a:p>
                    <a:fld id="{28EB4C0E-3F7C-460F-9F0B-5EC0BB71918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3B9-4D06-AB5B-326D0FDC8963}"/>
                </c:ext>
              </c:extLst>
            </c:dLbl>
            <c:dLbl>
              <c:idx val="5"/>
              <c:layout>
                <c:manualLayout>
                  <c:x val="8.6098375020285233E-3"/>
                  <c:y val="-6.9964870656806746E-2"/>
                </c:manualLayout>
              </c:layout>
              <c:tx>
                <c:rich>
                  <a:bodyPr/>
                  <a:lstStyle/>
                  <a:p>
                    <a:fld id="{4E196482-DB77-4DC2-B4E8-5C9014FB485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3B9-4D06-AB5B-326D0FDC8963}"/>
                </c:ext>
              </c:extLst>
            </c:dLbl>
            <c:dLbl>
              <c:idx val="6"/>
              <c:layout>
                <c:manualLayout>
                  <c:x val="2.1487481262620994E-2"/>
                  <c:y val="-1.2904588610973133E-2"/>
                </c:manualLayout>
              </c:layout>
              <c:tx>
                <c:rich>
                  <a:bodyPr/>
                  <a:lstStyle/>
                  <a:p>
                    <a:fld id="{0DA6A109-EED1-4924-9D81-AED42AFA482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3B9-4D06-AB5B-326D0FDC8963}"/>
                </c:ext>
              </c:extLst>
            </c:dLbl>
            <c:dLbl>
              <c:idx val="7"/>
              <c:layout>
                <c:manualLayout>
                  <c:x val="-3.0565639887039194E-2"/>
                  <c:y val="-8.9510421069357721E-2"/>
                </c:manualLayout>
              </c:layout>
              <c:tx>
                <c:rich>
                  <a:bodyPr/>
                  <a:lstStyle/>
                  <a:p>
                    <a:fld id="{04818C50-EC5A-4170-9DA6-223390538D6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3B9-4D06-AB5B-326D0FDC8963}"/>
                </c:ext>
              </c:extLst>
            </c:dLbl>
            <c:dLbl>
              <c:idx val="8"/>
              <c:layout>
                <c:manualLayout>
                  <c:x val="2.8810148598109951E-2"/>
                  <c:y val="-2.4980109362137331E-2"/>
                </c:manualLayout>
              </c:layout>
              <c:tx>
                <c:rich>
                  <a:bodyPr/>
                  <a:lstStyle/>
                  <a:p>
                    <a:fld id="{49B56D4D-79F8-4449-9F4C-946621D766C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3B9-4D06-AB5B-326D0FDC8963}"/>
                </c:ext>
              </c:extLst>
            </c:dLbl>
            <c:dLbl>
              <c:idx val="9"/>
              <c:layout>
                <c:manualLayout>
                  <c:x val="-2.7033142704447764E-2"/>
                  <c:y val="-3.9116774434781856E-2"/>
                </c:manualLayout>
              </c:layout>
              <c:tx>
                <c:rich>
                  <a:bodyPr/>
                  <a:lstStyle/>
                  <a:p>
                    <a:fld id="{66B09A6F-FA88-411A-874B-CF75B5A7162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3B9-4D06-AB5B-326D0FDC8963}"/>
                </c:ext>
              </c:extLst>
            </c:dLbl>
            <c:dLbl>
              <c:idx val="10"/>
              <c:layout>
                <c:manualLayout>
                  <c:x val="3.1790214354108962E-2"/>
                  <c:y val="-6.0814432582593621E-2"/>
                </c:manualLayout>
              </c:layout>
              <c:tx>
                <c:rich>
                  <a:bodyPr/>
                  <a:lstStyle/>
                  <a:p>
                    <a:fld id="{E7FC5090-3450-4677-B1C4-1378ACD9DC2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3B9-4D06-AB5B-326D0FDC8963}"/>
                </c:ext>
              </c:extLst>
            </c:dLbl>
            <c:dLbl>
              <c:idx val="11"/>
              <c:layout>
                <c:manualLayout>
                  <c:x val="-3.045865286428035E-3"/>
                  <c:y val="-9.8272126598737769E-2"/>
                </c:manualLayout>
              </c:layout>
              <c:tx>
                <c:rich>
                  <a:bodyPr/>
                  <a:lstStyle/>
                  <a:p>
                    <a:fld id="{114E4A11-35F2-4E5C-93B3-948EEE2EA1A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3B9-4D06-AB5B-326D0FDC8963}"/>
                </c:ext>
              </c:extLst>
            </c:dLbl>
            <c:dLbl>
              <c:idx val="12"/>
              <c:layout>
                <c:manualLayout>
                  <c:x val="0"/>
                  <c:y val="-6.7632708301579816E-2"/>
                </c:manualLayout>
              </c:layout>
              <c:tx>
                <c:rich>
                  <a:bodyPr/>
                  <a:lstStyle/>
                  <a:p>
                    <a:fld id="{FED6076F-9FCD-4631-9037-E39B8C33F94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3B9-4D06-AB5B-326D0FDC8963}"/>
                </c:ext>
              </c:extLst>
            </c:dLbl>
            <c:dLbl>
              <c:idx val="13"/>
              <c:layout>
                <c:manualLayout>
                  <c:x val="2.1524593755071308E-3"/>
                  <c:y val="-8.6290007143394937E-2"/>
                </c:manualLayout>
              </c:layout>
              <c:tx>
                <c:rich>
                  <a:bodyPr/>
                  <a:lstStyle/>
                  <a:p>
                    <a:fld id="{A6C3A213-FABB-40BE-8FA9-7B19A076AF0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3B9-4D06-AB5B-326D0FDC89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2AE0891-01AC-412D-A7B7-7149082CFD0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3B9-4D06-AB5B-326D0FDC89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FinFET_v97_QTUNN_FN_SCHENK_BBT_!$L$26:$Z$26</c:f>
              <c:numCache>
                <c:formatCode>0.00E+00</c:formatCode>
                <c:ptCount val="15"/>
                <c:pt idx="0">
                  <c:v>2.0045235509999999E-5</c:v>
                </c:pt>
                <c:pt idx="1">
                  <c:v>1.9071899419999999E-5</c:v>
                </c:pt>
                <c:pt idx="2">
                  <c:v>1.632321543E-5</c:v>
                </c:pt>
                <c:pt idx="3">
                  <c:v>1.8835130689999999E-5</c:v>
                </c:pt>
                <c:pt idx="4">
                  <c:v>1.425507866E-5</c:v>
                </c:pt>
                <c:pt idx="5">
                  <c:v>1.5619603890000002E-5</c:v>
                </c:pt>
                <c:pt idx="6">
                  <c:v>1.085889421E-5</c:v>
                </c:pt>
                <c:pt idx="7">
                  <c:v>1.786813879E-5</c:v>
                </c:pt>
                <c:pt idx="8">
                  <c:v>1.231310583E-5</c:v>
                </c:pt>
                <c:pt idx="9">
                  <c:v>1.9268158390000001E-5</c:v>
                </c:pt>
                <c:pt idx="10">
                  <c:v>1.7931580230000001E-5</c:v>
                </c:pt>
                <c:pt idx="11">
                  <c:v>1.4197163190000001E-5</c:v>
                </c:pt>
                <c:pt idx="12">
                  <c:v>1.590327458E-5</c:v>
                </c:pt>
                <c:pt idx="13">
                  <c:v>1.4735582659999999E-5</c:v>
                </c:pt>
                <c:pt idx="1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3B9-4D06-AB5B-326D0FDC8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FinFET_v97_QTUNN_FN_SCHENK_BBT_!$F$26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9.7423519103974534E-3"/>
                  <c:y val="-9.678775896072235E-2"/>
                </c:manualLayout>
              </c:layout>
              <c:tx>
                <c:rich>
                  <a:bodyPr/>
                  <a:lstStyle/>
                  <a:p>
                    <a:fld id="{F1BD34E4-FFA3-4C87-AB21-0B08300398E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3B9-4D06-AB5B-326D0FDC8963}"/>
                </c:ext>
              </c:extLst>
            </c:dLbl>
            <c:dLbl>
              <c:idx val="1"/>
              <c:layout>
                <c:manualLayout>
                  <c:x val="-6.7423087799511339E-2"/>
                  <c:y val="7.0468311866307656E-2"/>
                </c:manualLayout>
              </c:layout>
              <c:tx>
                <c:rich>
                  <a:bodyPr/>
                  <a:lstStyle/>
                  <a:p>
                    <a:fld id="{2F986207-3BE1-46CF-B491-794ED75B716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3B9-4D06-AB5B-326D0FDC8963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9254DC47-AA2C-40E6-AD36-B6A235957CF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3B9-4D06-AB5B-326D0FDC8963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C2E02649-C9C9-4437-929B-F7342695207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3B9-4D06-AB5B-326D0FDC89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B281B0-517F-4EFF-AB2A-06E99420CF0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3B9-4D06-AB5B-326D0FDC89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F3B9-4D06-AB5B-326D0FDC8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540846023099834"/>
              <c:y val="0.9154298604477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490477469929604E-2"/>
              <c:y val="0.4249960569560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621610005680863"/>
          <c:y val="0.13305140995384013"/>
          <c:w val="0.22222961765865795"/>
          <c:h val="0.15574956836303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FinFET_v97_QTUNN_FN_SCHENK_BBT_!$E$18</c:f>
              <c:strCache>
                <c:ptCount val="1"/>
                <c:pt idx="0">
                  <c:v>VTH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0E1132F-1F4A-416E-A8E7-13EBE365B30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F19-4375-B99F-EF5921DBB379}"/>
                </c:ext>
              </c:extLst>
            </c:dLbl>
            <c:dLbl>
              <c:idx val="1"/>
              <c:layout>
                <c:manualLayout>
                  <c:x val="2.0314882188679377E-2"/>
                  <c:y val="7.6403404766982472E-2"/>
                </c:manualLayout>
              </c:layout>
              <c:tx>
                <c:rich>
                  <a:bodyPr/>
                  <a:lstStyle/>
                  <a:p>
                    <a:fld id="{B5CA7A35-ABF2-4DC8-BE29-C7E92F1BBE3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F19-4375-B99F-EF5921DBB379}"/>
                </c:ext>
              </c:extLst>
            </c:dLbl>
            <c:dLbl>
              <c:idx val="2"/>
              <c:layout>
                <c:manualLayout>
                  <c:x val="3.3008135334189241E-3"/>
                  <c:y val="8.85347878853249E-2"/>
                </c:manualLayout>
              </c:layout>
              <c:tx>
                <c:rich>
                  <a:bodyPr/>
                  <a:lstStyle/>
                  <a:p>
                    <a:fld id="{17CC61DF-ED9D-407B-BD5D-6944292BE56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F19-4375-B99F-EF5921DBB379}"/>
                </c:ext>
              </c:extLst>
            </c:dLbl>
            <c:dLbl>
              <c:idx val="3"/>
              <c:layout>
                <c:manualLayout>
                  <c:x val="1.3979665713118679E-2"/>
                  <c:y val="8.0813050709992215E-2"/>
                </c:manualLayout>
              </c:layout>
              <c:tx>
                <c:rich>
                  <a:bodyPr/>
                  <a:lstStyle/>
                  <a:p>
                    <a:fld id="{255FECCC-9992-4724-A10C-7B1771ECFBD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F19-4375-B99F-EF5921DBB379}"/>
                </c:ext>
              </c:extLst>
            </c:dLbl>
            <c:dLbl>
              <c:idx val="4"/>
              <c:layout>
                <c:manualLayout>
                  <c:x val="2.0022420021718824E-2"/>
                  <c:y val="8.0241464036659021E-2"/>
                </c:manualLayout>
              </c:layout>
              <c:tx>
                <c:rich>
                  <a:bodyPr/>
                  <a:lstStyle/>
                  <a:p>
                    <a:fld id="{B0672BB9-CF46-4E2E-AF42-24CAC90679C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F19-4375-B99F-EF5921DBB379}"/>
                </c:ext>
              </c:extLst>
            </c:dLbl>
            <c:dLbl>
              <c:idx val="5"/>
              <c:layout>
                <c:manualLayout>
                  <c:x val="-3.3798487429035969E-2"/>
                  <c:y val="8.2358803374753972E-2"/>
                </c:manualLayout>
              </c:layout>
              <c:tx>
                <c:rich>
                  <a:bodyPr/>
                  <a:lstStyle/>
                  <a:p>
                    <a:fld id="{9BF84696-8F93-417F-881C-49F3279F2A5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F19-4375-B99F-EF5921DBB379}"/>
                </c:ext>
              </c:extLst>
            </c:dLbl>
            <c:dLbl>
              <c:idx val="6"/>
              <c:layout>
                <c:manualLayout>
                  <c:x val="-3.2114105873289472E-2"/>
                  <c:y val="5.0266395469995215E-2"/>
                </c:manualLayout>
              </c:layout>
              <c:tx>
                <c:rich>
                  <a:bodyPr/>
                  <a:lstStyle/>
                  <a:p>
                    <a:fld id="{924BFCF9-8075-442F-841B-3C29A6164BC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F19-4375-B99F-EF5921DBB379}"/>
                </c:ext>
              </c:extLst>
            </c:dLbl>
            <c:dLbl>
              <c:idx val="7"/>
              <c:layout>
                <c:manualLayout>
                  <c:x val="-1.3738920524954732E-2"/>
                  <c:y val="0.11493639531617944"/>
                </c:manualLayout>
              </c:layout>
              <c:tx>
                <c:rich>
                  <a:bodyPr/>
                  <a:lstStyle/>
                  <a:p>
                    <a:fld id="{8F28642E-EFEC-4F9E-BA98-FCB0D89C13D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F19-4375-B99F-EF5921DBB379}"/>
                </c:ext>
              </c:extLst>
            </c:dLbl>
            <c:dLbl>
              <c:idx val="8"/>
              <c:layout>
                <c:manualLayout>
                  <c:x val="-1.0687450222134182E-2"/>
                  <c:y val="0.10691804073760877"/>
                </c:manualLayout>
              </c:layout>
              <c:tx>
                <c:rich>
                  <a:bodyPr/>
                  <a:lstStyle/>
                  <a:p>
                    <a:fld id="{B117FAB7-9409-45C2-BC3B-2047EB9498C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F19-4375-B99F-EF5921DBB379}"/>
                </c:ext>
              </c:extLst>
            </c:dLbl>
            <c:dLbl>
              <c:idx val="9"/>
              <c:layout>
                <c:manualLayout>
                  <c:x val="-2.4657933559837492E-2"/>
                  <c:y val="7.5738462447040411E-2"/>
                </c:manualLayout>
              </c:layout>
              <c:tx>
                <c:rich>
                  <a:bodyPr/>
                  <a:lstStyle/>
                  <a:p>
                    <a:fld id="{1566684F-DCA2-439C-8721-5BB024CD002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F19-4375-B99F-EF5921DBB379}"/>
                </c:ext>
              </c:extLst>
            </c:dLbl>
            <c:dLbl>
              <c:idx val="10"/>
              <c:layout>
                <c:manualLayout>
                  <c:x val="1.361854793087274E-2"/>
                  <c:y val="3.2685262919425459E-2"/>
                </c:manualLayout>
              </c:layout>
              <c:tx>
                <c:rich>
                  <a:bodyPr/>
                  <a:lstStyle/>
                  <a:p>
                    <a:fld id="{F87552CB-CAD5-46EF-8D80-A37B8A1815C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F19-4375-B99F-EF5921DBB379}"/>
                </c:ext>
              </c:extLst>
            </c:dLbl>
            <c:dLbl>
              <c:idx val="11"/>
              <c:layout>
                <c:manualLayout>
                  <c:x val="2.4540959962365688E-2"/>
                  <c:y val="0.10582211501229498"/>
                </c:manualLayout>
              </c:layout>
              <c:tx>
                <c:rich>
                  <a:bodyPr/>
                  <a:lstStyle/>
                  <a:p>
                    <a:fld id="{7CA9274E-269E-473E-8EBE-B5976F5244F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F19-4375-B99F-EF5921DBB379}"/>
                </c:ext>
              </c:extLst>
            </c:dLbl>
            <c:dLbl>
              <c:idx val="12"/>
              <c:layout>
                <c:manualLayout>
                  <c:x val="-2.2833869435726496E-2"/>
                  <c:y val="0.12731800786847938"/>
                </c:manualLayout>
              </c:layout>
              <c:tx>
                <c:rich>
                  <a:bodyPr/>
                  <a:lstStyle/>
                  <a:p>
                    <a:fld id="{397034FE-B8FB-4C94-B089-1A162CC99B4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F19-4375-B99F-EF5921DBB379}"/>
                </c:ext>
              </c:extLst>
            </c:dLbl>
            <c:dLbl>
              <c:idx val="13"/>
              <c:layout>
                <c:manualLayout>
                  <c:x val="-8.5351011073453616E-3"/>
                  <c:y val="-6.5988779509344841E-2"/>
                </c:manualLayout>
              </c:layout>
              <c:tx>
                <c:rich>
                  <a:bodyPr/>
                  <a:lstStyle/>
                  <a:p>
                    <a:fld id="{FA41FD11-B9EC-4C2E-8A82-2015D4A7E9B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F19-4375-B99F-EF5921DBB37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BEABF5E-2984-4F0F-8E69-E74D782F6AD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F19-4375-B99F-EF5921DBB3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FinFET_v97_QTUNN_FN_SCHENK_BBT_!$L$18:$Z$18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0.78169999999999995</c:v>
                </c:pt>
                <c:pt idx="3">
                  <c:v>0.80010000000000003</c:v>
                </c:pt>
                <c:pt idx="4">
                  <c:v>0.84470000000000001</c:v>
                </c:pt>
                <c:pt idx="5">
                  <c:v>0.85799999999999998</c:v>
                </c:pt>
                <c:pt idx="6">
                  <c:v>0.73119999999999996</c:v>
                </c:pt>
                <c:pt idx="7">
                  <c:v>0.76880000000000004</c:v>
                </c:pt>
                <c:pt idx="8">
                  <c:v>0.84970000000000001</c:v>
                </c:pt>
                <c:pt idx="9">
                  <c:v>0.72519999999999996</c:v>
                </c:pt>
                <c:pt idx="10">
                  <c:v>0.7631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3F19-4375-B99F-EF5921DB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FinFET_v97_QTUNN_FN_SCHENK_BBT_!$F$18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4850328732995798E-2"/>
                  <c:y val="-2.9213512437978883E-2"/>
                </c:manualLayout>
              </c:layout>
              <c:tx>
                <c:rich>
                  <a:bodyPr/>
                  <a:lstStyle/>
                  <a:p>
                    <a:fld id="{A1518601-5B28-49E4-A9E5-9AC647BB3E9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F19-4375-B99F-EF5921DBB379}"/>
                </c:ext>
              </c:extLst>
            </c:dLbl>
            <c:dLbl>
              <c:idx val="1"/>
              <c:layout>
                <c:manualLayout>
                  <c:x val="-5.9881358701064515E-2"/>
                  <c:y val="-8.0056315529516225E-2"/>
                </c:manualLayout>
              </c:layout>
              <c:tx>
                <c:rich>
                  <a:bodyPr/>
                  <a:lstStyle/>
                  <a:p>
                    <a:fld id="{0C47E242-1754-450D-8B1A-C43DB29E5AA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F19-4375-B99F-EF5921DBB379}"/>
                </c:ext>
              </c:extLst>
            </c:dLbl>
            <c:dLbl>
              <c:idx val="2"/>
              <c:layout>
                <c:manualLayout>
                  <c:x val="5.099398192967561E-3"/>
                  <c:y val="-9.1407623576608033E-2"/>
                </c:manualLayout>
              </c:layout>
              <c:tx>
                <c:rich>
                  <a:bodyPr/>
                  <a:lstStyle/>
                  <a:p>
                    <a:fld id="{16E1DC35-25A4-4C79-A0DF-7DA0487EC88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F19-4375-B99F-EF5921DBB379}"/>
                </c:ext>
              </c:extLst>
            </c:dLbl>
            <c:dLbl>
              <c:idx val="3"/>
              <c:layout>
                <c:manualLayout>
                  <c:x val="1.721922734867597E-2"/>
                  <c:y val="-0.15113679668085425"/>
                </c:manualLayout>
              </c:layout>
              <c:tx>
                <c:rich>
                  <a:bodyPr/>
                  <a:lstStyle/>
                  <a:p>
                    <a:fld id="{D263C506-C5D6-4186-85F6-0BF3E7CB701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F19-4375-B99F-EF5921DBB379}"/>
                </c:ext>
              </c:extLst>
            </c:dLbl>
            <c:dLbl>
              <c:idx val="4"/>
              <c:layout>
                <c:manualLayout>
                  <c:x val="-6.7236542796299148E-2"/>
                  <c:y val="9.0371157292145093E-2"/>
                </c:manualLayout>
              </c:layout>
              <c:tx>
                <c:rich>
                  <a:bodyPr/>
                  <a:lstStyle/>
                  <a:p>
                    <a:fld id="{C98AEBE0-6F4D-4877-A201-E3BA2AC8636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F19-4375-B99F-EF5921DBB3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3F19-4375-B99F-EF5921DB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V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TH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(V)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032650582673274"/>
              <c:y val="0.43509328771629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23684434813521"/>
          <c:y val="0.59283374632527686"/>
          <c:w val="0.22077868258013714"/>
          <c:h val="0.13127701869044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FinFET_v97_QTUNN_FN_SCHENK_BBT_!$F$18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DBA0095-FA35-4683-91C0-B75D1B5B11B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6F1-4D62-AFC3-14227E39B3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9D6791-EEE3-41BA-B0D9-5D49D441B25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6F1-4D62-AFC3-14227E39B3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55ABCC-3F48-4F24-95F6-24A4936EF88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6F1-4D62-AFC3-14227E39B35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7D39C9-7AC9-4DCA-B6AE-FE5E2A8B330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6F1-4D62-AFC3-14227E39B35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D2DA73-7DC3-4DFA-8BBF-7A811BBFEDA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6F1-4D62-AFC3-14227E39B35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24A314F-F063-4DFB-A395-A031D87B1C0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6F1-4D62-AFC3-14227E39B35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033B56-1CC6-4FF8-BF06-AFCA47409CA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6F1-4D62-AFC3-14227E39B35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D9D9A23-A24B-4099-BFF7-DCFAD825457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6F1-4D62-AFC3-14227E39B35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2AD6E1D-5CD1-472F-9504-8FB8724FAFA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6F1-4D62-AFC3-14227E39B35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9C3568-8EDA-4A3A-ADAF-4E9C2C67DC2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6F1-4D62-AFC3-14227E39B35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466D20B-A6BD-4646-A699-318CBEF008B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6F1-4D62-AFC3-14227E39B35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E81830B-EBA2-4F7B-808B-98EFC0A01CD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6F1-4D62-AFC3-14227E39B35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2D7C1ED-5AC0-4960-8F65-BD8C002473A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6F1-4D62-AFC3-14227E39B35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5913A8B-E415-476A-9359-093F2AEF6B7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6F1-4D62-AFC3-14227E39B35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8A8A7EE-54DB-4C1E-876D-185ACCD4E7F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6F1-4D62-AFC3-14227E39B3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FinFET_v97_QTUNN_FN_SCHENK_BBT_!$L$13:$Z$13</c:f>
              <c:numCache>
                <c:formatCode>0.0</c:formatCode>
                <c:ptCount val="15"/>
                <c:pt idx="0" formatCode="General">
                  <c:v>9</c:v>
                </c:pt>
                <c:pt idx="1">
                  <c:v>7.4666666666666659</c:v>
                </c:pt>
                <c:pt idx="2">
                  <c:v>6.333333333333333</c:v>
                </c:pt>
                <c:pt idx="3">
                  <c:v>5.833333333333333</c:v>
                </c:pt>
                <c:pt idx="4">
                  <c:v>5.7</c:v>
                </c:pt>
                <c:pt idx="5">
                  <c:v>5.416666666666667</c:v>
                </c:pt>
                <c:pt idx="6">
                  <c:v>6.8999999999999995</c:v>
                </c:pt>
                <c:pt idx="7">
                  <c:v>5.8999999999999995</c:v>
                </c:pt>
                <c:pt idx="8">
                  <c:v>5.6333333333333329</c:v>
                </c:pt>
                <c:pt idx="9">
                  <c:v>6.25</c:v>
                </c:pt>
                <c:pt idx="10">
                  <c:v>6.1166666666666671</c:v>
                </c:pt>
                <c:pt idx="11">
                  <c:v>4.3500000000000005</c:v>
                </c:pt>
                <c:pt idx="12">
                  <c:v>4.5666666666666664</c:v>
                </c:pt>
                <c:pt idx="13">
                  <c:v>3.7833333333333332</c:v>
                </c:pt>
                <c:pt idx="14" formatCode="General">
                  <c:v>3.5</c:v>
                </c:pt>
              </c:numCache>
            </c:numRef>
          </c:xVal>
          <c:yVal>
            <c:numRef>
              <c:f>FinFET_v97_QTUNN_FN_SCHENK_BBT_!$L$18:$Z$18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0.78169999999999995</c:v>
                </c:pt>
                <c:pt idx="3">
                  <c:v>0.80010000000000003</c:v>
                </c:pt>
                <c:pt idx="4">
                  <c:v>0.84470000000000001</c:v>
                </c:pt>
                <c:pt idx="5">
                  <c:v>0.85799999999999998</c:v>
                </c:pt>
                <c:pt idx="6">
                  <c:v>0.73119999999999996</c:v>
                </c:pt>
                <c:pt idx="7">
                  <c:v>0.76880000000000004</c:v>
                </c:pt>
                <c:pt idx="8">
                  <c:v>0.84970000000000001</c:v>
                </c:pt>
                <c:pt idx="9">
                  <c:v>0.72519999999999996</c:v>
                </c:pt>
                <c:pt idx="10">
                  <c:v>0.7631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FinFET_v97_QTUNN_FN_SCHENK_BBT_!$L$29:$Z$29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C6F1-4D62-AFC3-14227E39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FinFET_v97_QTUNN_FN_SCHENK_BBT_!$F$18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229BD18-B4CC-4540-9CED-1C1123B05D1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6F1-4D62-AFC3-14227E39B3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156014-6DDD-4690-80E8-728EFF5829F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6F1-4D62-AFC3-14227E39B350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24BFAA2C-F7D0-46C7-94A6-67F2663A865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6F1-4D62-AFC3-14227E39B350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FE47245B-475C-4BAE-A929-FB4F122FB27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6F1-4D62-AFC3-14227E39B350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56C8CA7B-FE62-4DA9-AD0B-B97D3E18DAA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6F1-4D62-AFC3-14227E39B3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FinFET_v97_QTUNN_FN_SCHENK_BBT_!$G$18:$K$18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C6F1-4D62-AFC3-14227E39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5174684830204"/>
          <c:y val="0.11517060044906306"/>
          <c:w val="0.81678541668617222"/>
          <c:h val="0.74149275386603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FinFET_v97_QTUNN_FN_SCHENK_BBT_!$F$25</c:f>
              <c:strCache>
                <c:ptCount val="1"/>
                <c:pt idx="0">
                  <c:v>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6081942801307389E-2"/>
                  <c:y val="-3.0373513115715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SiO2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481-47DE-9A05-7570AC4FCE56}"/>
                </c:ext>
              </c:extLst>
            </c:dLbl>
            <c:dLbl>
              <c:idx val="1"/>
              <c:layout>
                <c:manualLayout>
                  <c:x val="9.839329677155775E-3"/>
                  <c:y val="-5.55439501459179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Al2O3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481-47DE-9A05-7570AC4FCE56}"/>
                </c:ext>
              </c:extLst>
            </c:dLbl>
            <c:dLbl>
              <c:idx val="2"/>
              <c:layout>
                <c:manualLayout>
                  <c:x val="-2.2309753806240139E-2"/>
                  <c:y val="-0.113194247669553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HfO2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481-47DE-9A05-7570AC4FCE56}"/>
                </c:ext>
              </c:extLst>
            </c:dLbl>
            <c:dLbl>
              <c:idx val="3"/>
              <c:layout>
                <c:manualLayout>
                  <c:x val="-5.3913254592443428E-3"/>
                  <c:y val="-7.7157589282944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La2O3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481-47DE-9A05-7570AC4FCE56}"/>
                </c:ext>
              </c:extLst>
            </c:dLbl>
            <c:dLbl>
              <c:idx val="4"/>
              <c:layout>
                <c:manualLayout>
                  <c:x val="-2.0774099659517414E-2"/>
                  <c:y val="-4.71545419649827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TiO2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481-47DE-9A05-7570AC4FCE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FinFET_v97_QTUNN_FN_SCHENK_BBT_!$G$25:$K$25</c:f>
              <c:numCache>
                <c:formatCode>0.00E+00</c:formatCode>
                <c:ptCount val="5"/>
                <c:pt idx="0">
                  <c:v>3.5499100140000001E-14</c:v>
                </c:pt>
                <c:pt idx="1">
                  <c:v>4.2756333009999998E-16</c:v>
                </c:pt>
                <c:pt idx="2">
                  <c:v>7.4843940040000001E-16</c:v>
                </c:pt>
                <c:pt idx="3">
                  <c:v>1.4999248239999999E-15</c:v>
                </c:pt>
                <c:pt idx="4">
                  <c:v>1.483032294E-14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81-47DE-9A05-7570AC4FCE56}"/>
            </c:ext>
          </c:extLst>
        </c:ser>
        <c:ser>
          <c:idx val="1"/>
          <c:order val="1"/>
          <c:tx>
            <c:strRef>
              <c:f>FinFET_v97_QTUNN_FN_SCHENK_BBT_!$E$25</c:f>
              <c:strCache>
                <c:ptCount val="1"/>
                <c:pt idx="0">
                  <c:v>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8081240460460514E-2"/>
                  <c:y val="-3.15691797216565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​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481-47DE-9A05-7570AC4FCE56}"/>
                </c:ext>
              </c:extLst>
            </c:dLbl>
            <c:dLbl>
              <c:idx val="1"/>
              <c:layout>
                <c:manualLayout>
                  <c:x val="-4.8152034686686364E-2"/>
                  <c:y val="4.35050133430280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481-47DE-9A05-7570AC4FCE56}"/>
                </c:ext>
              </c:extLst>
            </c:dLbl>
            <c:dLbl>
              <c:idx val="2"/>
              <c:layout>
                <c:manualLayout>
                  <c:x val="-3.3948327800041651E-2"/>
                  <c:y val="6.22752017668951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481-47DE-9A05-7570AC4FCE56}"/>
                </c:ext>
              </c:extLst>
            </c:dLbl>
            <c:dLbl>
              <c:idx val="3"/>
              <c:layout>
                <c:manualLayout>
                  <c:x val="1.646895577085631E-2"/>
                  <c:y val="2.14486935609542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481-47DE-9A05-7570AC4FCE56}"/>
                </c:ext>
              </c:extLst>
            </c:dLbl>
            <c:dLbl>
              <c:idx val="4"/>
              <c:layout>
                <c:manualLayout>
                  <c:x val="9.6673784469265903E-3"/>
                  <c:y val="7.031092330193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481-47DE-9A05-7570AC4FCE56}"/>
                </c:ext>
              </c:extLst>
            </c:dLbl>
            <c:dLbl>
              <c:idx val="5"/>
              <c:layout>
                <c:manualLayout>
                  <c:x val="-3.5722231100952503E-2"/>
                  <c:y val="6.68417859090454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3481-47DE-9A05-7570AC4FCE56}"/>
                </c:ext>
              </c:extLst>
            </c:dLbl>
            <c:dLbl>
              <c:idx val="6"/>
              <c:layout>
                <c:manualLayout>
                  <c:x val="-4.1347756313929757E-2"/>
                  <c:y val="3.21928932528579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481-47DE-9A05-7570AC4FCE56}"/>
                </c:ext>
              </c:extLst>
            </c:dLbl>
            <c:dLbl>
              <c:idx val="7"/>
              <c:layout>
                <c:manualLayout>
                  <c:x val="-9.944110272265912E-3"/>
                  <c:y val="0.131336467483365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481-47DE-9A05-7570AC4FCE56}"/>
                </c:ext>
              </c:extLst>
            </c:dLbl>
            <c:dLbl>
              <c:idx val="8"/>
              <c:layout>
                <c:manualLayout>
                  <c:x val="2.4233154117000222E-2"/>
                  <c:y val="-1.860428598371868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3481-47DE-9A05-7570AC4FCE56}"/>
                </c:ext>
              </c:extLst>
            </c:dLbl>
            <c:dLbl>
              <c:idx val="9"/>
              <c:layout>
                <c:manualLayout>
                  <c:x val="-3.8065711445285866E-2"/>
                  <c:y val="4.2027669594676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3481-47DE-9A05-7570AC4FCE56}"/>
                </c:ext>
              </c:extLst>
            </c:dLbl>
            <c:dLbl>
              <c:idx val="10"/>
              <c:layout>
                <c:manualLayout>
                  <c:x val="1.273657403225476E-2"/>
                  <c:y val="6.30415832731500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3481-47DE-9A05-7570AC4FCE56}"/>
                </c:ext>
              </c:extLst>
            </c:dLbl>
            <c:dLbl>
              <c:idx val="11"/>
              <c:layout>
                <c:manualLayout>
                  <c:x val="1.3842076889194792E-2"/>
                  <c:y val="7.61751511403520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3481-47DE-9A05-7570AC4FCE56}"/>
                </c:ext>
              </c:extLst>
            </c:dLbl>
            <c:dLbl>
              <c:idx val="12"/>
              <c:layout>
                <c:manualLayout>
                  <c:x val="-3.4605192222987205E-2"/>
                  <c:y val="5.51613163430136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3481-47DE-9A05-7570AC4FCE56}"/>
                </c:ext>
              </c:extLst>
            </c:dLbl>
            <c:dLbl>
              <c:idx val="13"/>
              <c:layout>
                <c:manualLayout>
                  <c:x val="-4.3256490278733926E-2"/>
                  <c:y val="4.99078576436788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3481-47DE-9A05-7570AC4FCE5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​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3481-47DE-9A05-7570AC4FCE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FinFET_v97_QTUNN_FN_SCHENK_BBT_!$L$25:$Z$25</c:f>
              <c:numCache>
                <c:formatCode>0.00E+00</c:formatCode>
                <c:ptCount val="15"/>
                <c:pt idx="0">
                  <c:v>3.5499100140000001E-14</c:v>
                </c:pt>
                <c:pt idx="1">
                  <c:v>3.2803418760000001E-16</c:v>
                </c:pt>
                <c:pt idx="2">
                  <c:v>2.2342132890000001E-17</c:v>
                </c:pt>
                <c:pt idx="3">
                  <c:v>1.3535978149999999E-16</c:v>
                </c:pt>
                <c:pt idx="4">
                  <c:v>7.4776230850000004E-16</c:v>
                </c:pt>
                <c:pt idx="5">
                  <c:v>1.0119630439999999E-15</c:v>
                </c:pt>
                <c:pt idx="6">
                  <c:v>3.716788569E-17</c:v>
                </c:pt>
                <c:pt idx="7">
                  <c:v>1.9312871429999999E-16</c:v>
                </c:pt>
                <c:pt idx="8">
                  <c:v>1.2531103650000001E-15</c:v>
                </c:pt>
                <c:pt idx="9">
                  <c:v>4.7144181870000002E-17</c:v>
                </c:pt>
                <c:pt idx="10">
                  <c:v>2.2839110080000001E-16</c:v>
                </c:pt>
                <c:pt idx="11">
                  <c:v>4.2920780240000002E-15</c:v>
                </c:pt>
                <c:pt idx="12">
                  <c:v>3.9813840200000001E-15</c:v>
                </c:pt>
                <c:pt idx="13">
                  <c:v>3.3363251519999998E-15</c:v>
                </c:pt>
                <c:pt idx="14">
                  <c:v>1.483032294E-14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481-47DE-9A05-7570AC4FC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4838447122761"/>
              <c:y val="0.1285631711573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7E-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OFF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8749630358368164E-2"/>
              <c:y val="0.39129683903112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577128985798769"/>
          <c:y val="0.22479036089000384"/>
          <c:w val="0.18427804698758082"/>
          <c:h val="9.936088303792628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FinFET_v97_QTUNN_FN_SCHENK_BBT_!$F$21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35F655E-ACCB-464A-8CDC-F628EB53028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3FE-4E6F-817B-6C6C20AF7257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F6A74741-711C-4BD2-9B8F-EEB31B810CA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FE-4E6F-817B-6C6C20AF7257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009DF5B0-5C7C-49A1-8216-1B8F7C8F331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3FE-4E6F-817B-6C6C20AF7257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68538E02-2CA7-4519-80FD-F88E9EB7C9D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3FE-4E6F-817B-6C6C20AF7257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3B48E33B-2798-48BB-9262-F6CF2B54F73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3FE-4E6F-817B-6C6C20AF72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3FE-4E6F-817B-6C6C20AF7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FinFET_v97_QTUNN_FN_SCHENK_BBT_!$F$27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92266AE-5F7A-43B3-894A-7E4526B8A1D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10F-40BD-8844-9EA75D7D5CBD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1F2B6304-C147-4997-8B84-1A54ACF4166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10F-40BD-8844-9EA75D7D5CBD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07A1B177-D7EE-4FBF-B54A-F6C5FEB878F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10F-40BD-8844-9EA75D7D5CBD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AB0852E8-22E5-4792-9397-9D541580707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10F-40BD-8844-9EA75D7D5CB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D85C1A1-94E7-403B-9D5E-5A0A90A35E8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10F-40BD-8844-9EA75D7D5C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FinFET_v97_QTUNN_FN_SCHENK_BBT_!$G$24:$K$24</c:f>
              <c:numCache>
                <c:formatCode>0.00E+00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10F-40BD-8844-9EA75D7D5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FinFET_v97_QTUNN_FN_SCHENK_BBT_!$F$26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C9FA136-3BC4-41B4-B4CE-46F13EFD12F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2B3-49F6-94A8-CE5086BB3367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6533762F-69E6-40F9-AD87-E44B1445B6C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B3-49F6-94A8-CE5086BB3367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DAD53FB2-EA2B-4435-A69C-F698736C9D8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2B3-49F6-94A8-CE5086BB3367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7DCB9397-ADDF-49B3-A17E-276074C8D60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2B3-49F6-94A8-CE5086BB33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6AE9009-EDC5-48CA-AEE6-5C5BFA1447F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2B3-49F6-94A8-CE5086BB33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2B3-49F6-94A8-CE5086BB3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FinFET_v97_QTUNN_FN_SCHENK_BBT_!$F$18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B348C4E-1AB8-48AE-8D90-55D1F24DF34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1B3-4940-8936-BC7743C9A4FC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D4FD702E-ED50-4B91-BFC1-C2F50C0DBFB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1B3-4940-8936-BC7743C9A4FC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7E83417F-1523-481E-BD7F-74A8987B7BA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1B3-4940-8936-BC7743C9A4FC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0E1F4271-6F6B-492F-94D7-9E556C2A209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1B3-4940-8936-BC7743C9A4F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CF7699-738A-47A7-9C33-CBD976489FC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1B3-4940-8936-BC7743C9A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31B3-4940-8936-BC7743C9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FinFET_v9_Makale_Try_La2O3.in!$I$2</c:f>
              <c:strCache>
                <c:ptCount val="1"/>
                <c:pt idx="0">
                  <c:v>Id_00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FinFET_v9_Makale_Try_La2O3.in!$D$3:$D$8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FinFET_v9_Makale_Try_La2O3.in!$I$3:$I$8</c:f>
              <c:numCache>
                <c:formatCode>0.00E+00</c:formatCode>
                <c:ptCount val="6"/>
                <c:pt idx="0">
                  <c:v>9.9999999999999998E-17</c:v>
                </c:pt>
                <c:pt idx="1">
                  <c:v>9.9999999999999998E-20</c:v>
                </c:pt>
                <c:pt idx="2">
                  <c:v>9.9999999999999991E-22</c:v>
                </c:pt>
                <c:pt idx="3">
                  <c:v>9.9999999999999991E-22</c:v>
                </c:pt>
                <c:pt idx="4">
                  <c:v>9.9999999999999991E-22</c:v>
                </c:pt>
                <c:pt idx="5">
                  <c:v>9.9999999999999996E-24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3-49F9-AEDD-987E923F9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ax val="1.0000000000000009E-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FinFET_v97_QTUNN_FN_SCHENK_BBT_!$F$21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7BDB40B-7F53-4FFF-93E6-03EC7FA4D86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91-45F2-9703-D68F1F1F5D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068EAE-0060-4B48-B2FD-0B8BB285FAD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91-45F2-9703-D68F1F1F5D72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041C9A35-E02B-417A-A6DF-9CB18B6980C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91-45F2-9703-D68F1F1F5D72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E8E1D46F-63C3-4E38-BF01-3F45CA1BCF0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F91-45F2-9703-D68F1F1F5D72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8BBC6A5A-1724-4850-9505-BA5B5D1E8EA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F91-45F2-9703-D68F1F1F5D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FinFET_v97_QTUNN_FN_SCHENK_BBT_!$G$21:$K$21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F91-45F2-9703-D68F1F1F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FinFET_v97_QTUNN_FN_SCHENK_BBT_!$F$19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A237175-1EE1-4CE2-86DC-9EE26023CC4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CCC-46E7-967A-9078B0F5B2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4B069C-A328-47E8-BDF4-C7C10BD7CF2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CCC-46E7-967A-9078B0F5B2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773A8A2-522B-421A-8588-335E071C3DE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CCC-46E7-967A-9078B0F5B2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A3B732-142F-4993-B913-5B0AD720CF4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CCC-46E7-967A-9078B0F5B2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24ECDA-0225-4DA6-B4A6-769B845251A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CCC-46E7-967A-9078B0F5B2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CCC-46E7-967A-9078B0F5B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FinFET_v97_QTUNN_FN_SCHENK_BBT_!$E$19</c:f>
              <c:strCache>
                <c:ptCount val="1"/>
                <c:pt idx="0">
                  <c:v>SS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  <a:prstDash val="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9591852-27BF-49C4-95CF-3986B685A16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371-4F82-BAEA-8C65B042C0AC}"/>
                </c:ext>
              </c:extLst>
            </c:dLbl>
            <c:dLbl>
              <c:idx val="1"/>
              <c:layout>
                <c:manualLayout>
                  <c:x val="-4.5122130639295661E-2"/>
                  <c:y val="2.5535953116128298E-2"/>
                </c:manualLayout>
              </c:layout>
              <c:tx>
                <c:rich>
                  <a:bodyPr/>
                  <a:lstStyle/>
                  <a:p>
                    <a:fld id="{542918AD-54E6-49FE-967F-11AB1B35FBB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71-4F82-BAEA-8C65B042C0AC}"/>
                </c:ext>
              </c:extLst>
            </c:dLbl>
            <c:dLbl>
              <c:idx val="2"/>
              <c:layout>
                <c:manualLayout>
                  <c:x val="-5.1815447776161434E-2"/>
                  <c:y val="5.5385792763946298E-2"/>
                </c:manualLayout>
              </c:layout>
              <c:tx>
                <c:rich>
                  <a:bodyPr/>
                  <a:lstStyle/>
                  <a:p>
                    <a:fld id="{168765FA-C90D-4CA8-A518-FF8C82F309B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371-4F82-BAEA-8C65B042C0AC}"/>
                </c:ext>
              </c:extLst>
            </c:dLbl>
            <c:dLbl>
              <c:idx val="3"/>
              <c:layout>
                <c:manualLayout>
                  <c:x val="-1.8969923366816795E-2"/>
                  <c:y val="8.225301271869058E-2"/>
                </c:manualLayout>
              </c:layout>
              <c:tx>
                <c:rich>
                  <a:bodyPr/>
                  <a:lstStyle/>
                  <a:p>
                    <a:fld id="{D7235117-39A0-410B-97AF-027700815AC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371-4F82-BAEA-8C65B042C0AC}"/>
                </c:ext>
              </c:extLst>
            </c:dLbl>
            <c:dLbl>
              <c:idx val="4"/>
              <c:layout>
                <c:manualLayout>
                  <c:x val="-3.9100641818983102E-3"/>
                  <c:y val="8.4514529540847441E-2"/>
                </c:manualLayout>
              </c:layout>
              <c:tx>
                <c:rich>
                  <a:bodyPr/>
                  <a:lstStyle/>
                  <a:p>
                    <a:fld id="{3631C77E-8876-4BCE-B640-40BDA86A7B2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371-4F82-BAEA-8C65B042C0AC}"/>
                </c:ext>
              </c:extLst>
            </c:dLbl>
            <c:dLbl>
              <c:idx val="5"/>
              <c:layout>
                <c:manualLayout>
                  <c:x val="-6.4356660510606303E-2"/>
                  <c:y val="3.9059223551347069E-2"/>
                </c:manualLayout>
              </c:layout>
              <c:tx>
                <c:rich>
                  <a:bodyPr/>
                  <a:lstStyle/>
                  <a:p>
                    <a:fld id="{6A50B6DC-A291-48FD-B037-44D4937D40A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371-4F82-BAEA-8C65B042C0AC}"/>
                </c:ext>
              </c:extLst>
            </c:dLbl>
            <c:dLbl>
              <c:idx val="6"/>
              <c:layout>
                <c:manualLayout>
                  <c:x val="-2.7625703954335046E-2"/>
                  <c:y val="4.0990833536721324E-2"/>
                </c:manualLayout>
              </c:layout>
              <c:tx>
                <c:rich>
                  <a:bodyPr/>
                  <a:lstStyle/>
                  <a:p>
                    <a:fld id="{557292B7-D9D0-46AA-9B64-632D2D198DD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371-4F82-BAEA-8C65B042C0AC}"/>
                </c:ext>
              </c:extLst>
            </c:dLbl>
            <c:dLbl>
              <c:idx val="7"/>
              <c:layout>
                <c:manualLayout>
                  <c:x val="-3.3047006105571812E-2"/>
                  <c:y val="6.7075843290251375E-2"/>
                </c:manualLayout>
              </c:layout>
              <c:tx>
                <c:rich>
                  <a:bodyPr/>
                  <a:lstStyle/>
                  <a:p>
                    <a:fld id="{02C4C5D7-E447-4B15-ABD3-4C6E864CE08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371-4F82-BAEA-8C65B042C0AC}"/>
                </c:ext>
              </c:extLst>
            </c:dLbl>
            <c:dLbl>
              <c:idx val="8"/>
              <c:layout>
                <c:manualLayout>
                  <c:x val="-3.7506322918129706E-2"/>
                  <c:y val="-2.6248871969594738E-2"/>
                </c:manualLayout>
              </c:layout>
              <c:tx>
                <c:rich>
                  <a:bodyPr/>
                  <a:lstStyle/>
                  <a:p>
                    <a:fld id="{569B64B4-65AC-4908-AFAF-27F663C4DCE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371-4F82-BAEA-8C65B042C0AC}"/>
                </c:ext>
              </c:extLst>
            </c:dLbl>
            <c:dLbl>
              <c:idx val="9"/>
              <c:layout>
                <c:manualLayout>
                  <c:x val="-3.2785098412662007E-2"/>
                  <c:y val="4.933165503355829E-2"/>
                </c:manualLayout>
              </c:layout>
              <c:tx>
                <c:rich>
                  <a:bodyPr/>
                  <a:lstStyle/>
                  <a:p>
                    <a:fld id="{191AB5DE-67F5-4573-9C0F-B80020AE72B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371-4F82-BAEA-8C65B042C0AC}"/>
                </c:ext>
              </c:extLst>
            </c:dLbl>
            <c:dLbl>
              <c:idx val="10"/>
              <c:layout>
                <c:manualLayout>
                  <c:x val="-1.2749760493812996E-2"/>
                  <c:y val="6.8124666474913831E-2"/>
                </c:manualLayout>
              </c:layout>
              <c:tx>
                <c:rich>
                  <a:bodyPr/>
                  <a:lstStyle/>
                  <a:p>
                    <a:fld id="{45489DAA-7744-462B-8CE7-A6A4E8C71EC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371-4F82-BAEA-8C65B042C0AC}"/>
                </c:ext>
              </c:extLst>
            </c:dLbl>
            <c:dLbl>
              <c:idx val="11"/>
              <c:layout>
                <c:manualLayout>
                  <c:x val="-1.375536331249618E-2"/>
                  <c:y val="9.7183024820124392E-2"/>
                </c:manualLayout>
              </c:layout>
              <c:tx>
                <c:rich>
                  <a:bodyPr/>
                  <a:lstStyle/>
                  <a:p>
                    <a:fld id="{CC43E34C-0EB0-45F7-9D9C-90038E324F9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371-4F82-BAEA-8C65B042C0AC}"/>
                </c:ext>
              </c:extLst>
            </c:dLbl>
            <c:dLbl>
              <c:idx val="12"/>
              <c:layout>
                <c:manualLayout>
                  <c:x val="-2.003533791884906E-2"/>
                  <c:y val="5.6379034324066615E-2"/>
                </c:manualLayout>
              </c:layout>
              <c:tx>
                <c:rich>
                  <a:bodyPr/>
                  <a:lstStyle/>
                  <a:p>
                    <a:fld id="{E503F70F-D035-4272-9B90-32C412725D3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371-4F82-BAEA-8C65B042C0AC}"/>
                </c:ext>
              </c:extLst>
            </c:dLbl>
            <c:dLbl>
              <c:idx val="13"/>
              <c:layout>
                <c:manualLayout>
                  <c:x val="-4.1892070193956854E-2"/>
                  <c:y val="6.3426413614574947E-2"/>
                </c:manualLayout>
              </c:layout>
              <c:tx>
                <c:rich>
                  <a:bodyPr/>
                  <a:lstStyle/>
                  <a:p>
                    <a:fld id="{3FC67399-85AC-4B10-893A-B0919803D82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371-4F82-BAEA-8C65B042C0A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AA4E83F-637F-4901-8619-697404B4D56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371-4F82-BAEA-8C65B042C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FinFET_v97_QTUNN_FN_SCHENK_BBT_!$L$19:$Z$19</c:f>
              <c:numCache>
                <c:formatCode>General</c:formatCode>
                <c:ptCount val="15"/>
                <c:pt idx="0">
                  <c:v>89.6</c:v>
                </c:pt>
                <c:pt idx="1">
                  <c:v>82.6</c:v>
                </c:pt>
                <c:pt idx="2">
                  <c:v>81.099999999999994</c:v>
                </c:pt>
                <c:pt idx="3">
                  <c:v>81.7</c:v>
                </c:pt>
                <c:pt idx="4">
                  <c:v>82</c:v>
                </c:pt>
                <c:pt idx="5">
                  <c:v>80.3</c:v>
                </c:pt>
                <c:pt idx="6">
                  <c:v>78.900000000000006</c:v>
                </c:pt>
                <c:pt idx="7">
                  <c:v>76.8</c:v>
                </c:pt>
                <c:pt idx="8">
                  <c:v>79</c:v>
                </c:pt>
                <c:pt idx="9">
                  <c:v>77.099999999999994</c:v>
                </c:pt>
                <c:pt idx="10">
                  <c:v>76.2</c:v>
                </c:pt>
                <c:pt idx="11">
                  <c:v>79.8</c:v>
                </c:pt>
                <c:pt idx="12">
                  <c:v>78.3</c:v>
                </c:pt>
                <c:pt idx="13">
                  <c:v>77</c:v>
                </c:pt>
                <c:pt idx="1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E371-4F82-BAEA-8C65B042C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FinFET_v97_QTUNN_FN_SCHENK_BBT_!$F$19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3641171246000693E-2"/>
                  <c:y val="-4.0873105572259469E-2"/>
                </c:manualLayout>
              </c:layout>
              <c:tx>
                <c:rich>
                  <a:bodyPr/>
                  <a:lstStyle/>
                  <a:p>
                    <a:fld id="{20C9E555-26A6-4398-A49F-D354012233B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371-4F82-BAEA-8C65B042C0AC}"/>
                </c:ext>
              </c:extLst>
            </c:dLbl>
            <c:dLbl>
              <c:idx val="1"/>
              <c:layout>
                <c:manualLayout>
                  <c:x val="1.3167881790248725E-2"/>
                  <c:y val="-4.9451696267995941E-2"/>
                </c:manualLayout>
              </c:layout>
              <c:tx>
                <c:rich>
                  <a:bodyPr/>
                  <a:lstStyle/>
                  <a:p>
                    <a:fld id="{CDA41517-DFF5-437D-934B-2A88F439A3E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371-4F82-BAEA-8C65B042C0AC}"/>
                </c:ext>
              </c:extLst>
            </c:dLbl>
            <c:dLbl>
              <c:idx val="2"/>
              <c:layout>
                <c:manualLayout>
                  <c:x val="-6.9869649478826699E-3"/>
                  <c:y val="-7.3756361456831829E-2"/>
                </c:manualLayout>
              </c:layout>
              <c:tx>
                <c:rich>
                  <a:bodyPr/>
                  <a:lstStyle/>
                  <a:p>
                    <a:fld id="{299A7200-2BA1-4053-BCE9-CB0198B6AC2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371-4F82-BAEA-8C65B042C0AC}"/>
                </c:ext>
              </c:extLst>
            </c:dLbl>
            <c:dLbl>
              <c:idx val="3"/>
              <c:layout>
                <c:manualLayout>
                  <c:x val="1.0829801039757999E-2"/>
                  <c:y val="-4.5647061585301026E-2"/>
                </c:manualLayout>
              </c:layout>
              <c:tx>
                <c:rich>
                  <a:bodyPr/>
                  <a:lstStyle/>
                  <a:p>
                    <a:fld id="{8B6D2A74-9B21-4129-AF47-EA90C6D22F6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371-4F82-BAEA-8C65B042C0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BF609A-B1EC-44A4-AA52-454D4EAAAC0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371-4F82-BAEA-8C65B042C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E371-4F82-BAEA-8C65B042C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At val="3.9"/>
        <c:crossBetween val="midCat"/>
        <c:minorUnit val="1"/>
      </c:valAx>
      <c:valAx>
        <c:axId val="363195216"/>
        <c:scaling>
          <c:orientation val="minMax"/>
          <c:max val="90"/>
          <c:min val="7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SS (mV/decade)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2737627967246"/>
              <c:y val="0.3632886878245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  <c:majorUnit val="5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80705470406246"/>
          <c:y val="0.14705776471921889"/>
          <c:w val="0.23186483319188161"/>
          <c:h val="0.186311484991868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FinFET_v97_QTUNN_FN_SCHENK_BBT_!$F$18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EDE9317-1ADB-424F-AA39-77FC26C26CA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DEE-42AA-99E9-8FE1A80D81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229C8C-D956-4419-80C7-5B6933CF187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DEE-42AA-99E9-8FE1A80D8108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D61BBCB5-F17C-4534-9DA0-458CA2546A8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DEE-42AA-99E9-8FE1A80D8108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33FD93AF-B064-4061-BCF2-15F19FF1E03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DEE-42AA-99E9-8FE1A80D8108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54FAFCCD-7C38-45DC-A657-5A49081777F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DEE-42AA-99E9-8FE1A80D81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FinFET_v97_QTUNN_FN_SCHENK_BBT_!$G$18:$K$18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DEE-42AA-99E9-8FE1A80D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FinFET_v97_QTUNN_FN_SCHENK_BBT_!$E$27</c:f>
              <c:strCache>
                <c:ptCount val="1"/>
                <c:pt idx="0">
                  <c:v>ION/IOFF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06AAC2-B55F-4AD8-BF8E-C5387CAA051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9B9-4FB7-9298-85BD5A1806A4}"/>
                </c:ext>
              </c:extLst>
            </c:dLbl>
            <c:dLbl>
              <c:idx val="1"/>
              <c:layout>
                <c:manualLayout>
                  <c:x val="-8.1818866285334989E-3"/>
                  <c:y val="-0.10440107311112189"/>
                </c:manualLayout>
              </c:layout>
              <c:tx>
                <c:rich>
                  <a:bodyPr/>
                  <a:lstStyle/>
                  <a:p>
                    <a:fld id="{86A0388F-48A7-49DF-A0FA-AC441B91A6C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9B9-4FB7-9298-85BD5A1806A4}"/>
                </c:ext>
              </c:extLst>
            </c:dLbl>
            <c:dLbl>
              <c:idx val="2"/>
              <c:layout>
                <c:manualLayout>
                  <c:x val="-1.3781161827901251E-2"/>
                  <c:y val="-4.7943823429315989E-2"/>
                </c:manualLayout>
              </c:layout>
              <c:tx>
                <c:rich>
                  <a:bodyPr/>
                  <a:lstStyle/>
                  <a:p>
                    <a:fld id="{9B1DAA43-7293-47C4-AB36-94ECF834AC5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B9-4FB7-9298-85BD5A1806A4}"/>
                </c:ext>
              </c:extLst>
            </c:dLbl>
            <c:dLbl>
              <c:idx val="3"/>
              <c:layout>
                <c:manualLayout>
                  <c:x val="3.4982949255441563E-2"/>
                  <c:y val="-7.2036349723388682E-2"/>
                </c:manualLayout>
              </c:layout>
              <c:tx>
                <c:rich>
                  <a:bodyPr/>
                  <a:lstStyle/>
                  <a:p>
                    <a:fld id="{FD6BDA1D-0D28-407D-8C1E-73B4073FE94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B9-4FB7-9298-85BD5A1806A4}"/>
                </c:ext>
              </c:extLst>
            </c:dLbl>
            <c:dLbl>
              <c:idx val="4"/>
              <c:layout>
                <c:manualLayout>
                  <c:x val="1.1049136227494177E-2"/>
                  <c:y val="-6.0270671196540039E-2"/>
                </c:manualLayout>
              </c:layout>
              <c:tx>
                <c:rich>
                  <a:bodyPr/>
                  <a:lstStyle/>
                  <a:p>
                    <a:fld id="{BF4A7925-64CA-479A-84E0-C2F06FCEC3E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9B9-4FB7-9298-85BD5A1806A4}"/>
                </c:ext>
              </c:extLst>
            </c:dLbl>
            <c:dLbl>
              <c:idx val="5"/>
              <c:layout>
                <c:manualLayout>
                  <c:x val="-2.0136940174732779E-2"/>
                  <c:y val="-8.3655176696583761E-2"/>
                </c:manualLayout>
              </c:layout>
              <c:tx>
                <c:rich>
                  <a:bodyPr/>
                  <a:lstStyle/>
                  <a:p>
                    <a:fld id="{E5555BDB-F594-4715-BDA4-6F5D7CCDD64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9B9-4FB7-9298-85BD5A1806A4}"/>
                </c:ext>
              </c:extLst>
            </c:dLbl>
            <c:dLbl>
              <c:idx val="6"/>
              <c:layout>
                <c:manualLayout>
                  <c:x val="-7.8712053182763923E-3"/>
                  <c:y val="-5.2738205772247589E-2"/>
                </c:manualLayout>
              </c:layout>
              <c:tx>
                <c:rich>
                  <a:bodyPr/>
                  <a:lstStyle/>
                  <a:p>
                    <a:fld id="{A52DE986-2545-4634-BAAD-215037D55E4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9B9-4FB7-9298-85BD5A1806A4}"/>
                </c:ext>
              </c:extLst>
            </c:dLbl>
            <c:dLbl>
              <c:idx val="7"/>
              <c:layout>
                <c:manualLayout>
                  <c:x val="-7.271207449838688E-3"/>
                  <c:y val="-8.8302660387529014E-2"/>
                </c:manualLayout>
              </c:layout>
              <c:tx>
                <c:rich>
                  <a:bodyPr/>
                  <a:lstStyle/>
                  <a:p>
                    <a:fld id="{C5F4AD84-D92A-4BA2-B21B-1AA2BDD496C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B9-4FB7-9298-85BD5A1806A4}"/>
                </c:ext>
              </c:extLst>
            </c:dLbl>
            <c:dLbl>
              <c:idx val="8"/>
              <c:layout>
                <c:manualLayout>
                  <c:x val="-1.3788256914245114E-2"/>
                  <c:y val="-8.6052367868049554E-2"/>
                </c:manualLayout>
              </c:layout>
              <c:tx>
                <c:rich>
                  <a:bodyPr/>
                  <a:lstStyle/>
                  <a:p>
                    <a:fld id="{7F579ED4-9EE6-4BD8-A745-35DC850E459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B9-4FB7-9298-85BD5A1806A4}"/>
                </c:ext>
              </c:extLst>
            </c:dLbl>
            <c:dLbl>
              <c:idx val="9"/>
              <c:layout>
                <c:manualLayout>
                  <c:x val="-3.6403635956294934E-3"/>
                  <c:y val="-5.8461074994898887E-2"/>
                </c:manualLayout>
              </c:layout>
              <c:tx>
                <c:rich>
                  <a:bodyPr/>
                  <a:lstStyle/>
                  <a:p>
                    <a:fld id="{F0C3967C-A0C2-431C-95FF-F688D3DCAED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9B9-4FB7-9298-85BD5A1806A4}"/>
                </c:ext>
              </c:extLst>
            </c:dLbl>
            <c:dLbl>
              <c:idx val="10"/>
              <c:layout>
                <c:manualLayout>
                  <c:x val="2.0438189193732675E-2"/>
                  <c:y val="-5.7946905801901052E-2"/>
                </c:manualLayout>
              </c:layout>
              <c:tx>
                <c:rich>
                  <a:bodyPr/>
                  <a:lstStyle/>
                  <a:p>
                    <a:fld id="{C66F3D10-2547-4994-BD01-53B4D3D8917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9B9-4FB7-9298-85BD5A1806A4}"/>
                </c:ext>
              </c:extLst>
            </c:dLbl>
            <c:dLbl>
              <c:idx val="11"/>
              <c:layout>
                <c:manualLayout>
                  <c:x val="-3.7826826805269598E-3"/>
                  <c:y val="-0.10175736763493687"/>
                </c:manualLayout>
              </c:layout>
              <c:tx>
                <c:rich>
                  <a:bodyPr/>
                  <a:lstStyle/>
                  <a:p>
                    <a:fld id="{7AD81EF1-CB95-4782-BC35-1891D153375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9B9-4FB7-9298-85BD5A1806A4}"/>
                </c:ext>
              </c:extLst>
            </c:dLbl>
            <c:dLbl>
              <c:idx val="12"/>
              <c:layout>
                <c:manualLayout>
                  <c:x val="-1.8635703375975636E-2"/>
                  <c:y val="-0.10116977266511221"/>
                </c:manualLayout>
              </c:layout>
              <c:tx>
                <c:rich>
                  <a:bodyPr/>
                  <a:lstStyle/>
                  <a:p>
                    <a:fld id="{1BD66B07-3AFA-4B33-A4B0-E1E3554328A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9B9-4FB7-9298-85BD5A1806A4}"/>
                </c:ext>
              </c:extLst>
            </c:dLbl>
            <c:dLbl>
              <c:idx val="13"/>
              <c:layout>
                <c:manualLayout>
                  <c:x val="7.2712074498385987E-3"/>
                  <c:y val="-7.2036380842457892E-2"/>
                </c:manualLayout>
              </c:layout>
              <c:tx>
                <c:rich>
                  <a:bodyPr/>
                  <a:lstStyle/>
                  <a:p>
                    <a:fld id="{13B348C5-EC46-435E-B588-C237648A4DC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9B9-4FB7-9298-85BD5A1806A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9E074CD-DED6-402C-B3B6-26A055019BA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9B9-4FB7-9298-85BD5A1806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FinFET_v97_QTUNN_FN_SCHENK_BBT_!$L$27:$Z$27</c:f>
              <c:numCache>
                <c:formatCode>0.00E+00</c:formatCode>
                <c:ptCount val="15"/>
                <c:pt idx="0">
                  <c:v>564668834.72951043</c:v>
                </c:pt>
                <c:pt idx="1">
                  <c:v>58139974859.132637</c:v>
                </c:pt>
                <c:pt idx="2">
                  <c:v>730602378491.17896</c:v>
                </c:pt>
                <c:pt idx="3">
                  <c:v>139148648743.94025</c:v>
                </c:pt>
                <c:pt idx="4">
                  <c:v>19063649635.66494</c:v>
                </c:pt>
                <c:pt idx="5">
                  <c:v>15434954846.038828</c:v>
                </c:pt>
                <c:pt idx="6">
                  <c:v>292157974778.79083</c:v>
                </c:pt>
                <c:pt idx="7">
                  <c:v>92519327614.039841</c:v>
                </c:pt>
                <c:pt idx="8">
                  <c:v>9826034620.661684</c:v>
                </c:pt>
                <c:pt idx="9">
                  <c:v>408707026524.11945</c:v>
                </c:pt>
                <c:pt idx="10">
                  <c:v>78512604769.581284</c:v>
                </c:pt>
                <c:pt idx="11">
                  <c:v>3307759810.1930499</c:v>
                </c:pt>
                <c:pt idx="12">
                  <c:v>3994408602.6647587</c:v>
                </c:pt>
                <c:pt idx="13">
                  <c:v>4416710598.8355417</c:v>
                </c:pt>
                <c:pt idx="14">
                  <c:v>925685239.32628536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9B9-4FB7-9298-85BD5A18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FinFET_v97_QTUNN_FN_SCHENK_BBT_!$F$27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0623915966760605E-2"/>
                  <c:y val="4.4902250981662204E-3"/>
                </c:manualLayout>
              </c:layout>
              <c:tx>
                <c:rich>
                  <a:bodyPr/>
                  <a:lstStyle/>
                  <a:p>
                    <a:fld id="{BC3FED91-3B90-42E4-92FA-8BD71EC4102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9B9-4FB7-9298-85BD5A1806A4}"/>
                </c:ext>
              </c:extLst>
            </c:dLbl>
            <c:dLbl>
              <c:idx val="1"/>
              <c:layout>
                <c:manualLayout>
                  <c:x val="-5.0895808907455202E-2"/>
                  <c:y val="-6.2667107347164436E-2"/>
                </c:manualLayout>
              </c:layout>
              <c:tx>
                <c:rich>
                  <a:bodyPr/>
                  <a:lstStyle/>
                  <a:p>
                    <a:fld id="{1EB9C62C-0F51-44B1-919C-870FA4ABF94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9B9-4FB7-9298-85BD5A1806A4}"/>
                </c:ext>
              </c:extLst>
            </c:dLbl>
            <c:dLbl>
              <c:idx val="2"/>
              <c:layout>
                <c:manualLayout>
                  <c:x val="-2.7562323655802502E-2"/>
                  <c:y val="8.1316310885116594E-2"/>
                </c:manualLayout>
              </c:layout>
              <c:tx>
                <c:rich>
                  <a:bodyPr/>
                  <a:lstStyle/>
                  <a:p>
                    <a:fld id="{D693277B-18DD-4308-9F17-9E3CC0634CC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9B9-4FB7-9298-85BD5A1806A4}"/>
                </c:ext>
              </c:extLst>
            </c:dLbl>
            <c:dLbl>
              <c:idx val="3"/>
              <c:layout>
                <c:manualLayout>
                  <c:x val="9.7053722196520607E-3"/>
                  <c:y val="6.0618038825243935E-2"/>
                </c:manualLayout>
              </c:layout>
              <c:tx>
                <c:rich>
                  <a:bodyPr/>
                  <a:lstStyle/>
                  <a:p>
                    <a:fld id="{B9685E5D-6E3A-40AD-8ACD-BB3078352AD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9B9-4FB7-9298-85BD5A1806A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AD7D192-85D7-490E-95B0-96A93DC3F2E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B9-4FB7-9298-85BD5A1806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FinFET_v97_QTUNN_FN_SCHENK_BBT_!$G$14:$K$14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FinFET_v97_QTUNN_FN_SCHENK_BBT_!$G$27:$K$27</c:f>
              <c:numCache>
                <c:formatCode>0.00E+00</c:formatCode>
                <c:ptCount val="5"/>
                <c:pt idx="0">
                  <c:v>564668800</c:v>
                </c:pt>
                <c:pt idx="1">
                  <c:v>43737150000</c:v>
                </c:pt>
                <c:pt idx="2">
                  <c:v>15650025872.154766</c:v>
                </c:pt>
                <c:pt idx="3">
                  <c:v>9493568212.3226204</c:v>
                </c:pt>
                <c:pt idx="4">
                  <c:v>925685239.32628536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FinFET_v97_QTUNN_FN_SCHENK_BBT_!$G$29:$K$29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A9B9-4FB7-9298-85BD5A18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>
                    <a:solidFill>
                      <a:schemeClr val="tx1"/>
                    </a:solidFill>
                  </a:rPr>
                  <a:t>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600">
                    <a:solidFill>
                      <a:schemeClr val="tx1"/>
                    </a:solidFill>
                  </a:rPr>
                  <a:t>/I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OFF</a:t>
                </a:r>
                <a:endParaRPr lang="en-US" sz="1600" baseline="-25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6737209825870442E-2"/>
              <c:y val="0.40106587390784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32658049479266"/>
          <c:y val="0.15511749407659162"/>
          <c:w val="0.22591204370595122"/>
          <c:h val="0.20796830452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6948454305553"/>
          <c:y val="0.1345369796342365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FinFET_v98_HEI_HHI!$E$21</c:f>
              <c:strCache>
                <c:ptCount val="1"/>
                <c:pt idx="0">
                  <c:v>DIBL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B1-4D69-9C72-5E4D80F0CC31}"/>
              </c:ext>
            </c:extLst>
          </c:dPt>
          <c:dPt>
            <c:idx val="9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lg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tx1"/>
                </a:solidFill>
                <a:prstDash val="dashDot"/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93B1-4D69-9C72-5E4D80F0CC3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CF9BA07-010C-4DDD-BD05-14B3F4727EE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3B1-4D69-9C72-5E4D80F0CC31}"/>
                </c:ext>
              </c:extLst>
            </c:dLbl>
            <c:dLbl>
              <c:idx val="1"/>
              <c:layout>
                <c:manualLayout>
                  <c:x val="2.777742381083434E-2"/>
                  <c:y val="-5.7293455098987409E-2"/>
                </c:manualLayout>
              </c:layout>
              <c:tx>
                <c:rich>
                  <a:bodyPr/>
                  <a:lstStyle/>
                  <a:p>
                    <a:fld id="{27F1CC99-09CD-4B4F-AC46-2A2EE4DEED9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3B1-4D69-9C72-5E4D80F0CC31}"/>
                </c:ext>
              </c:extLst>
            </c:dLbl>
            <c:dLbl>
              <c:idx val="2"/>
              <c:layout>
                <c:manualLayout>
                  <c:x val="-4.5588367511530489E-2"/>
                  <c:y val="-3.9624119195027924E-2"/>
                </c:manualLayout>
              </c:layout>
              <c:tx>
                <c:rich>
                  <a:bodyPr/>
                  <a:lstStyle/>
                  <a:p>
                    <a:fld id="{FA07DA97-793A-443A-94B2-2A77C12DBF0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3B1-4D69-9C72-5E4D80F0CC31}"/>
                </c:ext>
              </c:extLst>
            </c:dLbl>
            <c:dLbl>
              <c:idx val="3"/>
              <c:layout>
                <c:manualLayout>
                  <c:x val="-1.6447267482893001E-2"/>
                  <c:y val="3.9943368917463667E-2"/>
                </c:manualLayout>
              </c:layout>
              <c:tx>
                <c:rich>
                  <a:bodyPr/>
                  <a:lstStyle/>
                  <a:p>
                    <a:fld id="{C1B2A244-190C-44BA-A00D-1F00AB20205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3B1-4D69-9C72-5E4D80F0CC31}"/>
                </c:ext>
              </c:extLst>
            </c:dLbl>
            <c:dLbl>
              <c:idx val="4"/>
              <c:layout>
                <c:manualLayout>
                  <c:x val="-2.8081799939944567E-3"/>
                  <c:y val="-7.2136946486216366E-2"/>
                </c:manualLayout>
              </c:layout>
              <c:tx>
                <c:rich>
                  <a:bodyPr/>
                  <a:lstStyle/>
                  <a:p>
                    <a:fld id="{8D33DB0E-6CCF-4F2A-B979-8B46F2D1A4E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3B1-4D69-9C72-5E4D80F0CC31}"/>
                </c:ext>
              </c:extLst>
            </c:dLbl>
            <c:dLbl>
              <c:idx val="5"/>
              <c:layout>
                <c:manualLayout>
                  <c:x val="-2.7664034179525093E-2"/>
                  <c:y val="4.3320695587105752E-2"/>
                </c:manualLayout>
              </c:layout>
              <c:tx>
                <c:rich>
                  <a:bodyPr/>
                  <a:lstStyle/>
                  <a:p>
                    <a:fld id="{5C82C3E2-64A3-4250-BE25-1BC687FA743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3B1-4D69-9C72-5E4D80F0CC31}"/>
                </c:ext>
              </c:extLst>
            </c:dLbl>
            <c:dLbl>
              <c:idx val="6"/>
              <c:layout>
                <c:manualLayout>
                  <c:x val="1.570028302351505E-2"/>
                  <c:y val="2.6443133122609555E-2"/>
                </c:manualLayout>
              </c:layout>
              <c:tx>
                <c:rich>
                  <a:bodyPr/>
                  <a:lstStyle/>
                  <a:p>
                    <a:fld id="{64A0944C-547B-494E-8EEE-46DBFC89A41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3B1-4D69-9C72-5E4D80F0CC31}"/>
                </c:ext>
              </c:extLst>
            </c:dLbl>
            <c:dLbl>
              <c:idx val="7"/>
              <c:layout>
                <c:manualLayout>
                  <c:x val="-4.9551177312016428E-2"/>
                  <c:y val="4.0638098481931652E-2"/>
                </c:manualLayout>
              </c:layout>
              <c:tx>
                <c:rich>
                  <a:bodyPr/>
                  <a:lstStyle/>
                  <a:p>
                    <a:fld id="{DA009A7E-BF80-4C9A-9389-E6A7AD850F2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3B1-4D69-9C72-5E4D80F0CC31}"/>
                </c:ext>
              </c:extLst>
            </c:dLbl>
            <c:dLbl>
              <c:idx val="8"/>
              <c:layout>
                <c:manualLayout>
                  <c:x val="-4.3300227411430581E-2"/>
                  <c:y val="2.0520329488629082E-2"/>
                </c:manualLayout>
              </c:layout>
              <c:tx>
                <c:rich>
                  <a:bodyPr/>
                  <a:lstStyle/>
                  <a:p>
                    <a:fld id="{94907A41-0A0C-45B3-8F4A-190C156FBB3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3B1-4D69-9C72-5E4D80F0CC31}"/>
                </c:ext>
              </c:extLst>
            </c:dLbl>
            <c:dLbl>
              <c:idx val="9"/>
              <c:layout>
                <c:manualLayout>
                  <c:x val="-2.1589577919856693E-2"/>
                  <c:y val="-5.3365018701075712E-2"/>
                </c:manualLayout>
              </c:layout>
              <c:tx>
                <c:rich>
                  <a:bodyPr/>
                  <a:lstStyle/>
                  <a:p>
                    <a:fld id="{B38215C7-3316-4C23-8574-EAC55A184D4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3B1-4D69-9C72-5E4D80F0CC31}"/>
                </c:ext>
              </c:extLst>
            </c:dLbl>
            <c:dLbl>
              <c:idx val="10"/>
              <c:layout>
                <c:manualLayout>
                  <c:x val="-3.3158661051970635E-2"/>
                  <c:y val="5.9215259776426499E-2"/>
                </c:manualLayout>
              </c:layout>
              <c:tx>
                <c:rich>
                  <a:bodyPr/>
                  <a:lstStyle/>
                  <a:p>
                    <a:fld id="{01930F16-2397-4031-882B-EADC4FA2C83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3B1-4D69-9C72-5E4D80F0CC31}"/>
                </c:ext>
              </c:extLst>
            </c:dLbl>
            <c:dLbl>
              <c:idx val="11"/>
              <c:layout>
                <c:manualLayout>
                  <c:x val="-3.4880738748096857E-2"/>
                  <c:y val="3.6480585757562807E-2"/>
                </c:manualLayout>
              </c:layout>
              <c:tx>
                <c:rich>
                  <a:bodyPr/>
                  <a:lstStyle/>
                  <a:p>
                    <a:fld id="{CB27F52F-1233-444C-8C43-94CE9620C02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3B1-4D69-9C72-5E4D80F0CC31}"/>
                </c:ext>
              </c:extLst>
            </c:dLbl>
            <c:dLbl>
              <c:idx val="12"/>
              <c:layout>
                <c:manualLayout>
                  <c:x val="-2.5707674569800431E-3"/>
                  <c:y val="-6.1495336256122121E-2"/>
                </c:manualLayout>
              </c:layout>
              <c:tx>
                <c:rich>
                  <a:bodyPr/>
                  <a:lstStyle/>
                  <a:p>
                    <a:fld id="{4B133668-E64B-4432-BF53-05B7103C10A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3B1-4D69-9C72-5E4D80F0CC31}"/>
                </c:ext>
              </c:extLst>
            </c:dLbl>
            <c:dLbl>
              <c:idx val="13"/>
              <c:layout>
                <c:manualLayout>
                  <c:x val="9.661712629855327E-3"/>
                  <c:y val="-8.1504017395556128E-2"/>
                </c:manualLayout>
              </c:layout>
              <c:tx>
                <c:rich>
                  <a:bodyPr/>
                  <a:lstStyle/>
                  <a:p>
                    <a:fld id="{3DDDB01A-973D-4571-B802-4B1F91CEAEF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3B1-4D69-9C72-5E4D80F0CC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FD582C7-612A-4CE0-8391-3FD2A82144E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3B1-4D69-9C72-5E4D80F0C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FinFET_v98_HEI_HHI!$L$14:$Y$14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</c:numCache>
            </c:numRef>
          </c:xVal>
          <c:yVal>
            <c:numRef>
              <c:f>FinFET_v98_HEI_HHI!$L$21:$Z$21</c:f>
              <c:numCache>
                <c:formatCode>General</c:formatCode>
                <c:ptCount val="15"/>
                <c:pt idx="0">
                  <c:v>19.3</c:v>
                </c:pt>
                <c:pt idx="1">
                  <c:v>15.22</c:v>
                </c:pt>
                <c:pt idx="2">
                  <c:v>9.3000000000000007</c:v>
                </c:pt>
                <c:pt idx="3">
                  <c:v>8.43</c:v>
                </c:pt>
                <c:pt idx="4">
                  <c:v>9.83</c:v>
                </c:pt>
                <c:pt idx="5">
                  <c:v>8.6999999999999993</c:v>
                </c:pt>
                <c:pt idx="6">
                  <c:v>12.52</c:v>
                </c:pt>
                <c:pt idx="7">
                  <c:v>9.48</c:v>
                </c:pt>
                <c:pt idx="8">
                  <c:v>8.8699999999999992</c:v>
                </c:pt>
                <c:pt idx="9">
                  <c:v>12.7</c:v>
                </c:pt>
                <c:pt idx="10">
                  <c:v>9.74</c:v>
                </c:pt>
                <c:pt idx="11">
                  <c:v>6.17</c:v>
                </c:pt>
                <c:pt idx="12">
                  <c:v>6.43</c:v>
                </c:pt>
                <c:pt idx="13">
                  <c:v>5.48</c:v>
                </c:pt>
                <c:pt idx="1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93B1-4D69-9C72-5E4D80F0CC31}"/>
            </c:ext>
          </c:extLst>
        </c:ser>
        <c:ser>
          <c:idx val="0"/>
          <c:order val="0"/>
          <c:tx>
            <c:strRef>
              <c:f>FinFET_v98_HEI_HHI!$F$21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2858758167885216E-2"/>
                  <c:y val="-2.756138194649909E-2"/>
                </c:manualLayout>
              </c:layout>
              <c:tx>
                <c:rich>
                  <a:bodyPr/>
                  <a:lstStyle/>
                  <a:p>
                    <a:fld id="{9A6EC484-8A6B-4716-A048-8838619F20C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3B1-4D69-9C72-5E4D80F0CC31}"/>
                </c:ext>
              </c:extLst>
            </c:dLbl>
            <c:dLbl>
              <c:idx val="1"/>
              <c:layout>
                <c:manualLayout>
                  <c:x val="-4.9717783712455894E-2"/>
                  <c:y val="4.5489437408685732E-2"/>
                </c:manualLayout>
              </c:layout>
              <c:tx>
                <c:rich>
                  <a:bodyPr/>
                  <a:lstStyle/>
                  <a:p>
                    <a:fld id="{41803622-15B7-4306-B95E-7B5BBD7B243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93B1-4D69-9C72-5E4D80F0CC31}"/>
                </c:ext>
              </c:extLst>
            </c:dLbl>
            <c:dLbl>
              <c:idx val="2"/>
              <c:layout>
                <c:manualLayout>
                  <c:x val="-1.1892628500384878E-2"/>
                  <c:y val="9.4499444074141348E-2"/>
                </c:manualLayout>
              </c:layout>
              <c:tx>
                <c:rich>
                  <a:bodyPr/>
                  <a:lstStyle/>
                  <a:p>
                    <a:fld id="{80CEFA8F-C0CB-4495-BD86-D5C728134B6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93B1-4D69-9C72-5E4D80F0CC31}"/>
                </c:ext>
              </c:extLst>
            </c:dLbl>
            <c:dLbl>
              <c:idx val="3"/>
              <c:layout>
                <c:manualLayout>
                  <c:x val="1.8995514875990965E-2"/>
                  <c:y val="6.0619244152882792E-2"/>
                </c:manualLayout>
              </c:layout>
              <c:tx>
                <c:rich>
                  <a:bodyPr/>
                  <a:lstStyle/>
                  <a:p>
                    <a:fld id="{1A6725E2-C8BE-433C-849E-4E3BCAA5B29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3B1-4D69-9C72-5E4D80F0CC31}"/>
                </c:ext>
              </c:extLst>
            </c:dLbl>
            <c:dLbl>
              <c:idx val="4"/>
              <c:layout>
                <c:manualLayout>
                  <c:x val="-5.8672081283151515E-3"/>
                  <c:y val="-7.6311863093974974E-2"/>
                </c:manualLayout>
              </c:layout>
              <c:tx>
                <c:rich>
                  <a:bodyPr/>
                  <a:lstStyle/>
                  <a:p>
                    <a:fld id="{ABAA34D5-9368-4350-8690-6CB21072A07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3B1-4D69-9C72-5E4D80F0C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93B1-4D69-9C72-5E4D80F0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400" b="1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8718463209510626"/>
              <c:y val="0.91470285049687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Drain Induced Barrier Lowering  - DIBL  (mV/V)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686350891075122"/>
              <c:y val="0.18281632624572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817193040922003"/>
          <c:y val="9.5680339412281629E-2"/>
          <c:w val="0.22813212863322893"/>
          <c:h val="0.2048447185582727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268307273705989"/>
          <c:y val="0.1458296647758863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FinFET_v98_HEI_HHI!$F$24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85FDF4F-086E-4556-BD15-0CFA4265F00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D41-4096-BDB7-E68C3694A46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D62723-2B8B-44B7-89DE-07218076291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D41-4096-BDB7-E68C3694A46F}"/>
                </c:ext>
              </c:extLst>
            </c:dLbl>
            <c:dLbl>
              <c:idx val="2"/>
              <c:layout>
                <c:manualLayout>
                  <c:x val="-4.9913391749905871E-3"/>
                  <c:y val="3.9074645785349707E-2"/>
                </c:manualLayout>
              </c:layout>
              <c:tx>
                <c:rich>
                  <a:bodyPr/>
                  <a:lstStyle/>
                  <a:p>
                    <a:fld id="{D49AF38E-0B53-4751-A627-CBEEB56337F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D41-4096-BDB7-E68C3694A46F}"/>
                </c:ext>
              </c:extLst>
            </c:dLbl>
            <c:dLbl>
              <c:idx val="3"/>
              <c:layout>
                <c:manualLayout>
                  <c:x val="1.4974017524971732E-2"/>
                  <c:y val="-0.12182095450726677"/>
                </c:manualLayout>
              </c:layout>
              <c:tx>
                <c:rich>
                  <a:bodyPr/>
                  <a:lstStyle/>
                  <a:p>
                    <a:fld id="{D3D297C8-9322-4D22-AAF9-1709FBBA3EC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D41-4096-BDB7-E68C3694A46F}"/>
                </c:ext>
              </c:extLst>
            </c:dLbl>
            <c:dLbl>
              <c:idx val="4"/>
              <c:layout>
                <c:manualLayout>
                  <c:x val="-3.1611814774940385E-2"/>
                  <c:y val="-5.9761222965828961E-2"/>
                </c:manualLayout>
              </c:layout>
              <c:tx>
                <c:rich>
                  <a:bodyPr/>
                  <a:lstStyle/>
                  <a:p>
                    <a:fld id="{8C629D49-7DFC-4185-811C-9C42DC17040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D41-4096-BDB7-E68C3694A46F}"/>
                </c:ext>
              </c:extLst>
            </c:dLbl>
            <c:dLbl>
              <c:idx val="5"/>
              <c:layout>
                <c:manualLayout>
                  <c:x val="1.33102377999749E-2"/>
                  <c:y val="-9.4238851599961052E-2"/>
                </c:manualLayout>
              </c:layout>
              <c:tx>
                <c:rich>
                  <a:bodyPr/>
                  <a:lstStyle/>
                  <a:p>
                    <a:fld id="{9A9A85D6-0F57-4F67-8390-68C725FF33C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D41-4096-BDB7-E68C3694A46F}"/>
                </c:ext>
              </c:extLst>
            </c:dLbl>
            <c:dLbl>
              <c:idx val="6"/>
              <c:layout>
                <c:manualLayout>
                  <c:x val="-3.050227592671478E-17"/>
                  <c:y val="4.5970171512176042E-2"/>
                </c:manualLayout>
              </c:layout>
              <c:tx>
                <c:rich>
                  <a:bodyPr/>
                  <a:lstStyle/>
                  <a:p>
                    <a:fld id="{84AEB821-ED44-4517-905F-9D40D0262B2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D41-4096-BDB7-E68C3694A46F}"/>
                </c:ext>
              </c:extLst>
            </c:dLbl>
            <c:dLbl>
              <c:idx val="7"/>
              <c:layout>
                <c:manualLayout>
                  <c:x val="1.6637797249968319E-3"/>
                  <c:y val="-4.5970171512176125E-2"/>
                </c:manualLayout>
              </c:layout>
              <c:tx>
                <c:rich>
                  <a:bodyPr/>
                  <a:lstStyle/>
                  <a:p>
                    <a:fld id="{2260E06D-1F37-48F5-84BA-47611753A0B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D41-4096-BDB7-E68C3694A46F}"/>
                </c:ext>
              </c:extLst>
            </c:dLbl>
            <c:dLbl>
              <c:idx val="8"/>
              <c:layout>
                <c:manualLayout>
                  <c:x val="-5.656851064989335E-2"/>
                  <c:y val="-0.14250753168774599"/>
                </c:manualLayout>
              </c:layout>
              <c:tx>
                <c:rich>
                  <a:bodyPr/>
                  <a:lstStyle/>
                  <a:p>
                    <a:fld id="{AB884A28-F689-4355-9747-5E3B52DE79B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D41-4096-BDB7-E68C3694A46F}"/>
                </c:ext>
              </c:extLst>
            </c:dLbl>
            <c:dLbl>
              <c:idx val="9"/>
              <c:layout>
                <c:manualLayout>
                  <c:x val="-3.1611814774940399E-2"/>
                  <c:y val="-6.435824011704662E-2"/>
                </c:manualLayout>
              </c:layout>
              <c:tx>
                <c:rich>
                  <a:bodyPr/>
                  <a:lstStyle/>
                  <a:p>
                    <a:fld id="{AD9E37DC-B67C-4610-80BF-AB54C51E06E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D41-4096-BDB7-E68C3694A46F}"/>
                </c:ext>
              </c:extLst>
            </c:dLbl>
            <c:dLbl>
              <c:idx val="10"/>
              <c:layout>
                <c:manualLayout>
                  <c:x val="-9.2187807455357644E-3"/>
                  <c:y val="-3.6818487682708852E-2"/>
                </c:manualLayout>
              </c:layout>
              <c:tx>
                <c:rich>
                  <a:bodyPr/>
                  <a:lstStyle/>
                  <a:p>
                    <a:fld id="{DB903E04-B9D4-4467-AAC7-890EA2B9D22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D41-4096-BDB7-E68C3694A46F}"/>
                </c:ext>
              </c:extLst>
            </c:dLbl>
            <c:dLbl>
              <c:idx val="11"/>
              <c:layout>
                <c:manualLayout>
                  <c:x val="3.1711545578414262E-2"/>
                  <c:y val="-8.1441975322336213E-2"/>
                </c:manualLayout>
              </c:layout>
              <c:tx>
                <c:rich>
                  <a:bodyPr/>
                  <a:lstStyle/>
                  <a:p>
                    <a:fld id="{45B9B9BF-A772-40CB-969D-F38DB4B87F6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D41-4096-BDB7-E68C3694A46F}"/>
                </c:ext>
              </c:extLst>
            </c:dLbl>
            <c:dLbl>
              <c:idx val="12"/>
              <c:layout>
                <c:manualLayout>
                  <c:x val="-4.6585832299912144E-2"/>
                  <c:y val="-1.6089560029261644E-2"/>
                </c:manualLayout>
              </c:layout>
              <c:tx>
                <c:rich>
                  <a:bodyPr/>
                  <a:lstStyle/>
                  <a:p>
                    <a:fld id="{E40042B6-E577-4E3E-AB4B-776705F9F9B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D41-4096-BDB7-E68C3694A46F}"/>
                </c:ext>
              </c:extLst>
            </c:dLbl>
            <c:dLbl>
              <c:idx val="13"/>
              <c:layout>
                <c:manualLayout>
                  <c:x val="0"/>
                  <c:y val="-4.5970171512176104E-2"/>
                </c:manualLayout>
              </c:layout>
              <c:tx>
                <c:rich>
                  <a:bodyPr/>
                  <a:lstStyle/>
                  <a:p>
                    <a:fld id="{4160FD47-7E9F-4140-84A1-6E393A97D25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D41-4096-BDB7-E68C3694A46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4A6DAC0-8E42-459B-9E24-464DBF219E7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D41-4096-BDB7-E68C3694A4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FinFET_v98_HEI_HHI!$L$24:$Z$24</c:f>
              <c:numCache>
                <c:formatCode>0.00E+00</c:formatCode>
                <c:ptCount val="1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D41-4096-BDB7-E68C3694A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FinFET_v98_HEI_HHI!$F$24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E51EEB-FD7C-4F75-8BB3-00CCAE38D8B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D41-4096-BDB7-E68C3694A46F}"/>
                </c:ext>
              </c:extLst>
            </c:dLbl>
            <c:dLbl>
              <c:idx val="1"/>
              <c:layout>
                <c:manualLayout>
                  <c:x val="1.7348375299447598E-2"/>
                  <c:y val="7.3671724471441723E-3"/>
                </c:manualLayout>
              </c:layout>
              <c:tx>
                <c:rich>
                  <a:bodyPr/>
                  <a:lstStyle/>
                  <a:p>
                    <a:fld id="{2A24C5AB-B874-4DA6-BC2B-F9F9B77DF2D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D41-4096-BDB7-E68C3694A46F}"/>
                </c:ext>
              </c:extLst>
            </c:dLbl>
            <c:dLbl>
              <c:idx val="2"/>
              <c:layout>
                <c:manualLayout>
                  <c:x val="-2.3072170572269544E-2"/>
                  <c:y val="7.8191642043667325E-2"/>
                </c:manualLayout>
              </c:layout>
              <c:tx>
                <c:rich>
                  <a:bodyPr/>
                  <a:lstStyle/>
                  <a:p>
                    <a:fld id="{11D27698-9B0A-4F99-AA67-70FF213038D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D41-4096-BDB7-E68C3694A46F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B2CD2308-DE3B-45FA-9909-DFDFE32B09B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D41-4096-BDB7-E68C3694A46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17B692-B859-49A2-994E-3A6AAD1FEF2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D41-4096-BDB7-E68C3694A4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FinFET_v98_HEI_HHI!$G$24:$K$24</c:f>
              <c:numCache>
                <c:formatCode>0.00E+00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FD41-4096-BDB7-E68C3694A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FinFET_v98_HEI_HHI!$E$26</c:f>
              <c:strCache>
                <c:ptCount val="1"/>
                <c:pt idx="0">
                  <c:v>ION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078DED-C219-4067-8503-488B2FB2EB5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959-4F30-AFC8-243FF13B5C01}"/>
                </c:ext>
              </c:extLst>
            </c:dLbl>
            <c:dLbl>
              <c:idx val="1"/>
              <c:layout>
                <c:manualLayout>
                  <c:x val="-8.5053845949068212E-3"/>
                  <c:y val="-0.11517770449852452"/>
                </c:manualLayout>
              </c:layout>
              <c:tx>
                <c:rich>
                  <a:bodyPr/>
                  <a:lstStyle/>
                  <a:p>
                    <a:fld id="{6A057672-37A6-4461-AF16-E6732D0C6A2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959-4F30-AFC8-243FF13B5C01}"/>
                </c:ext>
              </c:extLst>
            </c:dLbl>
            <c:dLbl>
              <c:idx val="2"/>
              <c:layout>
                <c:manualLayout>
                  <c:x val="-5.3080297025442653E-2"/>
                  <c:y val="3.9646750584910309E-2"/>
                </c:manualLayout>
              </c:layout>
              <c:tx>
                <c:rich>
                  <a:bodyPr/>
                  <a:lstStyle/>
                  <a:p>
                    <a:fld id="{4E254803-D207-4694-9E72-63B83FC381A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959-4F30-AFC8-243FF13B5C01}"/>
                </c:ext>
              </c:extLst>
            </c:dLbl>
            <c:dLbl>
              <c:idx val="3"/>
              <c:layout>
                <c:manualLayout>
                  <c:x val="2.8993677155244393E-2"/>
                  <c:y val="-6.9796359659771087E-2"/>
                </c:manualLayout>
              </c:layout>
              <c:tx>
                <c:rich>
                  <a:bodyPr/>
                  <a:lstStyle/>
                  <a:p>
                    <a:fld id="{47329945-5B44-486B-AAEF-D20C8665D1B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959-4F30-AFC8-243FF13B5C01}"/>
                </c:ext>
              </c:extLst>
            </c:dLbl>
            <c:dLbl>
              <c:idx val="4"/>
              <c:layout>
                <c:manualLayout>
                  <c:x val="2.110674810181749E-2"/>
                  <c:y val="-0.10328885627368006"/>
                </c:manualLayout>
              </c:layout>
              <c:tx>
                <c:rich>
                  <a:bodyPr/>
                  <a:lstStyle/>
                  <a:p>
                    <a:fld id="{0A2AF951-38BF-4D14-BA51-B1AA53B7085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959-4F30-AFC8-243FF13B5C01}"/>
                </c:ext>
              </c:extLst>
            </c:dLbl>
            <c:dLbl>
              <c:idx val="5"/>
              <c:layout>
                <c:manualLayout>
                  <c:x val="8.6098375020285233E-3"/>
                  <c:y val="-6.9964870656806746E-2"/>
                </c:manualLayout>
              </c:layout>
              <c:tx>
                <c:rich>
                  <a:bodyPr/>
                  <a:lstStyle/>
                  <a:p>
                    <a:fld id="{EBFD3B8C-3371-4508-8E9B-8AFC8D3ABDD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959-4F30-AFC8-243FF13B5C01}"/>
                </c:ext>
              </c:extLst>
            </c:dLbl>
            <c:dLbl>
              <c:idx val="6"/>
              <c:layout>
                <c:manualLayout>
                  <c:x val="2.1487481262620994E-2"/>
                  <c:y val="-1.2904588610973133E-2"/>
                </c:manualLayout>
              </c:layout>
              <c:tx>
                <c:rich>
                  <a:bodyPr/>
                  <a:lstStyle/>
                  <a:p>
                    <a:fld id="{3CD6A251-718B-4909-B484-0F88297DB48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959-4F30-AFC8-243FF13B5C01}"/>
                </c:ext>
              </c:extLst>
            </c:dLbl>
            <c:dLbl>
              <c:idx val="7"/>
              <c:layout>
                <c:manualLayout>
                  <c:x val="-3.0565639887039194E-2"/>
                  <c:y val="-8.9510421069357721E-2"/>
                </c:manualLayout>
              </c:layout>
              <c:tx>
                <c:rich>
                  <a:bodyPr/>
                  <a:lstStyle/>
                  <a:p>
                    <a:fld id="{73D60DF3-D571-4C4B-B1B4-26CA35482D8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959-4F30-AFC8-243FF13B5C01}"/>
                </c:ext>
              </c:extLst>
            </c:dLbl>
            <c:dLbl>
              <c:idx val="8"/>
              <c:layout>
                <c:manualLayout>
                  <c:x val="2.8810148598109951E-2"/>
                  <c:y val="-2.4980109362137331E-2"/>
                </c:manualLayout>
              </c:layout>
              <c:tx>
                <c:rich>
                  <a:bodyPr/>
                  <a:lstStyle/>
                  <a:p>
                    <a:fld id="{C7034A0B-BFD5-45B6-A9A6-0F6A81EF887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959-4F30-AFC8-243FF13B5C01}"/>
                </c:ext>
              </c:extLst>
            </c:dLbl>
            <c:dLbl>
              <c:idx val="9"/>
              <c:layout>
                <c:manualLayout>
                  <c:x val="-2.7033142704447764E-2"/>
                  <c:y val="-3.9116774434781856E-2"/>
                </c:manualLayout>
              </c:layout>
              <c:tx>
                <c:rich>
                  <a:bodyPr/>
                  <a:lstStyle/>
                  <a:p>
                    <a:fld id="{ABA15BA4-6A3E-465F-8975-5AD2C606761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959-4F30-AFC8-243FF13B5C01}"/>
                </c:ext>
              </c:extLst>
            </c:dLbl>
            <c:dLbl>
              <c:idx val="10"/>
              <c:layout>
                <c:manualLayout>
                  <c:x val="3.1790214354108962E-2"/>
                  <c:y val="-6.0814432582593621E-2"/>
                </c:manualLayout>
              </c:layout>
              <c:tx>
                <c:rich>
                  <a:bodyPr/>
                  <a:lstStyle/>
                  <a:p>
                    <a:fld id="{1EF0B979-096B-4DEC-9CA0-89BAB1D4A36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959-4F30-AFC8-243FF13B5C01}"/>
                </c:ext>
              </c:extLst>
            </c:dLbl>
            <c:dLbl>
              <c:idx val="11"/>
              <c:layout>
                <c:manualLayout>
                  <c:x val="-3.045865286428035E-3"/>
                  <c:y val="-9.8272126598737769E-2"/>
                </c:manualLayout>
              </c:layout>
              <c:tx>
                <c:rich>
                  <a:bodyPr/>
                  <a:lstStyle/>
                  <a:p>
                    <a:fld id="{1ADD4127-1349-4199-AD3F-1AD0E1D7627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959-4F30-AFC8-243FF13B5C01}"/>
                </c:ext>
              </c:extLst>
            </c:dLbl>
            <c:dLbl>
              <c:idx val="12"/>
              <c:layout>
                <c:manualLayout>
                  <c:x val="0"/>
                  <c:y val="-6.7632708301579816E-2"/>
                </c:manualLayout>
              </c:layout>
              <c:tx>
                <c:rich>
                  <a:bodyPr/>
                  <a:lstStyle/>
                  <a:p>
                    <a:fld id="{4A5A58E4-D730-43AB-92A6-9DE9A2708CC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959-4F30-AFC8-243FF13B5C01}"/>
                </c:ext>
              </c:extLst>
            </c:dLbl>
            <c:dLbl>
              <c:idx val="13"/>
              <c:layout>
                <c:manualLayout>
                  <c:x val="2.1524593755071308E-3"/>
                  <c:y val="-8.6290007143394937E-2"/>
                </c:manualLayout>
              </c:layout>
              <c:tx>
                <c:rich>
                  <a:bodyPr/>
                  <a:lstStyle/>
                  <a:p>
                    <a:fld id="{3C9D614D-614B-42E6-8813-5B8EDE49AFF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959-4F30-AFC8-243FF13B5C0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6FFDB6A-F260-4A5B-84F3-BACADDF319F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959-4F30-AFC8-243FF13B5C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FinFET_v98_HEI_HHI!$L$26:$Z$26</c:f>
              <c:numCache>
                <c:formatCode>0.00E+00</c:formatCode>
                <c:ptCount val="15"/>
                <c:pt idx="0">
                  <c:v>2.0045235509999999E-5</c:v>
                </c:pt>
                <c:pt idx="1">
                  <c:v>1.9071899419999999E-5</c:v>
                </c:pt>
                <c:pt idx="2">
                  <c:v>1.632321543E-5</c:v>
                </c:pt>
                <c:pt idx="3">
                  <c:v>1.8835130689999999E-5</c:v>
                </c:pt>
                <c:pt idx="4">
                  <c:v>1.425507866E-5</c:v>
                </c:pt>
                <c:pt idx="5">
                  <c:v>1.5619603890000002E-5</c:v>
                </c:pt>
                <c:pt idx="6">
                  <c:v>1.085889421E-5</c:v>
                </c:pt>
                <c:pt idx="7">
                  <c:v>1.786813879E-5</c:v>
                </c:pt>
                <c:pt idx="8">
                  <c:v>1.231310583E-5</c:v>
                </c:pt>
                <c:pt idx="9">
                  <c:v>1.9268158390000001E-5</c:v>
                </c:pt>
                <c:pt idx="10">
                  <c:v>1.7931580230000001E-5</c:v>
                </c:pt>
                <c:pt idx="11">
                  <c:v>1.4197163190000001E-5</c:v>
                </c:pt>
                <c:pt idx="12">
                  <c:v>1.590327458E-5</c:v>
                </c:pt>
                <c:pt idx="13">
                  <c:v>1.4735582659999999E-5</c:v>
                </c:pt>
                <c:pt idx="1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0959-4F30-AFC8-243FF13B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FinFET_v98_HEI_HHI!$F$26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9.7423519103974534E-3"/>
                  <c:y val="-9.678775896072235E-2"/>
                </c:manualLayout>
              </c:layout>
              <c:tx>
                <c:rich>
                  <a:bodyPr/>
                  <a:lstStyle/>
                  <a:p>
                    <a:fld id="{87A8015B-26E5-4CD1-B220-35B53402E6D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959-4F30-AFC8-243FF13B5C01}"/>
                </c:ext>
              </c:extLst>
            </c:dLbl>
            <c:dLbl>
              <c:idx val="1"/>
              <c:layout>
                <c:manualLayout>
                  <c:x val="-6.7423087799511339E-2"/>
                  <c:y val="7.0468311866307656E-2"/>
                </c:manualLayout>
              </c:layout>
              <c:tx>
                <c:rich>
                  <a:bodyPr/>
                  <a:lstStyle/>
                  <a:p>
                    <a:fld id="{171B30DD-4CA2-426F-8E01-A177FC0C838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959-4F30-AFC8-243FF13B5C01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C9CD0BF5-1E6C-4634-B2C7-FEE2086F6F1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959-4F30-AFC8-243FF13B5C01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76A693F8-0029-4F74-A749-318E66F2E8E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959-4F30-AFC8-243FF13B5C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88E921-F393-4A1A-A48B-1534F975E02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959-4F30-AFC8-243FF13B5C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0959-4F30-AFC8-243FF13B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540846023099834"/>
              <c:y val="0.9154298604477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490477469929604E-2"/>
              <c:y val="0.4249960569560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621610005680863"/>
          <c:y val="0.13305140995384013"/>
          <c:w val="0.22222961765865795"/>
          <c:h val="0.15574956836303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FinFET_v98_HEI_HHI!$E$18</c:f>
              <c:strCache>
                <c:ptCount val="1"/>
                <c:pt idx="0">
                  <c:v>VTH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E6692C5-0AE8-4BBA-80AF-4F40826931A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71F-457A-883C-6402AEE7653A}"/>
                </c:ext>
              </c:extLst>
            </c:dLbl>
            <c:dLbl>
              <c:idx val="1"/>
              <c:layout>
                <c:manualLayout>
                  <c:x val="2.0314882188679377E-2"/>
                  <c:y val="7.6403404766982472E-2"/>
                </c:manualLayout>
              </c:layout>
              <c:tx>
                <c:rich>
                  <a:bodyPr/>
                  <a:lstStyle/>
                  <a:p>
                    <a:fld id="{F2554EB8-D346-43C8-A46D-6FA808FD9D2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71F-457A-883C-6402AEE7653A}"/>
                </c:ext>
              </c:extLst>
            </c:dLbl>
            <c:dLbl>
              <c:idx val="2"/>
              <c:layout>
                <c:manualLayout>
                  <c:x val="3.3008135334189241E-3"/>
                  <c:y val="8.85347878853249E-2"/>
                </c:manualLayout>
              </c:layout>
              <c:tx>
                <c:rich>
                  <a:bodyPr/>
                  <a:lstStyle/>
                  <a:p>
                    <a:fld id="{B9A7AC09-F388-422D-A2F9-85B6F685A4A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71F-457A-883C-6402AEE7653A}"/>
                </c:ext>
              </c:extLst>
            </c:dLbl>
            <c:dLbl>
              <c:idx val="3"/>
              <c:layout>
                <c:manualLayout>
                  <c:x val="1.3979665713118679E-2"/>
                  <c:y val="8.0813050709992215E-2"/>
                </c:manualLayout>
              </c:layout>
              <c:tx>
                <c:rich>
                  <a:bodyPr/>
                  <a:lstStyle/>
                  <a:p>
                    <a:fld id="{17FB77C7-8C4D-43AA-8ED5-724FBD2BB11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71F-457A-883C-6402AEE7653A}"/>
                </c:ext>
              </c:extLst>
            </c:dLbl>
            <c:dLbl>
              <c:idx val="4"/>
              <c:layout>
                <c:manualLayout>
                  <c:x val="2.0022420021718824E-2"/>
                  <c:y val="8.0241464036659021E-2"/>
                </c:manualLayout>
              </c:layout>
              <c:tx>
                <c:rich>
                  <a:bodyPr/>
                  <a:lstStyle/>
                  <a:p>
                    <a:fld id="{4B00E65E-D12E-4B09-A76F-6E05E404BE8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71F-457A-883C-6402AEE7653A}"/>
                </c:ext>
              </c:extLst>
            </c:dLbl>
            <c:dLbl>
              <c:idx val="5"/>
              <c:layout>
                <c:manualLayout>
                  <c:x val="-3.3798487429035969E-2"/>
                  <c:y val="8.2358803374753972E-2"/>
                </c:manualLayout>
              </c:layout>
              <c:tx>
                <c:rich>
                  <a:bodyPr/>
                  <a:lstStyle/>
                  <a:p>
                    <a:fld id="{DDB255D9-0327-4D3B-828E-2BE1DAD1062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71F-457A-883C-6402AEE7653A}"/>
                </c:ext>
              </c:extLst>
            </c:dLbl>
            <c:dLbl>
              <c:idx val="6"/>
              <c:layout>
                <c:manualLayout>
                  <c:x val="-3.2114105873289472E-2"/>
                  <c:y val="5.0266395469995215E-2"/>
                </c:manualLayout>
              </c:layout>
              <c:tx>
                <c:rich>
                  <a:bodyPr/>
                  <a:lstStyle/>
                  <a:p>
                    <a:fld id="{EC5EB2B8-177A-49B2-B99F-2C189AA5A1F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71F-457A-883C-6402AEE7653A}"/>
                </c:ext>
              </c:extLst>
            </c:dLbl>
            <c:dLbl>
              <c:idx val="7"/>
              <c:layout>
                <c:manualLayout>
                  <c:x val="-1.3738920524954732E-2"/>
                  <c:y val="0.11493639531617944"/>
                </c:manualLayout>
              </c:layout>
              <c:tx>
                <c:rich>
                  <a:bodyPr/>
                  <a:lstStyle/>
                  <a:p>
                    <a:fld id="{9E937C45-163E-4389-81BB-D12C6C11459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71F-457A-883C-6402AEE7653A}"/>
                </c:ext>
              </c:extLst>
            </c:dLbl>
            <c:dLbl>
              <c:idx val="8"/>
              <c:layout>
                <c:manualLayout>
                  <c:x val="-1.0687450222134182E-2"/>
                  <c:y val="0.10691804073760877"/>
                </c:manualLayout>
              </c:layout>
              <c:tx>
                <c:rich>
                  <a:bodyPr/>
                  <a:lstStyle/>
                  <a:p>
                    <a:fld id="{10437D48-10B6-4792-AD76-975372FD561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71F-457A-883C-6402AEE7653A}"/>
                </c:ext>
              </c:extLst>
            </c:dLbl>
            <c:dLbl>
              <c:idx val="9"/>
              <c:layout>
                <c:manualLayout>
                  <c:x val="-2.4657933559837492E-2"/>
                  <c:y val="7.5738462447040411E-2"/>
                </c:manualLayout>
              </c:layout>
              <c:tx>
                <c:rich>
                  <a:bodyPr/>
                  <a:lstStyle/>
                  <a:p>
                    <a:fld id="{E8D893A8-723F-4E28-9DF5-F2631065D1D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71F-457A-883C-6402AEE7653A}"/>
                </c:ext>
              </c:extLst>
            </c:dLbl>
            <c:dLbl>
              <c:idx val="10"/>
              <c:layout>
                <c:manualLayout>
                  <c:x val="1.361854793087274E-2"/>
                  <c:y val="3.2685262919425459E-2"/>
                </c:manualLayout>
              </c:layout>
              <c:tx>
                <c:rich>
                  <a:bodyPr/>
                  <a:lstStyle/>
                  <a:p>
                    <a:fld id="{F4DFDA4D-3CDE-4395-A911-D627FEA6A90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71F-457A-883C-6402AEE7653A}"/>
                </c:ext>
              </c:extLst>
            </c:dLbl>
            <c:dLbl>
              <c:idx val="11"/>
              <c:layout>
                <c:manualLayout>
                  <c:x val="2.4540959962365688E-2"/>
                  <c:y val="0.10582211501229498"/>
                </c:manualLayout>
              </c:layout>
              <c:tx>
                <c:rich>
                  <a:bodyPr/>
                  <a:lstStyle/>
                  <a:p>
                    <a:fld id="{7415BD4F-6E92-4264-9FA5-2B48FE94047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71F-457A-883C-6402AEE7653A}"/>
                </c:ext>
              </c:extLst>
            </c:dLbl>
            <c:dLbl>
              <c:idx val="12"/>
              <c:layout>
                <c:manualLayout>
                  <c:x val="-2.2833869435726496E-2"/>
                  <c:y val="0.12731800786847938"/>
                </c:manualLayout>
              </c:layout>
              <c:tx>
                <c:rich>
                  <a:bodyPr/>
                  <a:lstStyle/>
                  <a:p>
                    <a:fld id="{9B5B4925-D7B4-440E-A1CC-EEB0B13AB2F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71F-457A-883C-6402AEE7653A}"/>
                </c:ext>
              </c:extLst>
            </c:dLbl>
            <c:dLbl>
              <c:idx val="13"/>
              <c:layout>
                <c:manualLayout>
                  <c:x val="-8.5351011073453616E-3"/>
                  <c:y val="-6.5988779509344841E-2"/>
                </c:manualLayout>
              </c:layout>
              <c:tx>
                <c:rich>
                  <a:bodyPr/>
                  <a:lstStyle/>
                  <a:p>
                    <a:fld id="{1CC199BF-D6E0-4CB2-AB36-30C1CD2C43D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71F-457A-883C-6402AEE7653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FBBCB08-F9E9-4E36-B228-BA783216C46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71F-457A-883C-6402AEE765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FinFET_v98_HEI_HHI!$L$18:$Z$18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0.78169999999999995</c:v>
                </c:pt>
                <c:pt idx="3">
                  <c:v>0.80010000000000003</c:v>
                </c:pt>
                <c:pt idx="4">
                  <c:v>0.84470000000000001</c:v>
                </c:pt>
                <c:pt idx="5">
                  <c:v>0.85799999999999998</c:v>
                </c:pt>
                <c:pt idx="6">
                  <c:v>0.73119999999999996</c:v>
                </c:pt>
                <c:pt idx="7">
                  <c:v>0.76880000000000004</c:v>
                </c:pt>
                <c:pt idx="8">
                  <c:v>0.84970000000000001</c:v>
                </c:pt>
                <c:pt idx="9">
                  <c:v>0.72519999999999996</c:v>
                </c:pt>
                <c:pt idx="10">
                  <c:v>0.7631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071F-457A-883C-6402AEE7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FinFET_v98_HEI_HHI!$F$18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4850328732995798E-2"/>
                  <c:y val="-2.9213512437978883E-2"/>
                </c:manualLayout>
              </c:layout>
              <c:tx>
                <c:rich>
                  <a:bodyPr/>
                  <a:lstStyle/>
                  <a:p>
                    <a:fld id="{95712C87-97D6-4C1B-8A43-19FDC8703F5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71F-457A-883C-6402AEE7653A}"/>
                </c:ext>
              </c:extLst>
            </c:dLbl>
            <c:dLbl>
              <c:idx val="1"/>
              <c:layout>
                <c:manualLayout>
                  <c:x val="-5.9881358701064515E-2"/>
                  <c:y val="-8.0056315529516225E-2"/>
                </c:manualLayout>
              </c:layout>
              <c:tx>
                <c:rich>
                  <a:bodyPr/>
                  <a:lstStyle/>
                  <a:p>
                    <a:fld id="{C23D9A8C-CB15-44D2-B003-DA3B3FBC64A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71F-457A-883C-6402AEE7653A}"/>
                </c:ext>
              </c:extLst>
            </c:dLbl>
            <c:dLbl>
              <c:idx val="2"/>
              <c:layout>
                <c:manualLayout>
                  <c:x val="5.099398192967561E-3"/>
                  <c:y val="-9.1407623576608033E-2"/>
                </c:manualLayout>
              </c:layout>
              <c:tx>
                <c:rich>
                  <a:bodyPr/>
                  <a:lstStyle/>
                  <a:p>
                    <a:fld id="{1B12799E-6CFB-4E95-AD27-24F1D67E75B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71F-457A-883C-6402AEE7653A}"/>
                </c:ext>
              </c:extLst>
            </c:dLbl>
            <c:dLbl>
              <c:idx val="3"/>
              <c:layout>
                <c:manualLayout>
                  <c:x val="1.721922734867597E-2"/>
                  <c:y val="-0.15113679668085425"/>
                </c:manualLayout>
              </c:layout>
              <c:tx>
                <c:rich>
                  <a:bodyPr/>
                  <a:lstStyle/>
                  <a:p>
                    <a:fld id="{E89CB081-FFB8-488A-B162-F11EF0ED398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71F-457A-883C-6402AEE7653A}"/>
                </c:ext>
              </c:extLst>
            </c:dLbl>
            <c:dLbl>
              <c:idx val="4"/>
              <c:layout>
                <c:manualLayout>
                  <c:x val="-6.7236542796299148E-2"/>
                  <c:y val="9.0371157292145093E-2"/>
                </c:manualLayout>
              </c:layout>
              <c:tx>
                <c:rich>
                  <a:bodyPr/>
                  <a:lstStyle/>
                  <a:p>
                    <a:fld id="{87FA65ED-FE7D-4595-8610-2486A155C0C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71F-457A-883C-6402AEE765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071F-457A-883C-6402AEE7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V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TH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(V)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032650582673274"/>
              <c:y val="0.43509328771629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23684434813521"/>
          <c:y val="0.59283374632527686"/>
          <c:w val="0.22077868258013714"/>
          <c:h val="0.13127701869044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FinFET_v98_HEI_HHI!$F$18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ACFEBA0-65DD-4B9B-B5C8-4F0642B064A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3EB-4DF7-A62E-72611C7BD6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2D4200-336C-46DD-9022-EEF35CA0530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3EB-4DF7-A62E-72611C7BD62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69EAE88-5807-41FB-B491-13554A652A4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3EB-4DF7-A62E-72611C7BD62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115497-4E45-471D-9DAE-4DABA6944FE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3EB-4DF7-A62E-72611C7BD62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96A5B1-E5B0-4410-BFFB-1C034160F96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3EB-4DF7-A62E-72611C7BD62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6EBC19-68AB-4FEF-A6DC-C3546134945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3EB-4DF7-A62E-72611C7BD62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59738CB-AE0C-4234-A771-242E6BC805A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3EB-4DF7-A62E-72611C7BD62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F09721-57C3-49A9-9925-620D808C302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3EB-4DF7-A62E-72611C7BD62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614C101-8A56-424E-9D56-DF081CFA3A1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3EB-4DF7-A62E-72611C7BD62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8241E7D-3D4B-454D-82B1-AAC8291690D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3EB-4DF7-A62E-72611C7BD62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E8C5CB5-AE35-4ED2-AA1B-1D07F80B44C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3EB-4DF7-A62E-72611C7BD62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FD1F47D-D1A1-4739-9C49-9F9FBB5D7B2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3EB-4DF7-A62E-72611C7BD62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5822A54-4154-44C6-BAC9-167F8D3273B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3EB-4DF7-A62E-72611C7BD62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65D6B94-9E21-46CF-8E93-C3CF9AC94E0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3EB-4DF7-A62E-72611C7BD62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71467BC-4FA0-415E-B764-ACFEFECE124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3EB-4DF7-A62E-72611C7BD6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FinFET_v98_HEI_HHI!$L$13:$Z$13</c:f>
              <c:numCache>
                <c:formatCode>0.0</c:formatCode>
                <c:ptCount val="15"/>
                <c:pt idx="0" formatCode="General">
                  <c:v>9</c:v>
                </c:pt>
                <c:pt idx="1">
                  <c:v>7.4666666666666659</c:v>
                </c:pt>
                <c:pt idx="2">
                  <c:v>6.333333333333333</c:v>
                </c:pt>
                <c:pt idx="3">
                  <c:v>5.833333333333333</c:v>
                </c:pt>
                <c:pt idx="4">
                  <c:v>5.7</c:v>
                </c:pt>
                <c:pt idx="5">
                  <c:v>5.416666666666667</c:v>
                </c:pt>
                <c:pt idx="6">
                  <c:v>6.8999999999999995</c:v>
                </c:pt>
                <c:pt idx="7">
                  <c:v>5.8999999999999995</c:v>
                </c:pt>
                <c:pt idx="8">
                  <c:v>5.6333333333333329</c:v>
                </c:pt>
                <c:pt idx="9">
                  <c:v>6.25</c:v>
                </c:pt>
                <c:pt idx="10">
                  <c:v>6.1166666666666671</c:v>
                </c:pt>
                <c:pt idx="11">
                  <c:v>4.3500000000000005</c:v>
                </c:pt>
                <c:pt idx="12">
                  <c:v>4.5666666666666664</c:v>
                </c:pt>
                <c:pt idx="13">
                  <c:v>3.7833333333333332</c:v>
                </c:pt>
                <c:pt idx="14" formatCode="General">
                  <c:v>3.5</c:v>
                </c:pt>
              </c:numCache>
            </c:numRef>
          </c:xVal>
          <c:yVal>
            <c:numRef>
              <c:f>FinFET_v98_HEI_HHI!$L$18:$Z$18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0.78169999999999995</c:v>
                </c:pt>
                <c:pt idx="3">
                  <c:v>0.80010000000000003</c:v>
                </c:pt>
                <c:pt idx="4">
                  <c:v>0.84470000000000001</c:v>
                </c:pt>
                <c:pt idx="5">
                  <c:v>0.85799999999999998</c:v>
                </c:pt>
                <c:pt idx="6">
                  <c:v>0.73119999999999996</c:v>
                </c:pt>
                <c:pt idx="7">
                  <c:v>0.76880000000000004</c:v>
                </c:pt>
                <c:pt idx="8">
                  <c:v>0.84970000000000001</c:v>
                </c:pt>
                <c:pt idx="9">
                  <c:v>0.72519999999999996</c:v>
                </c:pt>
                <c:pt idx="10">
                  <c:v>0.7631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FinFET_v98_HEI_HHI!$L$29:$Z$29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53EB-4DF7-A62E-72611C7BD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FinFET_v98_HEI_HHI!$F$18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34AA901-0D01-4F47-B703-A4BC8A0B576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3EB-4DF7-A62E-72611C7BD6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1D4406-D420-40ED-8209-8C78BDDB102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3EB-4DF7-A62E-72611C7BD62C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CA308D5C-7FF9-4FEF-B744-07B52FE82B7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3EB-4DF7-A62E-72611C7BD62C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1680D174-86BB-4F02-A7F3-EBBC4A60EAB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3EB-4DF7-A62E-72611C7BD62C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CDE1C239-0E7B-402D-895E-10656E1B8AF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3EB-4DF7-A62E-72611C7BD6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FinFET_v98_HEI_HHI!$G$18:$K$18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53EB-4DF7-A62E-72611C7BD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FinFET_v9_Makale_Try_La2O3.in!$F$2</c:f>
              <c:strCache>
                <c:ptCount val="1"/>
                <c:pt idx="0">
                  <c:v>Vth (V)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FinFET_v9_Makale_Try_La2O3.in!$D$3:$D$8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FinFET_v9_Makale_Try_La2O3.in!$F$3:$F$8</c:f>
              <c:numCache>
                <c:formatCode>General</c:formatCode>
                <c:ptCount val="6"/>
                <c:pt idx="0">
                  <c:v>0.66200000000000003</c:v>
                </c:pt>
                <c:pt idx="1">
                  <c:v>0.83179999999999998</c:v>
                </c:pt>
                <c:pt idx="2">
                  <c:v>0.90590000000000004</c:v>
                </c:pt>
                <c:pt idx="3">
                  <c:v>0.95809999999999995</c:v>
                </c:pt>
                <c:pt idx="4">
                  <c:v>0.97550000000000003</c:v>
                </c:pt>
                <c:pt idx="5">
                  <c:v>1.0107999999999999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9-45E6-A64E-B061511A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5174684830204"/>
          <c:y val="0.11517060044906306"/>
          <c:w val="0.81678541668617222"/>
          <c:h val="0.74149275386603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FinFET_v98_HEI_HHI!$F$25</c:f>
              <c:strCache>
                <c:ptCount val="1"/>
                <c:pt idx="0">
                  <c:v>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6081942801307389E-2"/>
                  <c:y val="-3.0373513115715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SiO2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58B-424A-B5FC-B0CF5577FA60}"/>
                </c:ext>
              </c:extLst>
            </c:dLbl>
            <c:dLbl>
              <c:idx val="1"/>
              <c:layout>
                <c:manualLayout>
                  <c:x val="9.839329677155775E-3"/>
                  <c:y val="-5.55439501459179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Al2O3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58B-424A-B5FC-B0CF5577FA60}"/>
                </c:ext>
              </c:extLst>
            </c:dLbl>
            <c:dLbl>
              <c:idx val="2"/>
              <c:layout>
                <c:manualLayout>
                  <c:x val="-2.2309753806240139E-2"/>
                  <c:y val="-0.113194247669553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HfO2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58B-424A-B5FC-B0CF5577FA60}"/>
                </c:ext>
              </c:extLst>
            </c:dLbl>
            <c:dLbl>
              <c:idx val="3"/>
              <c:layout>
                <c:manualLayout>
                  <c:x val="-5.3913254592443428E-3"/>
                  <c:y val="-7.7157589282944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La2O3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58B-424A-B5FC-B0CF5577FA60}"/>
                </c:ext>
              </c:extLst>
            </c:dLbl>
            <c:dLbl>
              <c:idx val="4"/>
              <c:layout>
                <c:manualLayout>
                  <c:x val="-2.0774099659517414E-2"/>
                  <c:y val="-4.71545419649827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TiO2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58B-424A-B5FC-B0CF5577F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FinFET_v98_HEI_HHI!$G$25:$K$25</c:f>
              <c:numCache>
                <c:formatCode>0.00E+00</c:formatCode>
                <c:ptCount val="5"/>
                <c:pt idx="0">
                  <c:v>3.5499100140000001E-14</c:v>
                </c:pt>
                <c:pt idx="1">
                  <c:v>4.2756333009999998E-16</c:v>
                </c:pt>
                <c:pt idx="2">
                  <c:v>7.4843940040000001E-16</c:v>
                </c:pt>
                <c:pt idx="3">
                  <c:v>1.4999248239999999E-15</c:v>
                </c:pt>
                <c:pt idx="4">
                  <c:v>1.483032294E-14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8B-424A-B5FC-B0CF5577FA60}"/>
            </c:ext>
          </c:extLst>
        </c:ser>
        <c:ser>
          <c:idx val="1"/>
          <c:order val="1"/>
          <c:tx>
            <c:strRef>
              <c:f>FinFET_v98_HEI_HHI!$E$25</c:f>
              <c:strCache>
                <c:ptCount val="1"/>
                <c:pt idx="0">
                  <c:v>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8081240460460514E-2"/>
                  <c:y val="-3.15691797216565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​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58B-424A-B5FC-B0CF5577FA60}"/>
                </c:ext>
              </c:extLst>
            </c:dLbl>
            <c:dLbl>
              <c:idx val="1"/>
              <c:layout>
                <c:manualLayout>
                  <c:x val="-4.8152034686686364E-2"/>
                  <c:y val="4.35050133430280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58B-424A-B5FC-B0CF5577FA60}"/>
                </c:ext>
              </c:extLst>
            </c:dLbl>
            <c:dLbl>
              <c:idx val="2"/>
              <c:layout>
                <c:manualLayout>
                  <c:x val="-3.3948327800041651E-2"/>
                  <c:y val="6.22752017668951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058B-424A-B5FC-B0CF5577FA60}"/>
                </c:ext>
              </c:extLst>
            </c:dLbl>
            <c:dLbl>
              <c:idx val="3"/>
              <c:layout>
                <c:manualLayout>
                  <c:x val="1.646895577085631E-2"/>
                  <c:y val="2.14486935609542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58B-424A-B5FC-B0CF5577FA60}"/>
                </c:ext>
              </c:extLst>
            </c:dLbl>
            <c:dLbl>
              <c:idx val="4"/>
              <c:layout>
                <c:manualLayout>
                  <c:x val="9.6673784469265903E-3"/>
                  <c:y val="7.031092330193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058B-424A-B5FC-B0CF5577FA60}"/>
                </c:ext>
              </c:extLst>
            </c:dLbl>
            <c:dLbl>
              <c:idx val="5"/>
              <c:layout>
                <c:manualLayout>
                  <c:x val="-3.5722231100952503E-2"/>
                  <c:y val="6.68417859090454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058B-424A-B5FC-B0CF5577FA60}"/>
                </c:ext>
              </c:extLst>
            </c:dLbl>
            <c:dLbl>
              <c:idx val="6"/>
              <c:layout>
                <c:manualLayout>
                  <c:x val="-4.1347756313929757E-2"/>
                  <c:y val="3.21928932528579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058B-424A-B5FC-B0CF5577FA60}"/>
                </c:ext>
              </c:extLst>
            </c:dLbl>
            <c:dLbl>
              <c:idx val="7"/>
              <c:layout>
                <c:manualLayout>
                  <c:x val="-9.944110272265912E-3"/>
                  <c:y val="0.131336467483365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058B-424A-B5FC-B0CF5577FA60}"/>
                </c:ext>
              </c:extLst>
            </c:dLbl>
            <c:dLbl>
              <c:idx val="8"/>
              <c:layout>
                <c:manualLayout>
                  <c:x val="2.4233154117000222E-2"/>
                  <c:y val="-1.860428598371868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058B-424A-B5FC-B0CF5577FA60}"/>
                </c:ext>
              </c:extLst>
            </c:dLbl>
            <c:dLbl>
              <c:idx val="9"/>
              <c:layout>
                <c:manualLayout>
                  <c:x val="-3.8065711445285866E-2"/>
                  <c:y val="4.2027669594676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058B-424A-B5FC-B0CF5577FA60}"/>
                </c:ext>
              </c:extLst>
            </c:dLbl>
            <c:dLbl>
              <c:idx val="10"/>
              <c:layout>
                <c:manualLayout>
                  <c:x val="1.273657403225476E-2"/>
                  <c:y val="6.30415832731500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058B-424A-B5FC-B0CF5577FA60}"/>
                </c:ext>
              </c:extLst>
            </c:dLbl>
            <c:dLbl>
              <c:idx val="11"/>
              <c:layout>
                <c:manualLayout>
                  <c:x val="1.3842076889194792E-2"/>
                  <c:y val="7.61751511403520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058B-424A-B5FC-B0CF5577FA60}"/>
                </c:ext>
              </c:extLst>
            </c:dLbl>
            <c:dLbl>
              <c:idx val="12"/>
              <c:layout>
                <c:manualLayout>
                  <c:x val="-3.4605192222987205E-2"/>
                  <c:y val="5.51613163430136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058B-424A-B5FC-B0CF5577FA60}"/>
                </c:ext>
              </c:extLst>
            </c:dLbl>
            <c:dLbl>
              <c:idx val="13"/>
              <c:layout>
                <c:manualLayout>
                  <c:x val="-4.3256490278733926E-2"/>
                  <c:y val="4.99078576436788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058B-424A-B5FC-B0CF5577FA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​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058B-424A-B5FC-B0CF5577F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FinFET_v98_HEI_HHI!$L$25:$Z$25</c:f>
              <c:numCache>
                <c:formatCode>0.00E+00</c:formatCode>
                <c:ptCount val="15"/>
                <c:pt idx="0">
                  <c:v>3.5499100140000001E-14</c:v>
                </c:pt>
                <c:pt idx="1">
                  <c:v>3.2803418760000001E-16</c:v>
                </c:pt>
                <c:pt idx="2">
                  <c:v>2.2342132890000001E-17</c:v>
                </c:pt>
                <c:pt idx="3">
                  <c:v>1.3535978149999999E-16</c:v>
                </c:pt>
                <c:pt idx="4">
                  <c:v>7.4776230850000004E-16</c:v>
                </c:pt>
                <c:pt idx="5">
                  <c:v>1.0119630439999999E-15</c:v>
                </c:pt>
                <c:pt idx="6">
                  <c:v>3.716788569E-17</c:v>
                </c:pt>
                <c:pt idx="7">
                  <c:v>1.9312871429999999E-16</c:v>
                </c:pt>
                <c:pt idx="8">
                  <c:v>1.2531103650000001E-15</c:v>
                </c:pt>
                <c:pt idx="9">
                  <c:v>4.7144181870000002E-17</c:v>
                </c:pt>
                <c:pt idx="10">
                  <c:v>2.2839110080000001E-16</c:v>
                </c:pt>
                <c:pt idx="11">
                  <c:v>4.2920780240000002E-15</c:v>
                </c:pt>
                <c:pt idx="12">
                  <c:v>3.9813840200000001E-15</c:v>
                </c:pt>
                <c:pt idx="13">
                  <c:v>3.3363251519999998E-15</c:v>
                </c:pt>
                <c:pt idx="14">
                  <c:v>1.483032294E-14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58B-424A-B5FC-B0CF5577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4838447122761"/>
              <c:y val="0.1285631711573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7E-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OFF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8749630358368164E-2"/>
              <c:y val="0.39129683903112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577128985798769"/>
          <c:y val="0.22479036089000384"/>
          <c:w val="0.18427804698758082"/>
          <c:h val="9.936088303792628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FinFET_v98_HEI_HHI!$F$21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0A53620-31F0-4E46-AAF9-AABA08D9381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849-40F8-9FF2-92441771190F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305BCF60-0BA7-4A03-A960-0AABB8E8DA1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849-40F8-9FF2-92441771190F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955F82F6-EE13-4852-8657-69DEA9604B6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849-40F8-9FF2-92441771190F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A013E5E9-C248-49B7-8E61-63D8F5B2A03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849-40F8-9FF2-92441771190F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3DEC3548-C513-4173-8C1B-0A50DDB3473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849-40F8-9FF2-9244177119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849-40F8-9FF2-924417711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FinFET_v98_HEI_HHI!$F$27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6EAF8F6-CD1E-4220-909B-25B3982C4C5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58-49E6-ABE9-98C138CC779E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C0CFBC6A-1CC3-4D8F-A0E1-2C9C0DB8993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D58-49E6-ABE9-98C138CC779E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7E8D7BBC-D5CB-4D58-B6A5-858CDE787F9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D58-49E6-ABE9-98C138CC779E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25E6FE46-44A2-49B9-8457-C42C6F5B245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D58-49E6-ABE9-98C138CC77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E9C78D-B5BD-4343-B72A-813D1688018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58-49E6-ABE9-98C138CC77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FinFET_v98_HEI_HHI!$G$24:$K$24</c:f>
              <c:numCache>
                <c:formatCode>0.00E+00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D58-49E6-ABE9-98C138CC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FinFET_v98_HEI_HHI!$F$26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CCB2642-574B-48C4-AE13-D400A34046C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59-4FF2-A005-2421DBC058EC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C750F891-819A-4519-B807-F38F19194CD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659-4FF2-A005-2421DBC058EC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CC98110E-2999-4C43-AEDD-A94EB9CB968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659-4FF2-A005-2421DBC058EC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A342261B-4630-4F63-A0CC-6F1DD88E8DF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659-4FF2-A005-2421DBC058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D6756F-0318-4FBF-9B53-C2D93DE8DB6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659-4FF2-A005-2421DBC058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3659-4FF2-A005-2421DBC0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FinFET_v98_HEI_HHI!$F$18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7E1C555-8D39-4853-865D-D04A1618F5D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941-4709-9BC9-0384F48281E1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1F519598-DF99-4BB6-BCD4-C844E853D7C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941-4709-9BC9-0384F48281E1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23C0865D-BC4B-46C0-82A4-B91B0374A91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41-4709-9BC9-0384F48281E1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AE8E7FCB-7B8A-4061-BE93-669BD276788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41-4709-9BC9-0384F48281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2C778D-C1D8-4A07-AE56-72CDBBDFFBD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41-4709-9BC9-0384F48281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941-4709-9BC9-0384F4828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FinFET_v98_HEI_HHI!$F$21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6B8E5F-40AB-459A-A65D-FB2A6C0E69D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7EE-4596-84A5-914551A33E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189C08-7CAE-416C-9F55-FEC7E902CFB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7EE-4596-84A5-914551A33E77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0603686D-6A55-4A58-AF56-33C7E59B5BF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7EE-4596-84A5-914551A33E77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00161338-0351-4DCA-9EF3-3E17A5F5623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7EE-4596-84A5-914551A33E77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715FA6DD-99C9-4744-AAE8-78362C79016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7EE-4596-84A5-914551A33E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FinFET_v98_HEI_HHI!$G$21:$K$21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7EE-4596-84A5-914551A33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FinFET_v98_HEI_HHI!$F$19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0F26B5-0531-4614-B3BC-80F57161AA1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F3E-41D2-B5B5-C124D91573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4F7A8F-8FD2-43A9-BD54-968E72B3F95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F3E-41D2-B5B5-C124D915734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4366A7-27A0-4A32-AE78-E3F70C8952C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F3E-41D2-B5B5-C124D91573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B43F7F-37B1-4264-AB04-6201FB37236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3E-41D2-B5B5-C124D915734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24600E-C96B-4735-AAEC-8C1877ED6C2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3E-41D2-B5B5-C124D9157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F3E-41D2-B5B5-C124D9157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FinFET_v98_HEI_HHI!$E$19</c:f>
              <c:strCache>
                <c:ptCount val="1"/>
                <c:pt idx="0">
                  <c:v>SS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  <a:prstDash val="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E8FCF50-1687-4CB9-9F20-89E14BF9EBB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04-4AA1-8408-49CAD6BCBF8C}"/>
                </c:ext>
              </c:extLst>
            </c:dLbl>
            <c:dLbl>
              <c:idx val="1"/>
              <c:layout>
                <c:manualLayout>
                  <c:x val="-4.5122130639295661E-2"/>
                  <c:y val="2.5535953116128298E-2"/>
                </c:manualLayout>
              </c:layout>
              <c:tx>
                <c:rich>
                  <a:bodyPr/>
                  <a:lstStyle/>
                  <a:p>
                    <a:fld id="{02674619-9BD6-4145-B5BD-FCE7AC9C2CC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D04-4AA1-8408-49CAD6BCBF8C}"/>
                </c:ext>
              </c:extLst>
            </c:dLbl>
            <c:dLbl>
              <c:idx val="2"/>
              <c:layout>
                <c:manualLayout>
                  <c:x val="-5.1815447776161434E-2"/>
                  <c:y val="5.5385792763946298E-2"/>
                </c:manualLayout>
              </c:layout>
              <c:tx>
                <c:rich>
                  <a:bodyPr/>
                  <a:lstStyle/>
                  <a:p>
                    <a:fld id="{4CF2297E-17F1-4498-AA94-005E591E470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04-4AA1-8408-49CAD6BCBF8C}"/>
                </c:ext>
              </c:extLst>
            </c:dLbl>
            <c:dLbl>
              <c:idx val="3"/>
              <c:layout>
                <c:manualLayout>
                  <c:x val="-1.8969923366816795E-2"/>
                  <c:y val="8.225301271869058E-2"/>
                </c:manualLayout>
              </c:layout>
              <c:tx>
                <c:rich>
                  <a:bodyPr/>
                  <a:lstStyle/>
                  <a:p>
                    <a:fld id="{D0C595C0-1B4E-424A-97BE-B061B5D42A2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04-4AA1-8408-49CAD6BCBF8C}"/>
                </c:ext>
              </c:extLst>
            </c:dLbl>
            <c:dLbl>
              <c:idx val="4"/>
              <c:layout>
                <c:manualLayout>
                  <c:x val="-3.9100641818983102E-3"/>
                  <c:y val="8.4514529540847441E-2"/>
                </c:manualLayout>
              </c:layout>
              <c:tx>
                <c:rich>
                  <a:bodyPr/>
                  <a:lstStyle/>
                  <a:p>
                    <a:fld id="{C742DBE3-EEB4-4BEE-A8B9-DDFC7F561C6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04-4AA1-8408-49CAD6BCBF8C}"/>
                </c:ext>
              </c:extLst>
            </c:dLbl>
            <c:dLbl>
              <c:idx val="5"/>
              <c:layout>
                <c:manualLayout>
                  <c:x val="-6.4356660510606303E-2"/>
                  <c:y val="3.9059223551347069E-2"/>
                </c:manualLayout>
              </c:layout>
              <c:tx>
                <c:rich>
                  <a:bodyPr/>
                  <a:lstStyle/>
                  <a:p>
                    <a:fld id="{4A714D0E-7071-4009-85F4-E3BF571E953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D04-4AA1-8408-49CAD6BCBF8C}"/>
                </c:ext>
              </c:extLst>
            </c:dLbl>
            <c:dLbl>
              <c:idx val="6"/>
              <c:layout>
                <c:manualLayout>
                  <c:x val="-2.7625703954335046E-2"/>
                  <c:y val="4.0990833536721324E-2"/>
                </c:manualLayout>
              </c:layout>
              <c:tx>
                <c:rich>
                  <a:bodyPr/>
                  <a:lstStyle/>
                  <a:p>
                    <a:fld id="{CC1154D0-6E3D-44B5-A793-D287F03BED8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D04-4AA1-8408-49CAD6BCBF8C}"/>
                </c:ext>
              </c:extLst>
            </c:dLbl>
            <c:dLbl>
              <c:idx val="7"/>
              <c:layout>
                <c:manualLayout>
                  <c:x val="-3.3047006105571812E-2"/>
                  <c:y val="6.7075843290251375E-2"/>
                </c:manualLayout>
              </c:layout>
              <c:tx>
                <c:rich>
                  <a:bodyPr/>
                  <a:lstStyle/>
                  <a:p>
                    <a:fld id="{763E554F-F7F8-4B93-9F5B-CAC4E9E2023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D04-4AA1-8408-49CAD6BCBF8C}"/>
                </c:ext>
              </c:extLst>
            </c:dLbl>
            <c:dLbl>
              <c:idx val="8"/>
              <c:layout>
                <c:manualLayout>
                  <c:x val="-3.7506322918129706E-2"/>
                  <c:y val="-2.6248871969594738E-2"/>
                </c:manualLayout>
              </c:layout>
              <c:tx>
                <c:rich>
                  <a:bodyPr/>
                  <a:lstStyle/>
                  <a:p>
                    <a:fld id="{B14F1A55-743B-47A8-AD0C-5890DC2DF03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D04-4AA1-8408-49CAD6BCBF8C}"/>
                </c:ext>
              </c:extLst>
            </c:dLbl>
            <c:dLbl>
              <c:idx val="9"/>
              <c:layout>
                <c:manualLayout>
                  <c:x val="-3.2785098412662007E-2"/>
                  <c:y val="4.933165503355829E-2"/>
                </c:manualLayout>
              </c:layout>
              <c:tx>
                <c:rich>
                  <a:bodyPr/>
                  <a:lstStyle/>
                  <a:p>
                    <a:fld id="{B85A8C8C-7EB3-461E-A42D-79CCB1C6499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D04-4AA1-8408-49CAD6BCBF8C}"/>
                </c:ext>
              </c:extLst>
            </c:dLbl>
            <c:dLbl>
              <c:idx val="10"/>
              <c:layout>
                <c:manualLayout>
                  <c:x val="-1.2749760493812996E-2"/>
                  <c:y val="6.8124666474913831E-2"/>
                </c:manualLayout>
              </c:layout>
              <c:tx>
                <c:rich>
                  <a:bodyPr/>
                  <a:lstStyle/>
                  <a:p>
                    <a:fld id="{16A618FC-3C71-470F-BF72-3A41BDF4D42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D04-4AA1-8408-49CAD6BCBF8C}"/>
                </c:ext>
              </c:extLst>
            </c:dLbl>
            <c:dLbl>
              <c:idx val="11"/>
              <c:layout>
                <c:manualLayout>
                  <c:x val="-1.375536331249618E-2"/>
                  <c:y val="9.7183024820124392E-2"/>
                </c:manualLayout>
              </c:layout>
              <c:tx>
                <c:rich>
                  <a:bodyPr/>
                  <a:lstStyle/>
                  <a:p>
                    <a:fld id="{04221CEA-FE13-4B7E-B26B-4914CCA69C4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D04-4AA1-8408-49CAD6BCBF8C}"/>
                </c:ext>
              </c:extLst>
            </c:dLbl>
            <c:dLbl>
              <c:idx val="12"/>
              <c:layout>
                <c:manualLayout>
                  <c:x val="-2.003533791884906E-2"/>
                  <c:y val="5.6379034324066615E-2"/>
                </c:manualLayout>
              </c:layout>
              <c:tx>
                <c:rich>
                  <a:bodyPr/>
                  <a:lstStyle/>
                  <a:p>
                    <a:fld id="{FDD8A0DC-918F-498D-A252-418F8CDB000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D04-4AA1-8408-49CAD6BCBF8C}"/>
                </c:ext>
              </c:extLst>
            </c:dLbl>
            <c:dLbl>
              <c:idx val="13"/>
              <c:layout>
                <c:manualLayout>
                  <c:x val="-4.1892070193956854E-2"/>
                  <c:y val="6.3426413614574947E-2"/>
                </c:manualLayout>
              </c:layout>
              <c:tx>
                <c:rich>
                  <a:bodyPr/>
                  <a:lstStyle/>
                  <a:p>
                    <a:fld id="{BAFE1DB3-89E1-4221-A7C4-323CBF50BE3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D04-4AA1-8408-49CAD6BCBF8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31958BF-7317-4037-8282-1A2BD55D162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D04-4AA1-8408-49CAD6BCB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FinFET_v98_HEI_HHI!$L$19:$Z$19</c:f>
              <c:numCache>
                <c:formatCode>General</c:formatCode>
                <c:ptCount val="15"/>
                <c:pt idx="0">
                  <c:v>89.6</c:v>
                </c:pt>
                <c:pt idx="1">
                  <c:v>82.6</c:v>
                </c:pt>
                <c:pt idx="2">
                  <c:v>81.099999999999994</c:v>
                </c:pt>
                <c:pt idx="3">
                  <c:v>81.7</c:v>
                </c:pt>
                <c:pt idx="4">
                  <c:v>82</c:v>
                </c:pt>
                <c:pt idx="5">
                  <c:v>80.3</c:v>
                </c:pt>
                <c:pt idx="6">
                  <c:v>78.900000000000006</c:v>
                </c:pt>
                <c:pt idx="7">
                  <c:v>76.8</c:v>
                </c:pt>
                <c:pt idx="8">
                  <c:v>79</c:v>
                </c:pt>
                <c:pt idx="9">
                  <c:v>77.099999999999994</c:v>
                </c:pt>
                <c:pt idx="10">
                  <c:v>76.2</c:v>
                </c:pt>
                <c:pt idx="11">
                  <c:v>79.8</c:v>
                </c:pt>
                <c:pt idx="12">
                  <c:v>78.3</c:v>
                </c:pt>
                <c:pt idx="13">
                  <c:v>77</c:v>
                </c:pt>
                <c:pt idx="1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6D04-4AA1-8408-49CAD6BC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FinFET_v98_HEI_HHI!$F$19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3641171246000693E-2"/>
                  <c:y val="-4.0873105572259469E-2"/>
                </c:manualLayout>
              </c:layout>
              <c:tx>
                <c:rich>
                  <a:bodyPr/>
                  <a:lstStyle/>
                  <a:p>
                    <a:fld id="{ECDCFC63-4DCB-4BC7-97DF-9A9978D6D50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D04-4AA1-8408-49CAD6BCBF8C}"/>
                </c:ext>
              </c:extLst>
            </c:dLbl>
            <c:dLbl>
              <c:idx val="1"/>
              <c:layout>
                <c:manualLayout>
                  <c:x val="1.3167881790248725E-2"/>
                  <c:y val="-4.9451696267995941E-2"/>
                </c:manualLayout>
              </c:layout>
              <c:tx>
                <c:rich>
                  <a:bodyPr/>
                  <a:lstStyle/>
                  <a:p>
                    <a:fld id="{7065A81D-B234-43BA-B89F-8239F788112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D04-4AA1-8408-49CAD6BCBF8C}"/>
                </c:ext>
              </c:extLst>
            </c:dLbl>
            <c:dLbl>
              <c:idx val="2"/>
              <c:layout>
                <c:manualLayout>
                  <c:x val="-6.9869649478826699E-3"/>
                  <c:y val="-7.3756361456831829E-2"/>
                </c:manualLayout>
              </c:layout>
              <c:tx>
                <c:rich>
                  <a:bodyPr/>
                  <a:lstStyle/>
                  <a:p>
                    <a:fld id="{D31A946C-6376-48D0-BDE5-258512410F6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D04-4AA1-8408-49CAD6BCBF8C}"/>
                </c:ext>
              </c:extLst>
            </c:dLbl>
            <c:dLbl>
              <c:idx val="3"/>
              <c:layout>
                <c:manualLayout>
                  <c:x val="1.0829801039757999E-2"/>
                  <c:y val="-4.5647061585301026E-2"/>
                </c:manualLayout>
              </c:layout>
              <c:tx>
                <c:rich>
                  <a:bodyPr/>
                  <a:lstStyle/>
                  <a:p>
                    <a:fld id="{BA0F5BAC-D18A-491C-9643-A1D0E9335A6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D04-4AA1-8408-49CAD6BCBF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08BDAE-421E-482F-B21F-558DA154598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D04-4AA1-8408-49CAD6BCB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6D04-4AA1-8408-49CAD6BC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At val="3.9"/>
        <c:crossBetween val="midCat"/>
        <c:minorUnit val="1"/>
      </c:valAx>
      <c:valAx>
        <c:axId val="363195216"/>
        <c:scaling>
          <c:orientation val="minMax"/>
          <c:max val="90"/>
          <c:min val="7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SS (mV/decade)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2737627967246"/>
              <c:y val="0.3632886878245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  <c:majorUnit val="5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80705470406246"/>
          <c:y val="0.14705776471921889"/>
          <c:w val="0.23186483319188161"/>
          <c:h val="0.186311484991868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FinFET_v98_HEI_HHI!$F$18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C70FA3A-4796-4DBE-AFAE-48E8BFEB485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E1F-4D4E-A604-73B9A1D068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5918EB-3CEF-40EE-B0E1-A5CE1A54669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E1F-4D4E-A604-73B9A1D068E0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F0919E31-CC24-4560-A345-C6355627CC1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E1F-4D4E-A604-73B9A1D068E0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7D14F2FD-2CF8-4284-8941-92885CA7E89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E1F-4D4E-A604-73B9A1D068E0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4B2979D8-4C67-46E7-A9D3-C7CB06AD672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E1F-4D4E-A604-73B9A1D068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FinFET_v98_HEI_HHI!$G$18:$K$18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E1F-4D4E-A604-73B9A1D0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FinFET_v98_HEI_HHI!$E$27</c:f>
              <c:strCache>
                <c:ptCount val="1"/>
                <c:pt idx="0">
                  <c:v>ION/IOFF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5FB0164-3E21-49B6-A342-F93F222B447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46F-499F-B928-9E3A4EE2E3ED}"/>
                </c:ext>
              </c:extLst>
            </c:dLbl>
            <c:dLbl>
              <c:idx val="1"/>
              <c:layout>
                <c:manualLayout>
                  <c:x val="-8.1818866285334989E-3"/>
                  <c:y val="-0.10440107311112189"/>
                </c:manualLayout>
              </c:layout>
              <c:tx>
                <c:rich>
                  <a:bodyPr/>
                  <a:lstStyle/>
                  <a:p>
                    <a:fld id="{F453E31C-3FBB-46EF-AFCA-7237B0F27A9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46F-499F-B928-9E3A4EE2E3ED}"/>
                </c:ext>
              </c:extLst>
            </c:dLbl>
            <c:dLbl>
              <c:idx val="2"/>
              <c:layout>
                <c:manualLayout>
                  <c:x val="-1.3781161827901251E-2"/>
                  <c:y val="-4.7943823429315989E-2"/>
                </c:manualLayout>
              </c:layout>
              <c:tx>
                <c:rich>
                  <a:bodyPr/>
                  <a:lstStyle/>
                  <a:p>
                    <a:fld id="{0C1CB39D-7F96-4136-A2ED-5FB5A464B2D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46F-499F-B928-9E3A4EE2E3ED}"/>
                </c:ext>
              </c:extLst>
            </c:dLbl>
            <c:dLbl>
              <c:idx val="3"/>
              <c:layout>
                <c:manualLayout>
                  <c:x val="3.4982949255441563E-2"/>
                  <c:y val="-7.2036349723388682E-2"/>
                </c:manualLayout>
              </c:layout>
              <c:tx>
                <c:rich>
                  <a:bodyPr/>
                  <a:lstStyle/>
                  <a:p>
                    <a:fld id="{B722F78B-5DF0-4A0A-9B85-26DF6C7D45B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46F-499F-B928-9E3A4EE2E3ED}"/>
                </c:ext>
              </c:extLst>
            </c:dLbl>
            <c:dLbl>
              <c:idx val="4"/>
              <c:layout>
                <c:manualLayout>
                  <c:x val="1.1049136227494177E-2"/>
                  <c:y val="-6.0270671196540039E-2"/>
                </c:manualLayout>
              </c:layout>
              <c:tx>
                <c:rich>
                  <a:bodyPr/>
                  <a:lstStyle/>
                  <a:p>
                    <a:fld id="{498DC71A-DDB4-4530-A64F-33B039EE76E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46F-499F-B928-9E3A4EE2E3ED}"/>
                </c:ext>
              </c:extLst>
            </c:dLbl>
            <c:dLbl>
              <c:idx val="5"/>
              <c:layout>
                <c:manualLayout>
                  <c:x val="-2.0136940174732779E-2"/>
                  <c:y val="-8.3655176696583761E-2"/>
                </c:manualLayout>
              </c:layout>
              <c:tx>
                <c:rich>
                  <a:bodyPr/>
                  <a:lstStyle/>
                  <a:p>
                    <a:fld id="{1B505892-FF17-49FB-BE3B-83F31D4CEB1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46F-499F-B928-9E3A4EE2E3ED}"/>
                </c:ext>
              </c:extLst>
            </c:dLbl>
            <c:dLbl>
              <c:idx val="6"/>
              <c:layout>
                <c:manualLayout>
                  <c:x val="-7.8712053182763923E-3"/>
                  <c:y val="-5.2738205772247589E-2"/>
                </c:manualLayout>
              </c:layout>
              <c:tx>
                <c:rich>
                  <a:bodyPr/>
                  <a:lstStyle/>
                  <a:p>
                    <a:fld id="{333F139D-4841-48B1-87FF-985BFB77C15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46F-499F-B928-9E3A4EE2E3ED}"/>
                </c:ext>
              </c:extLst>
            </c:dLbl>
            <c:dLbl>
              <c:idx val="7"/>
              <c:layout>
                <c:manualLayout>
                  <c:x val="-7.271207449838688E-3"/>
                  <c:y val="-8.8302660387529014E-2"/>
                </c:manualLayout>
              </c:layout>
              <c:tx>
                <c:rich>
                  <a:bodyPr/>
                  <a:lstStyle/>
                  <a:p>
                    <a:fld id="{6E0EA1E4-4962-4224-9410-B07B226D7A9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46F-499F-B928-9E3A4EE2E3ED}"/>
                </c:ext>
              </c:extLst>
            </c:dLbl>
            <c:dLbl>
              <c:idx val="8"/>
              <c:layout>
                <c:manualLayout>
                  <c:x val="-1.3788256914245114E-2"/>
                  <c:y val="-8.6052367868049554E-2"/>
                </c:manualLayout>
              </c:layout>
              <c:tx>
                <c:rich>
                  <a:bodyPr/>
                  <a:lstStyle/>
                  <a:p>
                    <a:fld id="{A082C5D9-7D7C-49F8-BCF2-537F6422DC7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46F-499F-B928-9E3A4EE2E3ED}"/>
                </c:ext>
              </c:extLst>
            </c:dLbl>
            <c:dLbl>
              <c:idx val="9"/>
              <c:layout>
                <c:manualLayout>
                  <c:x val="-3.6403635956294934E-3"/>
                  <c:y val="-5.8461074994898887E-2"/>
                </c:manualLayout>
              </c:layout>
              <c:tx>
                <c:rich>
                  <a:bodyPr/>
                  <a:lstStyle/>
                  <a:p>
                    <a:fld id="{1F16AE58-DC28-47B7-9591-F4225748948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46F-499F-B928-9E3A4EE2E3ED}"/>
                </c:ext>
              </c:extLst>
            </c:dLbl>
            <c:dLbl>
              <c:idx val="10"/>
              <c:layout>
                <c:manualLayout>
                  <c:x val="2.0438189193732675E-2"/>
                  <c:y val="-5.7946905801901052E-2"/>
                </c:manualLayout>
              </c:layout>
              <c:tx>
                <c:rich>
                  <a:bodyPr/>
                  <a:lstStyle/>
                  <a:p>
                    <a:fld id="{4805296C-F9F9-4FF2-9289-6F4D729A4D0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46F-499F-B928-9E3A4EE2E3ED}"/>
                </c:ext>
              </c:extLst>
            </c:dLbl>
            <c:dLbl>
              <c:idx val="11"/>
              <c:layout>
                <c:manualLayout>
                  <c:x val="-3.7826826805269598E-3"/>
                  <c:y val="-0.10175736763493687"/>
                </c:manualLayout>
              </c:layout>
              <c:tx>
                <c:rich>
                  <a:bodyPr/>
                  <a:lstStyle/>
                  <a:p>
                    <a:fld id="{9650716E-9DB7-4EDF-A831-B0BEBFE1134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46F-499F-B928-9E3A4EE2E3ED}"/>
                </c:ext>
              </c:extLst>
            </c:dLbl>
            <c:dLbl>
              <c:idx val="12"/>
              <c:layout>
                <c:manualLayout>
                  <c:x val="-1.8635703375975636E-2"/>
                  <c:y val="-0.10116977266511221"/>
                </c:manualLayout>
              </c:layout>
              <c:tx>
                <c:rich>
                  <a:bodyPr/>
                  <a:lstStyle/>
                  <a:p>
                    <a:fld id="{BA1498EB-AC62-4DD9-A6AA-50972D4B4D0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46F-499F-B928-9E3A4EE2E3ED}"/>
                </c:ext>
              </c:extLst>
            </c:dLbl>
            <c:dLbl>
              <c:idx val="13"/>
              <c:layout>
                <c:manualLayout>
                  <c:x val="7.2712074498385987E-3"/>
                  <c:y val="-7.2036380842457892E-2"/>
                </c:manualLayout>
              </c:layout>
              <c:tx>
                <c:rich>
                  <a:bodyPr/>
                  <a:lstStyle/>
                  <a:p>
                    <a:fld id="{4FC5C6A2-FBB7-459F-9197-FF4F8BCD51E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46F-499F-B928-9E3A4EE2E3E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B74032A-ACAC-4836-B310-20FF1DF5CED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46F-499F-B928-9E3A4EE2E3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FinFET_v98_HEI_HHI!$L$27:$Z$27</c:f>
              <c:numCache>
                <c:formatCode>0.00E+00</c:formatCode>
                <c:ptCount val="15"/>
                <c:pt idx="0">
                  <c:v>564668834.72951043</c:v>
                </c:pt>
                <c:pt idx="1">
                  <c:v>58139974859.132637</c:v>
                </c:pt>
                <c:pt idx="2">
                  <c:v>730602378491.17896</c:v>
                </c:pt>
                <c:pt idx="3">
                  <c:v>139148648743.94025</c:v>
                </c:pt>
                <c:pt idx="4">
                  <c:v>19063649635.66494</c:v>
                </c:pt>
                <c:pt idx="5">
                  <c:v>15434954846.038828</c:v>
                </c:pt>
                <c:pt idx="6">
                  <c:v>292157974778.79083</c:v>
                </c:pt>
                <c:pt idx="7">
                  <c:v>92519327614.039841</c:v>
                </c:pt>
                <c:pt idx="8">
                  <c:v>9826034620.661684</c:v>
                </c:pt>
                <c:pt idx="9">
                  <c:v>408707026524.11945</c:v>
                </c:pt>
                <c:pt idx="10">
                  <c:v>78512604769.581284</c:v>
                </c:pt>
                <c:pt idx="11">
                  <c:v>3307759810.1930499</c:v>
                </c:pt>
                <c:pt idx="12">
                  <c:v>3994408602.6647587</c:v>
                </c:pt>
                <c:pt idx="13">
                  <c:v>4416710598.8355417</c:v>
                </c:pt>
                <c:pt idx="14">
                  <c:v>925685239.32628536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46F-499F-B928-9E3A4EE2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FinFET_v98_HEI_HHI!$F$27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0623915966760605E-2"/>
                  <c:y val="4.4902250981662204E-3"/>
                </c:manualLayout>
              </c:layout>
              <c:tx>
                <c:rich>
                  <a:bodyPr/>
                  <a:lstStyle/>
                  <a:p>
                    <a:fld id="{6824E792-99B8-4DC3-9338-C839729EC74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46F-499F-B928-9E3A4EE2E3ED}"/>
                </c:ext>
              </c:extLst>
            </c:dLbl>
            <c:dLbl>
              <c:idx val="1"/>
              <c:layout>
                <c:manualLayout>
                  <c:x val="-5.0895808907455202E-2"/>
                  <c:y val="-6.2667107347164436E-2"/>
                </c:manualLayout>
              </c:layout>
              <c:tx>
                <c:rich>
                  <a:bodyPr/>
                  <a:lstStyle/>
                  <a:p>
                    <a:fld id="{2596E134-CB44-4D60-A968-85EA2896352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46F-499F-B928-9E3A4EE2E3ED}"/>
                </c:ext>
              </c:extLst>
            </c:dLbl>
            <c:dLbl>
              <c:idx val="2"/>
              <c:layout>
                <c:manualLayout>
                  <c:x val="-2.7562323655802502E-2"/>
                  <c:y val="8.1316310885116594E-2"/>
                </c:manualLayout>
              </c:layout>
              <c:tx>
                <c:rich>
                  <a:bodyPr/>
                  <a:lstStyle/>
                  <a:p>
                    <a:fld id="{683D3E51-A14D-4943-8975-597A10520DF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46F-499F-B928-9E3A4EE2E3ED}"/>
                </c:ext>
              </c:extLst>
            </c:dLbl>
            <c:dLbl>
              <c:idx val="3"/>
              <c:layout>
                <c:manualLayout>
                  <c:x val="9.7053722196520607E-3"/>
                  <c:y val="6.0618038825243935E-2"/>
                </c:manualLayout>
              </c:layout>
              <c:tx>
                <c:rich>
                  <a:bodyPr/>
                  <a:lstStyle/>
                  <a:p>
                    <a:fld id="{C8BBD5B3-3CE0-4FC8-8B66-C1ACBE528F0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46F-499F-B928-9E3A4EE2E3E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F5CCC3-1351-4A9A-BE9A-94C7C24E9E3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46F-499F-B928-9E3A4EE2E3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FinFET_v98_HEI_HHI!$G$27:$K$27</c:f>
              <c:numCache>
                <c:formatCode>0.00E+00</c:formatCode>
                <c:ptCount val="5"/>
                <c:pt idx="0">
                  <c:v>564668800</c:v>
                </c:pt>
                <c:pt idx="1">
                  <c:v>43737150000</c:v>
                </c:pt>
                <c:pt idx="2">
                  <c:v>15650025872.154766</c:v>
                </c:pt>
                <c:pt idx="3">
                  <c:v>9493568212.3226204</c:v>
                </c:pt>
                <c:pt idx="4">
                  <c:v>925685239.32628536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A46F-499F-B928-9E3A4EE2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>
                    <a:solidFill>
                      <a:schemeClr val="tx1"/>
                    </a:solidFill>
                  </a:rPr>
                  <a:t>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600">
                    <a:solidFill>
                      <a:schemeClr val="tx1"/>
                    </a:solidFill>
                  </a:rPr>
                  <a:t>/I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OFF</a:t>
                </a:r>
                <a:endParaRPr lang="en-US" sz="1600" baseline="-25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6737209825870442E-2"/>
              <c:y val="0.40106587390784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32658049479266"/>
          <c:y val="0.15511749407659162"/>
          <c:w val="0.22591204370595122"/>
          <c:h val="0.20796830452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FinFET_v9_Makale_Try_La2O3.in!$K$2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FinFET_v9_Makale_Try_La2O3.in!$D$3:$D$8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FinFET_v9_Makale_Try_La2O3.in!$K$3:$K$8</c:f>
              <c:numCache>
                <c:formatCode>0.00E+00</c:formatCode>
                <c:ptCount val="6"/>
                <c:pt idx="0">
                  <c:v>1000000000</c:v>
                </c:pt>
                <c:pt idx="1">
                  <c:v>1000000000000</c:v>
                </c:pt>
                <c:pt idx="2">
                  <c:v>100000000000000</c:v>
                </c:pt>
                <c:pt idx="3">
                  <c:v>100000000000000</c:v>
                </c:pt>
                <c:pt idx="4">
                  <c:v>100000000000000</c:v>
                </c:pt>
                <c:pt idx="5">
                  <c:v>1E+16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4-44A3-AD55-3BFF27506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6948454305553"/>
          <c:y val="0.1345369796342365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FinFET_v98_HEI_HHI!$E$28</c:f>
              <c:strCache>
                <c:ptCount val="1"/>
                <c:pt idx="0">
                  <c:v>Ig Leakage current w/ FGMs @Vg=0.75V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8C23282-C4CA-4AD9-A94D-2F73CC758FF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284-47F5-83B1-4243D60B2659}"/>
                </c:ext>
              </c:extLst>
            </c:dLbl>
            <c:dLbl>
              <c:idx val="1"/>
              <c:layout>
                <c:manualLayout>
                  <c:x val="1.4838106551546134E-2"/>
                  <c:y val="-4.0193247581089706E-2"/>
                </c:manualLayout>
              </c:layout>
              <c:tx>
                <c:rich>
                  <a:bodyPr/>
                  <a:lstStyle/>
                  <a:p>
                    <a:fld id="{8801E476-7368-4EAB-97D1-B02B0B0E957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284-47F5-83B1-4243D60B2659}"/>
                </c:ext>
              </c:extLst>
            </c:dLbl>
            <c:dLbl>
              <c:idx val="2"/>
              <c:layout>
                <c:manualLayout>
                  <c:x val="-4.8981308376829596E-2"/>
                  <c:y val="2.2687722950263379E-2"/>
                </c:manualLayout>
              </c:layout>
              <c:tx>
                <c:rich>
                  <a:bodyPr/>
                  <a:lstStyle/>
                  <a:p>
                    <a:fld id="{FB3F06A2-2FEF-4CCA-BA31-1C935EBE846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284-47F5-83B1-4243D60B2659}"/>
                </c:ext>
              </c:extLst>
            </c:dLbl>
            <c:dLbl>
              <c:idx val="3"/>
              <c:layout>
                <c:manualLayout>
                  <c:x val="-3.1657080131934093E-2"/>
                  <c:y val="6.9848450848778082E-2"/>
                </c:manualLayout>
              </c:layout>
              <c:tx>
                <c:rich>
                  <a:bodyPr/>
                  <a:lstStyle/>
                  <a:p>
                    <a:fld id="{9C6DA668-4133-45D5-8FBE-0BE8C1EEBF6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284-47F5-83B1-4243D60B2659}"/>
                </c:ext>
              </c:extLst>
            </c:dLbl>
            <c:dLbl>
              <c:idx val="4"/>
              <c:layout>
                <c:manualLayout>
                  <c:x val="-4.6472711369134135E-3"/>
                  <c:y val="6.5356952953681435E-2"/>
                </c:manualLayout>
              </c:layout>
              <c:tx>
                <c:rich>
                  <a:bodyPr/>
                  <a:lstStyle/>
                  <a:p>
                    <a:fld id="{F0BF8CF8-9C82-4785-A005-168850AE886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284-47F5-83B1-4243D60B265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2F1D88B-BF33-4855-822B-3EAD22D7DBE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84-47F5-83B1-4243D60B2659}"/>
                </c:ext>
              </c:extLst>
            </c:dLbl>
            <c:dLbl>
              <c:idx val="6"/>
              <c:layout>
                <c:manualLayout>
                  <c:x val="-2.3157412142716487E-2"/>
                  <c:y val="-5.1421992318831274E-2"/>
                </c:manualLayout>
              </c:layout>
              <c:tx>
                <c:rich>
                  <a:bodyPr/>
                  <a:lstStyle/>
                  <a:p>
                    <a:fld id="{CC5F14FC-B7B7-4DC6-842C-1BCF5236DEE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284-47F5-83B1-4243D60B2659}"/>
                </c:ext>
              </c:extLst>
            </c:dLbl>
            <c:dLbl>
              <c:idx val="7"/>
              <c:layout>
                <c:manualLayout>
                  <c:x val="4.4135598610400961E-3"/>
                  <c:y val="-3.5701749685993101E-2"/>
                </c:manualLayout>
              </c:layout>
              <c:tx>
                <c:rich>
                  <a:bodyPr/>
                  <a:lstStyle/>
                  <a:p>
                    <a:fld id="{3413438B-B751-4F2F-8A41-88D3232AADD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284-47F5-83B1-4243D60B2659}"/>
                </c:ext>
              </c:extLst>
            </c:dLbl>
            <c:dLbl>
              <c:idx val="8"/>
              <c:layout>
                <c:manualLayout>
                  <c:x val="-1.6405379806417957E-3"/>
                  <c:y val="6.0865455058584872E-2"/>
                </c:manualLayout>
              </c:layout>
              <c:tx>
                <c:rich>
                  <a:bodyPr/>
                  <a:lstStyle/>
                  <a:p>
                    <a:fld id="{F4884693-6FE1-4679-828B-3256D0D6FC9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284-47F5-83B1-4243D60B265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007C674-8725-4976-ABDD-51E73602BDC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84-47F5-83B1-4243D60B2659}"/>
                </c:ext>
              </c:extLst>
            </c:dLbl>
            <c:dLbl>
              <c:idx val="10"/>
              <c:layout>
                <c:manualLayout>
                  <c:x val="2.224832166989826E-2"/>
                  <c:y val="-2.0155154727681721E-3"/>
                </c:manualLayout>
              </c:layout>
              <c:tx>
                <c:rich>
                  <a:bodyPr/>
                  <a:lstStyle/>
                  <a:p>
                    <a:fld id="{01C91474-9C1C-45CF-AF62-47723E9D661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284-47F5-83B1-4243D60B265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EFDBEF2-41E6-4CD8-B352-56FE84E7498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284-47F5-83B1-4243D60B265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8F5B525-A4B7-4F06-8045-012C819F490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284-47F5-83B1-4243D60B265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80E576B-AA13-4322-A346-7AF36F4247A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284-47F5-83B1-4243D60B265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15B6B71-CAF9-4490-8E96-33A05CB7705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284-47F5-83B1-4243D60B2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FinFET_v98_HEI_HHI!$L$14:$Z$14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34.5</c:v>
                </c:pt>
                <c:pt idx="6">
                  <c:v>36.966666666666669</c:v>
                </c:pt>
                <c:pt idx="7">
                  <c:v>41.300000000000004</c:v>
                </c:pt>
                <c:pt idx="8">
                  <c:v>44</c:v>
                </c:pt>
                <c:pt idx="9">
                  <c:v>49.449999999999996</c:v>
                </c:pt>
                <c:pt idx="10">
                  <c:v>50.800000000000004</c:v>
                </c:pt>
                <c:pt idx="11">
                  <c:v>60</c:v>
                </c:pt>
                <c:pt idx="12">
                  <c:v>69.5</c:v>
                </c:pt>
                <c:pt idx="13">
                  <c:v>83.333333333333329</c:v>
                </c:pt>
                <c:pt idx="14" formatCode="General">
                  <c:v>95</c:v>
                </c:pt>
              </c:numCache>
            </c:numRef>
          </c:xVal>
          <c:yVal>
            <c:numRef>
              <c:f>FinFET_v98_HEI_HHI!$L$28:$Z$28</c:f>
              <c:numCache>
                <c:formatCode>0.00E+00</c:formatCode>
                <c:ptCount val="15"/>
                <c:pt idx="0">
                  <c:v>1.0000000000000001E-9</c:v>
                </c:pt>
                <c:pt idx="1">
                  <c:v>5.4000000000000001E-11</c:v>
                </c:pt>
                <c:pt idx="2">
                  <c:v>4.9999999999999997E-12</c:v>
                </c:pt>
                <c:pt idx="3">
                  <c:v>2.4999999999999998E-12</c:v>
                </c:pt>
                <c:pt idx="4">
                  <c:v>9.9999999999999998E-13</c:v>
                </c:pt>
                <c:pt idx="5">
                  <c:v>1.1999999999999999E-12</c:v>
                </c:pt>
                <c:pt idx="6">
                  <c:v>1.6999999999999999E-11</c:v>
                </c:pt>
                <c:pt idx="7">
                  <c:v>6.0000000000000003E-12</c:v>
                </c:pt>
                <c:pt idx="8">
                  <c:v>1.7E-12</c:v>
                </c:pt>
                <c:pt idx="9">
                  <c:v>1.6999999999999999E-11</c:v>
                </c:pt>
                <c:pt idx="10">
                  <c:v>5.5000000000000004E-12</c:v>
                </c:pt>
                <c:pt idx="11">
                  <c:v>9E-13</c:v>
                </c:pt>
                <c:pt idx="12">
                  <c:v>4.9999999999999999E-13</c:v>
                </c:pt>
                <c:pt idx="13">
                  <c:v>1.4999999999999999E-13</c:v>
                </c:pt>
                <c:pt idx="14">
                  <c:v>9E-13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1284-47F5-83B1-4243D60B2659}"/>
            </c:ext>
          </c:extLst>
        </c:ser>
        <c:ser>
          <c:idx val="0"/>
          <c:order val="0"/>
          <c:tx>
            <c:strRef>
              <c:f>FinFET_v98_HEI_HHI!$F$28</c:f>
              <c:strCache>
                <c:ptCount val="1"/>
                <c:pt idx="0">
                  <c:v>Ig Leakage current w/ single dielectric @Vg=0.75V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8432275814183686E-2"/>
                  <c:y val="-2.6941093405336528E-2"/>
                </c:manualLayout>
              </c:layout>
              <c:tx>
                <c:rich>
                  <a:bodyPr/>
                  <a:lstStyle/>
                  <a:p>
                    <a:fld id="{C2CB604F-BF52-4C18-B17E-8020CD0BCC5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284-47F5-83B1-4243D60B2659}"/>
                </c:ext>
              </c:extLst>
            </c:dLbl>
            <c:dLbl>
              <c:idx val="1"/>
              <c:layout>
                <c:manualLayout>
                  <c:x val="-5.4875331746530899E-2"/>
                  <c:y val="3.1414835208544219E-2"/>
                </c:manualLayout>
              </c:layout>
              <c:tx>
                <c:rich>
                  <a:bodyPr/>
                  <a:lstStyle/>
                  <a:p>
                    <a:fld id="{E093ABE9-6F9F-4513-BF2A-7EEC8EE4358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284-47F5-83B1-4243D60B2659}"/>
                </c:ext>
              </c:extLst>
            </c:dLbl>
            <c:dLbl>
              <c:idx val="2"/>
              <c:layout>
                <c:manualLayout>
                  <c:x val="9.1389457974161963E-3"/>
                  <c:y val="-6.061746016200719E-2"/>
                </c:manualLayout>
              </c:layout>
              <c:tx>
                <c:rich>
                  <a:bodyPr/>
                  <a:lstStyle/>
                  <a:p>
                    <a:fld id="{128AC09A-FA67-44FB-829B-6BDB333DF2F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284-47F5-83B1-4243D60B2659}"/>
                </c:ext>
              </c:extLst>
            </c:dLbl>
            <c:dLbl>
              <c:idx val="3"/>
              <c:layout>
                <c:manualLayout>
                  <c:x val="-1.218526106322167E-2"/>
                  <c:y val="-5.1637095693561681E-2"/>
                </c:manualLayout>
              </c:layout>
              <c:tx>
                <c:rich>
                  <a:bodyPr/>
                  <a:lstStyle/>
                  <a:p>
                    <a:fld id="{3F5DB35F-E148-456A-B1A7-BF64C1BE42C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284-47F5-83B1-4243D60B2659}"/>
                </c:ext>
              </c:extLst>
            </c:dLbl>
            <c:dLbl>
              <c:idx val="4"/>
              <c:layout>
                <c:manualLayout>
                  <c:x val="-5.4833674784497181E-2"/>
                  <c:y val="-6.2862551279118564E-2"/>
                </c:manualLayout>
              </c:layout>
              <c:tx>
                <c:rich>
                  <a:bodyPr/>
                  <a:lstStyle/>
                  <a:p>
                    <a:fld id="{CF926524-32C0-44C2-96E1-5CE74EE7BBB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284-47F5-83B1-4243D60B2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FinFET_v98_HEI_HHI!$G$14:$K$14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95</c:v>
                </c:pt>
              </c:numCache>
            </c:numRef>
          </c:xVal>
          <c:yVal>
            <c:numRef>
              <c:f>FinFET_v98_HEI_HHI!$G$28:$K$28</c:f>
              <c:numCache>
                <c:formatCode>0.00E+00</c:formatCode>
                <c:ptCount val="5"/>
                <c:pt idx="0">
                  <c:v>1.0000000000000001E-9</c:v>
                </c:pt>
                <c:pt idx="1">
                  <c:v>3.9999999999999998E-11</c:v>
                </c:pt>
                <c:pt idx="2">
                  <c:v>7.9999999999999998E-12</c:v>
                </c:pt>
                <c:pt idx="3">
                  <c:v>4.9999999999999997E-12</c:v>
                </c:pt>
                <c:pt idx="4">
                  <c:v>9E-13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FinFET_v98_HEI_HHI!$G$29:$K$29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1284-47F5-83B1-4243D60B2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effectLst/>
                  </a:rPr>
                  <a:t>Effective </a:t>
                </a:r>
                <a:r>
                  <a:rPr lang="tr-TR" sz="1400" b="1" i="0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="1" baseline="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>
                    <a:solidFill>
                      <a:sysClr val="windowText" lastClr="000000"/>
                    </a:solidFill>
                  </a:defRPr>
                </a:pPr>
                <a:endParaRPr lang="en-US" sz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31396029934002"/>
              <c:y val="7.37121370400243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logBase val="10"/>
          <c:orientation val="minMax"/>
          <c:max val="1.0000000000000005E-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Ig leakagae current (A)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4455052593977764E-2"/>
              <c:y val="0.3846732444060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0956736115344"/>
          <c:y val="0.24897315173935919"/>
          <c:w val="0.32682160450316794"/>
          <c:h val="0.102973437564674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7265382798887"/>
          <c:y val="0.12623547066237717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'FinFET_v98_HEI_HHI w PENN MODEL'!$E$21</c:f>
              <c:strCache>
                <c:ptCount val="1"/>
                <c:pt idx="0">
                  <c:v>DIBL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A39-4C6A-8C20-49DD5DF4EF73}"/>
              </c:ext>
            </c:extLst>
          </c:dPt>
          <c:dPt>
            <c:idx val="9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lg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A39-4C6A-8C20-49DD5DF4EF73}"/>
              </c:ext>
            </c:extLst>
          </c:dPt>
          <c:dPt>
            <c:idx val="10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lg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tx1"/>
                </a:solidFill>
                <a:prstDash val="dashDot"/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4A39-4C6A-8C20-49DD5DF4EF7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A36C19D-E142-4445-B763-84A2D7E2E51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A39-4C6A-8C20-49DD5DF4EF73}"/>
                </c:ext>
              </c:extLst>
            </c:dLbl>
            <c:dLbl>
              <c:idx val="1"/>
              <c:layout>
                <c:manualLayout>
                  <c:x val="2.777742381083434E-2"/>
                  <c:y val="-5.7293455098987409E-2"/>
                </c:manualLayout>
              </c:layout>
              <c:tx>
                <c:rich>
                  <a:bodyPr/>
                  <a:lstStyle/>
                  <a:p>
                    <a:fld id="{E5E6C0E2-7CD7-41C2-9BE6-64D6C6CFC9F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A39-4C6A-8C20-49DD5DF4EF73}"/>
                </c:ext>
              </c:extLst>
            </c:dLbl>
            <c:dLbl>
              <c:idx val="2"/>
              <c:layout>
                <c:manualLayout>
                  <c:x val="-5.7092788608238167E-2"/>
                  <c:y val="-8.9609759255467724E-3"/>
                </c:manualLayout>
              </c:layout>
              <c:tx>
                <c:rich>
                  <a:bodyPr/>
                  <a:lstStyle/>
                  <a:p>
                    <a:fld id="{D0C18335-FFC1-4499-ADA8-F6C901F61BB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A39-4C6A-8C20-49DD5DF4EF73}"/>
                </c:ext>
              </c:extLst>
            </c:dLbl>
            <c:dLbl>
              <c:idx val="3"/>
              <c:layout>
                <c:manualLayout>
                  <c:x val="-4.5588367511530489E-2"/>
                  <c:y val="-3.9624119195027924E-2"/>
                </c:manualLayout>
              </c:layout>
              <c:tx>
                <c:rich>
                  <a:bodyPr/>
                  <a:lstStyle/>
                  <a:p>
                    <a:fld id="{7E0221EE-BF6F-4B84-B614-C37AF8C776B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A39-4C6A-8C20-49DD5DF4EF73}"/>
                </c:ext>
              </c:extLst>
            </c:dLbl>
            <c:dLbl>
              <c:idx val="4"/>
              <c:layout>
                <c:manualLayout>
                  <c:x val="-2.5474637411844647E-2"/>
                  <c:y val="6.5542389657597067E-2"/>
                </c:manualLayout>
              </c:layout>
              <c:tx>
                <c:rich>
                  <a:bodyPr/>
                  <a:lstStyle/>
                  <a:p>
                    <a:fld id="{C5AAD3D0-A590-4931-A588-CC6B40035DE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A39-4C6A-8C20-49DD5DF4EF73}"/>
                </c:ext>
              </c:extLst>
            </c:dLbl>
            <c:dLbl>
              <c:idx val="5"/>
              <c:layout>
                <c:manualLayout>
                  <c:x val="-5.7759752649587735E-2"/>
                  <c:y val="0.11388284756633339"/>
                </c:manualLayout>
              </c:layout>
              <c:tx>
                <c:rich>
                  <a:bodyPr/>
                  <a:lstStyle/>
                  <a:p>
                    <a:fld id="{09C9FB00-A36D-4CA4-AEA1-9ED23399166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A39-4C6A-8C20-49DD5DF4EF73}"/>
                </c:ext>
              </c:extLst>
            </c:dLbl>
            <c:dLbl>
              <c:idx val="6"/>
              <c:layout>
                <c:manualLayout>
                  <c:x val="-3.4057918525300661E-3"/>
                  <c:y val="0.11258092871083218"/>
                </c:manualLayout>
              </c:layout>
              <c:tx>
                <c:rich>
                  <a:bodyPr/>
                  <a:lstStyle/>
                  <a:p>
                    <a:fld id="{BA908139-765F-4386-9C0D-4B27F91603B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A39-4C6A-8C20-49DD5DF4EF73}"/>
                </c:ext>
              </c:extLst>
            </c:dLbl>
            <c:dLbl>
              <c:idx val="7"/>
              <c:layout>
                <c:manualLayout>
                  <c:x val="-2.4878331569587724E-2"/>
                  <c:y val="-3.4780532628125922E-2"/>
                </c:manualLayout>
              </c:layout>
              <c:tx>
                <c:rich>
                  <a:bodyPr/>
                  <a:lstStyle/>
                  <a:p>
                    <a:fld id="{A0EC90C3-0A35-4121-83AC-9697B0DFBCB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A39-4C6A-8C20-49DD5DF4EF73}"/>
                </c:ext>
              </c:extLst>
            </c:dLbl>
            <c:dLbl>
              <c:idx val="8"/>
              <c:layout>
                <c:manualLayout>
                  <c:x val="-1.5210893920832127E-2"/>
                  <c:y val="4.5424662987347347E-2"/>
                </c:manualLayout>
              </c:layout>
              <c:tx>
                <c:rich>
                  <a:bodyPr/>
                  <a:lstStyle/>
                  <a:p>
                    <a:fld id="{67BA5074-B6C8-4C83-938D-FD621DDD153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A39-4C6A-8C20-49DD5DF4EF73}"/>
                </c:ext>
              </c:extLst>
            </c:dLbl>
            <c:dLbl>
              <c:idx val="9"/>
              <c:layout>
                <c:manualLayout>
                  <c:x val="-3.1152300019329188E-2"/>
                  <c:y val="0.11940068264539061"/>
                </c:manualLayout>
              </c:layout>
              <c:tx>
                <c:rich>
                  <a:bodyPr/>
                  <a:lstStyle/>
                  <a:p>
                    <a:fld id="{E9B4D367-761F-4508-A912-C13EAC96A79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A39-4C6A-8C20-49DD5DF4EF73}"/>
                </c:ext>
              </c:extLst>
            </c:dLbl>
            <c:dLbl>
              <c:idx val="10"/>
              <c:layout>
                <c:manualLayout>
                  <c:x val="1.4525248840584365E-2"/>
                  <c:y val="-4.2988161150329551E-2"/>
                </c:manualLayout>
              </c:layout>
              <c:tx>
                <c:rich>
                  <a:bodyPr/>
                  <a:lstStyle/>
                  <a:p>
                    <a:fld id="{CB968447-48B8-4821-B82F-1A41612A362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A39-4C6A-8C20-49DD5DF4EF73}"/>
                </c:ext>
              </c:extLst>
            </c:dLbl>
            <c:dLbl>
              <c:idx val="11"/>
              <c:layout>
                <c:manualLayout>
                  <c:x val="-3.4880738748096857E-2"/>
                  <c:y val="3.6480585757562807E-2"/>
                </c:manualLayout>
              </c:layout>
              <c:tx>
                <c:rich>
                  <a:bodyPr/>
                  <a:lstStyle/>
                  <a:p>
                    <a:fld id="{0C6FEC86-29DA-4922-AABB-8D3F23E9FD5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A39-4C6A-8C20-49DD5DF4EF73}"/>
                </c:ext>
              </c:extLst>
            </c:dLbl>
            <c:dLbl>
              <c:idx val="12"/>
              <c:layout>
                <c:manualLayout>
                  <c:x val="-2.5707674569800431E-3"/>
                  <c:y val="-6.1495336256122121E-2"/>
                </c:manualLayout>
              </c:layout>
              <c:tx>
                <c:rich>
                  <a:bodyPr/>
                  <a:lstStyle/>
                  <a:p>
                    <a:fld id="{C6B8B2A2-59BD-495D-9547-533D631DB72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A39-4C6A-8C20-49DD5DF4EF73}"/>
                </c:ext>
              </c:extLst>
            </c:dLbl>
            <c:dLbl>
              <c:idx val="13"/>
              <c:layout>
                <c:manualLayout>
                  <c:x val="9.661712629855327E-3"/>
                  <c:y val="-8.1504017395556128E-2"/>
                </c:manualLayout>
              </c:layout>
              <c:tx>
                <c:rich>
                  <a:bodyPr/>
                  <a:lstStyle/>
                  <a:p>
                    <a:fld id="{A6774380-E0E8-448C-8452-BC83C0F53B7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A39-4C6A-8C20-49DD5DF4EF7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7CE41A2-A310-474A-B869-181A71F2C95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A39-4C6A-8C20-49DD5DF4EF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'FinFET_v98_HEI_HHI w PENN MODEL'!$L$21:$Z$21</c:f>
              <c:numCache>
                <c:formatCode>General</c:formatCode>
                <c:ptCount val="15"/>
                <c:pt idx="0">
                  <c:v>19.3</c:v>
                </c:pt>
                <c:pt idx="1">
                  <c:v>15.22</c:v>
                </c:pt>
                <c:pt idx="2">
                  <c:v>12.52</c:v>
                </c:pt>
                <c:pt idx="3">
                  <c:v>9.3000000000000007</c:v>
                </c:pt>
                <c:pt idx="4">
                  <c:v>9.48</c:v>
                </c:pt>
                <c:pt idx="5">
                  <c:v>8.6999999999999993</c:v>
                </c:pt>
                <c:pt idx="6">
                  <c:v>8.43</c:v>
                </c:pt>
                <c:pt idx="7">
                  <c:v>9.83</c:v>
                </c:pt>
                <c:pt idx="8">
                  <c:v>8.8699999999999992</c:v>
                </c:pt>
                <c:pt idx="9">
                  <c:v>9.74</c:v>
                </c:pt>
                <c:pt idx="10">
                  <c:v>12.7</c:v>
                </c:pt>
                <c:pt idx="11">
                  <c:v>6.17</c:v>
                </c:pt>
                <c:pt idx="12">
                  <c:v>6.43</c:v>
                </c:pt>
                <c:pt idx="13">
                  <c:v>5.48</c:v>
                </c:pt>
                <c:pt idx="1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4A39-4C6A-8C20-49DD5DF4EF73}"/>
            </c:ext>
          </c:extLst>
        </c:ser>
        <c:ser>
          <c:idx val="0"/>
          <c:order val="0"/>
          <c:tx>
            <c:strRef>
              <c:f>'FinFET_v98_HEI_HHI w PENN MODEL'!$F$21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2858758167885216E-2"/>
                  <c:y val="-2.756138194649909E-2"/>
                </c:manualLayout>
              </c:layout>
              <c:tx>
                <c:rich>
                  <a:bodyPr/>
                  <a:lstStyle/>
                  <a:p>
                    <a:fld id="{34316AF7-F011-4164-A05C-69C91A36ABF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A39-4C6A-8C20-49DD5DF4EF73}"/>
                </c:ext>
              </c:extLst>
            </c:dLbl>
            <c:dLbl>
              <c:idx val="1"/>
              <c:layout>
                <c:manualLayout>
                  <c:x val="-2.200110988701395E-3"/>
                  <c:y val="-4.6954522659994308E-2"/>
                </c:manualLayout>
              </c:layout>
              <c:tx>
                <c:rich>
                  <a:bodyPr/>
                  <a:lstStyle/>
                  <a:p>
                    <a:fld id="{41924692-9739-403B-9F19-57869D80730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A39-4C6A-8C20-49DD5DF4EF73}"/>
                </c:ext>
              </c:extLst>
            </c:dLbl>
            <c:dLbl>
              <c:idx val="2"/>
              <c:layout>
                <c:manualLayout>
                  <c:x val="-1.1892628500384878E-2"/>
                  <c:y val="9.4499444074141348E-2"/>
                </c:manualLayout>
              </c:layout>
              <c:tx>
                <c:rich>
                  <a:bodyPr/>
                  <a:lstStyle/>
                  <a:p>
                    <a:fld id="{08BD9B24-CA0D-483A-8543-B99CA0BC252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A39-4C6A-8C20-49DD5DF4EF73}"/>
                </c:ext>
              </c:extLst>
            </c:dLbl>
            <c:dLbl>
              <c:idx val="3"/>
              <c:layout>
                <c:manualLayout>
                  <c:x val="2.7083647285199009E-2"/>
                  <c:y val="-7.5096261572528994E-2"/>
                </c:manualLayout>
              </c:layout>
              <c:tx>
                <c:rich>
                  <a:bodyPr/>
                  <a:lstStyle/>
                  <a:p>
                    <a:fld id="{1C2A0406-9652-4C3D-AEF7-276E84B7E38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A39-4C6A-8C20-49DD5DF4EF73}"/>
                </c:ext>
              </c:extLst>
            </c:dLbl>
            <c:dLbl>
              <c:idx val="4"/>
              <c:layout>
                <c:manualLayout>
                  <c:x val="-5.8672081283151515E-3"/>
                  <c:y val="-7.6311863093974974E-2"/>
                </c:manualLayout>
              </c:layout>
              <c:tx>
                <c:rich>
                  <a:bodyPr/>
                  <a:lstStyle/>
                  <a:p>
                    <a:fld id="{05AEC084-5CEC-475D-9D00-D5CD8070443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A39-4C6A-8C20-49DD5DF4EF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4A39-4C6A-8C20-49DD5DF4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400" b="1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8718463209510626"/>
              <c:y val="0.91470285049687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orientation val="minMax"/>
          <c:max val="20"/>
          <c:min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Drain Induced Barrier Lowering  - DIBL  (mV/V)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686350891075122"/>
              <c:y val="0.18281632624572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3499999999999996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817193040922003"/>
          <c:y val="0.14817555769283869"/>
          <c:w val="0.22813212863322893"/>
          <c:h val="0.1523495426803812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268307273705989"/>
          <c:y val="0.1458296647758863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'FinFET_v98_HEI_HHI w PENN MODEL'!$F$24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0EAB10E-C414-4E9D-BC77-223A27A3043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E-4273-90F5-AF9DEEF709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30A382-F14D-4734-9BCD-62EF7320413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E-4273-90F5-AF9DEEF70956}"/>
                </c:ext>
              </c:extLst>
            </c:dLbl>
            <c:dLbl>
              <c:idx val="2"/>
              <c:layout>
                <c:manualLayout>
                  <c:x val="-3.050227592671478E-17"/>
                  <c:y val="4.5970171512176042E-2"/>
                </c:manualLayout>
              </c:layout>
              <c:tx>
                <c:rich>
                  <a:bodyPr/>
                  <a:lstStyle/>
                  <a:p>
                    <a:fld id="{29B65C16-C028-43DD-B8C7-4193F3C642D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67E-4273-90F5-AF9DEEF70956}"/>
                </c:ext>
              </c:extLst>
            </c:dLbl>
            <c:dLbl>
              <c:idx val="3"/>
              <c:layout>
                <c:manualLayout>
                  <c:x val="-4.9913391749905871E-3"/>
                  <c:y val="3.9074645785349707E-2"/>
                </c:manualLayout>
              </c:layout>
              <c:tx>
                <c:rich>
                  <a:bodyPr/>
                  <a:lstStyle/>
                  <a:p>
                    <a:fld id="{429F2657-7D33-480A-A31D-1B066F7B826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67E-4273-90F5-AF9DEEF70956}"/>
                </c:ext>
              </c:extLst>
            </c:dLbl>
            <c:dLbl>
              <c:idx val="4"/>
              <c:layout>
                <c:manualLayout>
                  <c:x val="1.6637797249968319E-3"/>
                  <c:y val="-4.5970171512176125E-2"/>
                </c:manualLayout>
              </c:layout>
              <c:tx>
                <c:rich>
                  <a:bodyPr/>
                  <a:lstStyle/>
                  <a:p>
                    <a:fld id="{219DCA66-FFD9-450F-90B6-D52FBE0A459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67E-4273-90F5-AF9DEEF70956}"/>
                </c:ext>
              </c:extLst>
            </c:dLbl>
            <c:dLbl>
              <c:idx val="5"/>
              <c:layout>
                <c:manualLayout>
                  <c:x val="1.33102377999749E-2"/>
                  <c:y val="-9.4238851599961052E-2"/>
                </c:manualLayout>
              </c:layout>
              <c:tx>
                <c:rich>
                  <a:bodyPr/>
                  <a:lstStyle/>
                  <a:p>
                    <a:fld id="{F9F722FC-2811-4249-A9B2-3E35645319F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67E-4273-90F5-AF9DEEF70956}"/>
                </c:ext>
              </c:extLst>
            </c:dLbl>
            <c:dLbl>
              <c:idx val="6"/>
              <c:layout>
                <c:manualLayout>
                  <c:x val="1.4974017524971732E-2"/>
                  <c:y val="-0.12182095450726677"/>
                </c:manualLayout>
              </c:layout>
              <c:tx>
                <c:rich>
                  <a:bodyPr/>
                  <a:lstStyle/>
                  <a:p>
                    <a:fld id="{93A6F0BB-6708-43C7-9B6E-FBF533D780D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67E-4273-90F5-AF9DEEF70956}"/>
                </c:ext>
              </c:extLst>
            </c:dLbl>
            <c:dLbl>
              <c:idx val="7"/>
              <c:layout>
                <c:manualLayout>
                  <c:x val="-3.1611814774940385E-2"/>
                  <c:y val="-5.9761222965828961E-2"/>
                </c:manualLayout>
              </c:layout>
              <c:tx>
                <c:rich>
                  <a:bodyPr/>
                  <a:lstStyle/>
                  <a:p>
                    <a:fld id="{367BFC19-65B6-4BBE-8389-E80116BE217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67E-4273-90F5-AF9DEEF70956}"/>
                </c:ext>
              </c:extLst>
            </c:dLbl>
            <c:dLbl>
              <c:idx val="8"/>
              <c:layout>
                <c:manualLayout>
                  <c:x val="-5.656851064989335E-2"/>
                  <c:y val="-0.14250753168774599"/>
                </c:manualLayout>
              </c:layout>
              <c:tx>
                <c:rich>
                  <a:bodyPr/>
                  <a:lstStyle/>
                  <a:p>
                    <a:fld id="{408D6246-AF6E-44A7-A2F4-8B313A61360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67E-4273-90F5-AF9DEEF70956}"/>
                </c:ext>
              </c:extLst>
            </c:dLbl>
            <c:dLbl>
              <c:idx val="9"/>
              <c:layout>
                <c:manualLayout>
                  <c:x val="-9.2187807455357644E-3"/>
                  <c:y val="-3.6818487682708852E-2"/>
                </c:manualLayout>
              </c:layout>
              <c:tx>
                <c:rich>
                  <a:bodyPr/>
                  <a:lstStyle/>
                  <a:p>
                    <a:fld id="{0CC30A5C-C747-4AE4-91CC-E251E2EEE19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67E-4273-90F5-AF9DEEF70956}"/>
                </c:ext>
              </c:extLst>
            </c:dLbl>
            <c:dLbl>
              <c:idx val="10"/>
              <c:layout>
                <c:manualLayout>
                  <c:x val="-3.1611814774940399E-2"/>
                  <c:y val="-6.435824011704662E-2"/>
                </c:manualLayout>
              </c:layout>
              <c:tx>
                <c:rich>
                  <a:bodyPr/>
                  <a:lstStyle/>
                  <a:p>
                    <a:fld id="{BA3A8114-1C31-411F-B8ED-22ED0C0F41E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67E-4273-90F5-AF9DEEF70956}"/>
                </c:ext>
              </c:extLst>
            </c:dLbl>
            <c:dLbl>
              <c:idx val="11"/>
              <c:layout>
                <c:manualLayout>
                  <c:x val="3.1711545578414262E-2"/>
                  <c:y val="-8.1441975322336213E-2"/>
                </c:manualLayout>
              </c:layout>
              <c:tx>
                <c:rich>
                  <a:bodyPr/>
                  <a:lstStyle/>
                  <a:p>
                    <a:fld id="{68CC32AD-E737-4D73-A4BD-B3ECF801F4B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67E-4273-90F5-AF9DEEF70956}"/>
                </c:ext>
              </c:extLst>
            </c:dLbl>
            <c:dLbl>
              <c:idx val="12"/>
              <c:layout>
                <c:manualLayout>
                  <c:x val="-4.6585832299912144E-2"/>
                  <c:y val="-1.6089560029261644E-2"/>
                </c:manualLayout>
              </c:layout>
              <c:tx>
                <c:rich>
                  <a:bodyPr/>
                  <a:lstStyle/>
                  <a:p>
                    <a:fld id="{BAF2BCF2-F984-4E78-9883-7D005BE5104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67E-4273-90F5-AF9DEEF70956}"/>
                </c:ext>
              </c:extLst>
            </c:dLbl>
            <c:dLbl>
              <c:idx val="13"/>
              <c:layout>
                <c:manualLayout>
                  <c:x val="0"/>
                  <c:y val="-4.5970171512176104E-2"/>
                </c:manualLayout>
              </c:layout>
              <c:tx>
                <c:rich>
                  <a:bodyPr/>
                  <a:lstStyle/>
                  <a:p>
                    <a:fld id="{1A761AF1-3176-48CE-AE71-C6032E72F4F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67E-4273-90F5-AF9DEEF7095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7FC7620-3283-4F82-8F7C-2AB3FC89DEA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67E-4273-90F5-AF9DEEF709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'FinFET_v98_HEI_HHI w PENN MODEL'!$L$24:$Z$24</c:f>
              <c:numCache>
                <c:formatCode>0.00E+00</c:formatCode>
                <c:ptCount val="15"/>
                <c:pt idx="0">
                  <c:v>10000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367E-4273-90F5-AF9DEEF70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'FinFET_v98_HEI_HHI w PENN MODEL'!$F$24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967DB20-4AA6-4E71-BB09-F6F1F193269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67E-4273-90F5-AF9DEEF70956}"/>
                </c:ext>
              </c:extLst>
            </c:dLbl>
            <c:dLbl>
              <c:idx val="1"/>
              <c:layout>
                <c:manualLayout>
                  <c:x val="1.7348375299447598E-2"/>
                  <c:y val="7.3671724471441723E-3"/>
                </c:manualLayout>
              </c:layout>
              <c:tx>
                <c:rich>
                  <a:bodyPr/>
                  <a:lstStyle/>
                  <a:p>
                    <a:fld id="{F4D569DC-9948-4C63-BA8F-8B897811D66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67E-4273-90F5-AF9DEEF70956}"/>
                </c:ext>
              </c:extLst>
            </c:dLbl>
            <c:dLbl>
              <c:idx val="2"/>
              <c:layout>
                <c:manualLayout>
                  <c:x val="-2.3072170572269544E-2"/>
                  <c:y val="7.8191642043667325E-2"/>
                </c:manualLayout>
              </c:layout>
              <c:tx>
                <c:rich>
                  <a:bodyPr/>
                  <a:lstStyle/>
                  <a:p>
                    <a:fld id="{55F366D7-0D67-4E08-B0F8-DBCE0D2E87A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67E-4273-90F5-AF9DEEF70956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D6D0D6EF-9C63-4EBF-81E2-9C6DA861AC6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67E-4273-90F5-AF9DEEF7095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B3A0D59-A255-4A57-B4C3-287B81A5BEC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67E-4273-90F5-AF9DEEF709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MODEL'!$G$24:$K$24</c:f>
              <c:numCache>
                <c:formatCode>0.00E+00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367E-4273-90F5-AF9DEEF70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'FinFET_v98_HEI_HHI w PENN MODEL'!$E$26</c:f>
              <c:strCache>
                <c:ptCount val="1"/>
                <c:pt idx="0">
                  <c:v>ION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DB07F5-22C6-42F3-82C8-60C5FF59150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3E1-46E3-B6B7-FF60778447A7}"/>
                </c:ext>
              </c:extLst>
            </c:dLbl>
            <c:dLbl>
              <c:idx val="1"/>
              <c:layout>
                <c:manualLayout>
                  <c:x val="-8.5053845949068212E-3"/>
                  <c:y val="-0.11517770449852452"/>
                </c:manualLayout>
              </c:layout>
              <c:tx>
                <c:rich>
                  <a:bodyPr/>
                  <a:lstStyle/>
                  <a:p>
                    <a:fld id="{EEF0C9A4-30B0-493E-B9BB-03219E7B792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3E1-46E3-B6B7-FF60778447A7}"/>
                </c:ext>
              </c:extLst>
            </c:dLbl>
            <c:dLbl>
              <c:idx val="2"/>
              <c:layout>
                <c:manualLayout>
                  <c:x val="-3.854942709297262E-2"/>
                  <c:y val="1.0729860134224967E-2"/>
                </c:manualLayout>
              </c:layout>
              <c:tx>
                <c:rich>
                  <a:bodyPr/>
                  <a:lstStyle/>
                  <a:p>
                    <a:fld id="{939AFD11-860C-476C-860B-543AB6F8F94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3E1-46E3-B6B7-FF60778447A7}"/>
                </c:ext>
              </c:extLst>
            </c:dLbl>
            <c:dLbl>
              <c:idx val="3"/>
              <c:layout>
                <c:manualLayout>
                  <c:x val="-2.9065570119094414E-2"/>
                  <c:y val="-1.4712546308194515E-2"/>
                </c:manualLayout>
              </c:layout>
              <c:tx>
                <c:rich>
                  <a:bodyPr/>
                  <a:lstStyle/>
                  <a:p>
                    <a:fld id="{3B79AF69-F4CC-435C-9E9C-E0FDD8A2A26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3E1-46E3-B6B7-FF60778447A7}"/>
                </c:ext>
              </c:extLst>
            </c:dLbl>
            <c:dLbl>
              <c:idx val="4"/>
              <c:layout>
                <c:manualLayout>
                  <c:x val="-3.6569313166300021E-2"/>
                  <c:y val="9.7543337137799089E-3"/>
                </c:manualLayout>
              </c:layout>
              <c:tx>
                <c:rich>
                  <a:bodyPr/>
                  <a:lstStyle/>
                  <a:p>
                    <a:fld id="{A034D9E2-0A91-4879-A6D3-DD5F8CA0097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3E1-46E3-B6B7-FF60778447A7}"/>
                </c:ext>
              </c:extLst>
            </c:dLbl>
            <c:dLbl>
              <c:idx val="5"/>
              <c:layout>
                <c:manualLayout>
                  <c:x val="-1.3403666299275642E-2"/>
                  <c:y val="5.0570865332132134E-2"/>
                </c:manualLayout>
              </c:layout>
              <c:tx>
                <c:rich>
                  <a:bodyPr/>
                  <a:lstStyle/>
                  <a:p>
                    <a:fld id="{828B1DAB-ECF2-40F6-ACF6-7F9BDA230E0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3E1-46E3-B6B7-FF60778447A7}"/>
                </c:ext>
              </c:extLst>
            </c:dLbl>
            <c:dLbl>
              <c:idx val="6"/>
              <c:layout>
                <c:manualLayout>
                  <c:x val="1.7986954033733599E-2"/>
                  <c:y val="-4.852527463897427E-2"/>
                </c:manualLayout>
              </c:layout>
              <c:tx>
                <c:rich>
                  <a:bodyPr/>
                  <a:lstStyle/>
                  <a:p>
                    <a:fld id="{0E0C3E87-CFE0-4B49-84E5-124F58DEB46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3E1-46E3-B6B7-FF60778447A7}"/>
                </c:ext>
              </c:extLst>
            </c:dLbl>
            <c:dLbl>
              <c:idx val="7"/>
              <c:layout>
                <c:manualLayout>
                  <c:x val="-3.6928904124494143E-2"/>
                  <c:y val="5.0335078995866658E-2"/>
                </c:manualLayout>
              </c:layout>
              <c:tx>
                <c:rich>
                  <a:bodyPr/>
                  <a:lstStyle/>
                  <a:p>
                    <a:fld id="{5517EEC1-9934-493F-8358-41D64397289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3E1-46E3-B6B7-FF60778447A7}"/>
                </c:ext>
              </c:extLst>
            </c:dLbl>
            <c:dLbl>
              <c:idx val="8"/>
              <c:layout>
                <c:manualLayout>
                  <c:x val="-9.2132182925905547E-3"/>
                  <c:y val="8.3738391430999745E-2"/>
                </c:manualLayout>
              </c:layout>
              <c:tx>
                <c:rich>
                  <a:bodyPr/>
                  <a:lstStyle/>
                  <a:p>
                    <a:fld id="{283F6255-B7FD-47AA-AC16-30C26A3CD14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3E1-46E3-B6B7-FF60778447A7}"/>
                </c:ext>
              </c:extLst>
            </c:dLbl>
            <c:dLbl>
              <c:idx val="9"/>
              <c:layout>
                <c:manualLayout>
                  <c:x val="-2.9247256523475561E-2"/>
                  <c:y val="2.998599239342399E-3"/>
                </c:manualLayout>
              </c:layout>
              <c:tx>
                <c:rich>
                  <a:bodyPr/>
                  <a:lstStyle/>
                  <a:p>
                    <a:fld id="{102D736E-1330-4259-91B9-93E8C049450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3E1-46E3-B6B7-FF60778447A7}"/>
                </c:ext>
              </c:extLst>
            </c:dLbl>
            <c:dLbl>
              <c:idx val="10"/>
              <c:layout>
                <c:manualLayout>
                  <c:x val="-1.402515040931839E-2"/>
                  <c:y val="-0.13601800983305323"/>
                </c:manualLayout>
              </c:layout>
              <c:tx>
                <c:rich>
                  <a:bodyPr/>
                  <a:lstStyle/>
                  <a:p>
                    <a:fld id="{FC08493F-0185-4388-A488-BA051285D0C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3E1-46E3-B6B7-FF60778447A7}"/>
                </c:ext>
              </c:extLst>
            </c:dLbl>
            <c:dLbl>
              <c:idx val="11"/>
              <c:layout>
                <c:manualLayout>
                  <c:x val="-3.045865286428035E-3"/>
                  <c:y val="-9.8272126598737769E-2"/>
                </c:manualLayout>
              </c:layout>
              <c:tx>
                <c:rich>
                  <a:bodyPr/>
                  <a:lstStyle/>
                  <a:p>
                    <a:fld id="{56DC13BF-5A30-4184-9565-EE40A3C6F64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3E1-46E3-B6B7-FF60778447A7}"/>
                </c:ext>
              </c:extLst>
            </c:dLbl>
            <c:dLbl>
              <c:idx val="12"/>
              <c:layout>
                <c:manualLayout>
                  <c:x val="0"/>
                  <c:y val="-6.7632708301579816E-2"/>
                </c:manualLayout>
              </c:layout>
              <c:tx>
                <c:rich>
                  <a:bodyPr/>
                  <a:lstStyle/>
                  <a:p>
                    <a:fld id="{4FF8500F-3751-4E84-B79F-01841186554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3E1-46E3-B6B7-FF60778447A7}"/>
                </c:ext>
              </c:extLst>
            </c:dLbl>
            <c:dLbl>
              <c:idx val="13"/>
              <c:layout>
                <c:manualLayout>
                  <c:x val="2.1524593755071308E-3"/>
                  <c:y val="-8.6290007143394937E-2"/>
                </c:manualLayout>
              </c:layout>
              <c:tx>
                <c:rich>
                  <a:bodyPr/>
                  <a:lstStyle/>
                  <a:p>
                    <a:fld id="{6CEE11CE-4A40-4932-9F29-2FDC2B876B3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3E1-46E3-B6B7-FF60778447A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53A227A-108D-420F-9B44-0AE895AE5F6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3E1-46E3-B6B7-FF60778447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'FinFET_v98_HEI_HHI w PENN MODEL'!$L$26:$Z$26</c:f>
              <c:numCache>
                <c:formatCode>0.00E+00</c:formatCode>
                <c:ptCount val="15"/>
                <c:pt idx="0">
                  <c:v>2.0045235509999999E-5</c:v>
                </c:pt>
                <c:pt idx="1">
                  <c:v>1.9071899419999999E-5</c:v>
                </c:pt>
                <c:pt idx="2">
                  <c:v>1.085889421E-5</c:v>
                </c:pt>
                <c:pt idx="3">
                  <c:v>1.632321543E-5</c:v>
                </c:pt>
                <c:pt idx="4">
                  <c:v>1.786813879E-5</c:v>
                </c:pt>
                <c:pt idx="5">
                  <c:v>1.5619603890000002E-5</c:v>
                </c:pt>
                <c:pt idx="6">
                  <c:v>1.8835130689999999E-5</c:v>
                </c:pt>
                <c:pt idx="7">
                  <c:v>1.425507866E-5</c:v>
                </c:pt>
                <c:pt idx="8">
                  <c:v>1.231310583E-5</c:v>
                </c:pt>
                <c:pt idx="9">
                  <c:v>1.7931580230000001E-5</c:v>
                </c:pt>
                <c:pt idx="10">
                  <c:v>1.9268158390000001E-5</c:v>
                </c:pt>
                <c:pt idx="11">
                  <c:v>1.4197163190000001E-5</c:v>
                </c:pt>
                <c:pt idx="12">
                  <c:v>1.590327458E-5</c:v>
                </c:pt>
                <c:pt idx="13">
                  <c:v>1.4735582659999999E-5</c:v>
                </c:pt>
                <c:pt idx="1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3E1-46E3-B6B7-FF607784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'FinFET_v98_HEI_HHI w PENN MODEL'!$F$26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9.7423519103974534E-3"/>
                  <c:y val="-9.678775896072235E-2"/>
                </c:manualLayout>
              </c:layout>
              <c:tx>
                <c:rich>
                  <a:bodyPr/>
                  <a:lstStyle/>
                  <a:p>
                    <a:fld id="{40694B5A-A3EB-47A1-9AED-E9E05FB13E7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3E1-46E3-B6B7-FF60778447A7}"/>
                </c:ext>
              </c:extLst>
            </c:dLbl>
            <c:dLbl>
              <c:idx val="1"/>
              <c:layout>
                <c:manualLayout>
                  <c:x val="3.6205703991877215E-3"/>
                  <c:y val="-8.7882610785615128E-2"/>
                </c:manualLayout>
              </c:layout>
              <c:tx>
                <c:rich>
                  <a:bodyPr/>
                  <a:lstStyle/>
                  <a:p>
                    <a:fld id="{C5069485-F1E7-4BEC-B9B8-A73B8E38578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3E1-46E3-B6B7-FF60778447A7}"/>
                </c:ext>
              </c:extLst>
            </c:dLbl>
            <c:dLbl>
              <c:idx val="2"/>
              <c:layout>
                <c:manualLayout>
                  <c:x val="6.2974115044997321E-3"/>
                  <c:y val="3.932718824887052E-2"/>
                </c:manualLayout>
              </c:layout>
              <c:tx>
                <c:rich>
                  <a:bodyPr/>
                  <a:lstStyle/>
                  <a:p>
                    <a:fld id="{3BEBE00B-9242-4BFF-A1F7-55AF0B981AC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3E1-46E3-B6B7-FF60778447A7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BD768756-B1B8-41C3-8A92-59B5B37C5ED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3E1-46E3-B6B7-FF60778447A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378251-A36E-4455-B4B5-513A39C1E99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3E1-46E3-B6B7-FF60778447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F3E1-46E3-B6B7-FF607784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540846023099834"/>
              <c:y val="0.9154298604477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490477469929604E-2"/>
              <c:y val="0.4249960569560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3499999999999996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621610005680863"/>
          <c:y val="0.13305140995384013"/>
          <c:w val="0.22222961765865795"/>
          <c:h val="0.15574956836303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'FinFET_v98_HEI_HHI w PENN MODEL'!$E$18</c:f>
              <c:strCache>
                <c:ptCount val="1"/>
                <c:pt idx="0">
                  <c:v>VTH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30BDE86-70C3-4290-A580-DF21ADF2749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DA9-4B26-A9CF-0695DB0DF6FD}"/>
                </c:ext>
              </c:extLst>
            </c:dLbl>
            <c:dLbl>
              <c:idx val="1"/>
              <c:layout>
                <c:manualLayout>
                  <c:x val="-3.6355430020217194E-3"/>
                  <c:y val="-7.5611092190352516E-2"/>
                </c:manualLayout>
              </c:layout>
              <c:tx>
                <c:rich>
                  <a:bodyPr/>
                  <a:lstStyle/>
                  <a:p>
                    <a:fld id="{59E4D7E7-B7C0-4A68-B5FF-5D77A355F59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DA9-4B26-A9CF-0695DB0DF6FD}"/>
                </c:ext>
              </c:extLst>
            </c:dLbl>
            <c:dLbl>
              <c:idx val="2"/>
              <c:layout>
                <c:manualLayout>
                  <c:x val="-1.3153394109849901E-2"/>
                  <c:y val="0.15715145764963781"/>
                </c:manualLayout>
              </c:layout>
              <c:tx>
                <c:rich>
                  <a:bodyPr/>
                  <a:lstStyle/>
                  <a:p>
                    <a:fld id="{117BBA35-8795-43B0-B4E1-ED7526BD6B8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DA9-4B26-A9CF-0695DB0DF6FD}"/>
                </c:ext>
              </c:extLst>
            </c:dLbl>
            <c:dLbl>
              <c:idx val="3"/>
              <c:layout>
                <c:manualLayout>
                  <c:x val="-3.5618609246664643E-2"/>
                  <c:y val="-1.5975167486119424E-2"/>
                </c:manualLayout>
              </c:layout>
              <c:tx>
                <c:rich>
                  <a:bodyPr/>
                  <a:lstStyle/>
                  <a:p>
                    <a:fld id="{D94D1652-98C1-4151-825A-BA3892B8853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DA9-4B26-A9CF-0695DB0DF6FD}"/>
                </c:ext>
              </c:extLst>
            </c:dLbl>
            <c:dLbl>
              <c:idx val="4"/>
              <c:layout>
                <c:manualLayout>
                  <c:x val="2.0190790769695221E-2"/>
                  <c:y val="2.4677843691840791E-2"/>
                </c:manualLayout>
              </c:layout>
              <c:tx>
                <c:rich>
                  <a:bodyPr/>
                  <a:lstStyle/>
                  <a:p>
                    <a:fld id="{A5E51713-DEE7-4759-8D42-8278D72E5DC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DA9-4B26-A9CF-0695DB0DF6FD}"/>
                </c:ext>
              </c:extLst>
            </c:dLbl>
            <c:dLbl>
              <c:idx val="5"/>
              <c:layout>
                <c:manualLayout>
                  <c:x val="-4.4775789846803041E-2"/>
                  <c:y val="-5.7779508388192666E-2"/>
                </c:manualLayout>
              </c:layout>
              <c:tx>
                <c:rich>
                  <a:bodyPr/>
                  <a:lstStyle/>
                  <a:p>
                    <a:fld id="{E6A83AD2-E801-4C65-98A4-CFB309ED73D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DA9-4B26-A9CF-0695DB0DF6FD}"/>
                </c:ext>
              </c:extLst>
            </c:dLbl>
            <c:dLbl>
              <c:idx val="6"/>
              <c:layout>
                <c:manualLayout>
                  <c:x val="-4.3900515601671089E-2"/>
                  <c:y val="-0.19471312233476801"/>
                </c:manualLayout>
              </c:layout>
              <c:tx>
                <c:rich>
                  <a:bodyPr/>
                  <a:lstStyle/>
                  <a:p>
                    <a:fld id="{56A00493-4261-4F09-AC2B-BA07CB4EBB0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DA9-4B26-A9CF-0695DB0DF6FD}"/>
                </c:ext>
              </c:extLst>
            </c:dLbl>
            <c:dLbl>
              <c:idx val="7"/>
              <c:layout>
                <c:manualLayout>
                  <c:x val="1.8026531991198975E-2"/>
                  <c:y val="0.27263472904943675"/>
                </c:manualLayout>
              </c:layout>
              <c:tx>
                <c:rich>
                  <a:bodyPr/>
                  <a:lstStyle/>
                  <a:p>
                    <a:fld id="{EC71FBA1-68B6-4863-887F-10CEA603B9D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DA9-4B26-A9CF-0695DB0DF6FD}"/>
                </c:ext>
              </c:extLst>
            </c:dLbl>
            <c:dLbl>
              <c:idx val="8"/>
              <c:layout>
                <c:manualLayout>
                  <c:x val="-1.7673012031700974E-2"/>
                  <c:y val="-6.4098169000465929E-2"/>
                </c:manualLayout>
              </c:layout>
              <c:tx>
                <c:rich>
                  <a:bodyPr/>
                  <a:lstStyle/>
                  <a:p>
                    <a:fld id="{CE01EBA0-7907-4392-8C24-B5B1D2F4C0D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DA9-4B26-A9CF-0695DB0DF6FD}"/>
                </c:ext>
              </c:extLst>
            </c:dLbl>
            <c:dLbl>
              <c:idx val="9"/>
              <c:layout>
                <c:manualLayout>
                  <c:x val="2.6413024935690978E-3"/>
                  <c:y val="-7.6575022242022089E-2"/>
                </c:manualLayout>
              </c:layout>
              <c:tx>
                <c:rich>
                  <a:bodyPr/>
                  <a:lstStyle/>
                  <a:p>
                    <a:fld id="{EB814CC0-90B0-4A8B-AD93-59191119A53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DA9-4B26-A9CF-0695DB0DF6FD}"/>
                </c:ext>
              </c:extLst>
            </c:dLbl>
            <c:dLbl>
              <c:idx val="10"/>
              <c:layout>
                <c:manualLayout>
                  <c:x val="1.3263559698473169E-2"/>
                  <c:y val="9.7115485141656008E-2"/>
                </c:manualLayout>
              </c:layout>
              <c:tx>
                <c:rich>
                  <a:bodyPr/>
                  <a:lstStyle/>
                  <a:p>
                    <a:fld id="{2A363DBB-19DE-4D61-BBFB-FF5AB08F614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DA9-4B26-A9CF-0695DB0DF6FD}"/>
                </c:ext>
              </c:extLst>
            </c:dLbl>
            <c:dLbl>
              <c:idx val="11"/>
              <c:layout>
                <c:manualLayout>
                  <c:x val="4.8491403273080852E-2"/>
                  <c:y val="-6.7569364529955059E-2"/>
                </c:manualLayout>
              </c:layout>
              <c:tx>
                <c:rich>
                  <a:bodyPr/>
                  <a:lstStyle/>
                  <a:p>
                    <a:fld id="{82505FD9-C6C2-48A2-8A99-CF1F03CA51C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DA9-4B26-A9CF-0695DB0DF6FD}"/>
                </c:ext>
              </c:extLst>
            </c:dLbl>
            <c:dLbl>
              <c:idx val="12"/>
              <c:layout>
                <c:manualLayout>
                  <c:x val="3.1054516486610364E-2"/>
                  <c:y val="7.0312656341730229E-2"/>
                </c:manualLayout>
              </c:layout>
              <c:tx>
                <c:rich>
                  <a:bodyPr/>
                  <a:lstStyle/>
                  <a:p>
                    <a:fld id="{3B40F3DD-DF70-424E-A7EE-7F7D3813AC0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DA9-4B26-A9CF-0695DB0DF6FD}"/>
                </c:ext>
              </c:extLst>
            </c:dLbl>
            <c:dLbl>
              <c:idx val="13"/>
              <c:layout>
                <c:manualLayout>
                  <c:x val="-8.5351011073453616E-3"/>
                  <c:y val="-6.5988779509344841E-2"/>
                </c:manualLayout>
              </c:layout>
              <c:tx>
                <c:rich>
                  <a:bodyPr/>
                  <a:lstStyle/>
                  <a:p>
                    <a:fld id="{C95E9944-4FD3-4666-84A2-5961ADFE723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DA9-4B26-A9CF-0695DB0DF6F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F1BB096-5198-407C-8092-5A18050E314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DA9-4B26-A9CF-0695DB0DF6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'FinFET_v98_HEI_HHI w PENN MODEL'!$L$18:$Z$18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0.73119999999999996</c:v>
                </c:pt>
                <c:pt idx="3">
                  <c:v>0.78169999999999995</c:v>
                </c:pt>
                <c:pt idx="4">
                  <c:v>0.76880000000000004</c:v>
                </c:pt>
                <c:pt idx="5">
                  <c:v>0.85799999999999998</c:v>
                </c:pt>
                <c:pt idx="6">
                  <c:v>0.80010000000000003</c:v>
                </c:pt>
                <c:pt idx="7">
                  <c:v>0.84470000000000001</c:v>
                </c:pt>
                <c:pt idx="8">
                  <c:v>0.84970000000000001</c:v>
                </c:pt>
                <c:pt idx="9">
                  <c:v>0.7631</c:v>
                </c:pt>
                <c:pt idx="10">
                  <c:v>0.72519999999999996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DA9-4B26-A9CF-0695DB0D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'FinFET_v98_HEI_HHI w PENN MODEL'!$F$18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3.1877222415915646E-2"/>
                  <c:y val="-1.9712687500198889E-2"/>
                </c:manualLayout>
              </c:layout>
              <c:tx>
                <c:rich>
                  <a:bodyPr/>
                  <a:lstStyle/>
                  <a:p>
                    <a:fld id="{35EB8771-A6C9-4401-A159-CD0CEBD610F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DA9-4B26-A9CF-0695DB0DF6FD}"/>
                </c:ext>
              </c:extLst>
            </c:dLbl>
            <c:dLbl>
              <c:idx val="1"/>
              <c:layout>
                <c:manualLayout>
                  <c:x val="3.9863913281294626E-3"/>
                  <c:y val="9.5710361649573458E-2"/>
                </c:manualLayout>
              </c:layout>
              <c:tx>
                <c:rich>
                  <a:bodyPr/>
                  <a:lstStyle/>
                  <a:p>
                    <a:fld id="{48C90E9E-953A-453C-80FE-2BF3019F5EF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DA9-4B26-A9CF-0695DB0DF6FD}"/>
                </c:ext>
              </c:extLst>
            </c:dLbl>
            <c:dLbl>
              <c:idx val="2"/>
              <c:layout>
                <c:manualLayout>
                  <c:x val="-3.6813850879010568E-2"/>
                  <c:y val="-0.12703603104700123"/>
                </c:manualLayout>
              </c:layout>
              <c:tx>
                <c:rich>
                  <a:bodyPr/>
                  <a:lstStyle/>
                  <a:p>
                    <a:fld id="{9BFBA557-2C2E-4CF9-985F-688CE1DABA9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DA9-4B26-A9CF-0695DB0DF6FD}"/>
                </c:ext>
              </c:extLst>
            </c:dLbl>
            <c:dLbl>
              <c:idx val="3"/>
              <c:layout>
                <c:manualLayout>
                  <c:x val="-2.8685720598851338E-2"/>
                  <c:y val="-0.16538806600732656"/>
                </c:manualLayout>
              </c:layout>
              <c:tx>
                <c:rich>
                  <a:bodyPr/>
                  <a:lstStyle/>
                  <a:p>
                    <a:fld id="{23D54AC0-10EC-43D9-AF3E-77CAD3A54AC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DA9-4B26-A9CF-0695DB0DF6FD}"/>
                </c:ext>
              </c:extLst>
            </c:dLbl>
            <c:dLbl>
              <c:idx val="4"/>
              <c:layout>
                <c:manualLayout>
                  <c:x val="-6.7236542796299148E-2"/>
                  <c:y val="9.0371157292145093E-2"/>
                </c:manualLayout>
              </c:layout>
              <c:tx>
                <c:rich>
                  <a:bodyPr/>
                  <a:lstStyle/>
                  <a:p>
                    <a:fld id="{F0EEF406-1689-42A9-A9BF-8BD826D89C7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DA9-4B26-A9CF-0695DB0DF6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ADA9-4B26-A9CF-0695DB0D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V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TH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(V)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032650582673274"/>
              <c:y val="0.43509328771629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3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23684434813521"/>
          <c:y val="0.59283374632527686"/>
          <c:w val="0.22077868258013714"/>
          <c:h val="0.13127701869044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'FinFET_v98_HEI_HHI w PENN MODEL'!$F$18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8C9460-3410-4099-A992-EFCB9A261D4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E5-4D4B-B230-E7B83F5A12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C5A141-A7EE-4DB6-B57F-19F7AF54D31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E5-4D4B-B230-E7B83F5A12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39150A3-4FC5-40BB-9F08-0AB28A9DD9A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E5-4D4B-B230-E7B83F5A12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56E014-F562-4E62-8C34-ACA47032C23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8E5-4D4B-B230-E7B83F5A12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62EF2F-FD47-4682-912F-A5FCDD6A9C7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8E5-4D4B-B230-E7B83F5A126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44C0C4D-D563-4E04-A7BA-B4D467F2084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8E5-4D4B-B230-E7B83F5A126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92EE4B8-C2FE-4185-8F23-6B45195BBB8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8E5-4D4B-B230-E7B83F5A126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1974318-66EE-4197-A050-4435529D8D3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8E5-4D4B-B230-E7B83F5A126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F91950E-AFE3-4AE6-B09E-2AB1ECC278E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8E5-4D4B-B230-E7B83F5A126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8AF4BA6-5CCE-46C3-81BD-D02B9E62475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8E5-4D4B-B230-E7B83F5A126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6DE265F-8817-4CA0-B567-2958E275D55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8E5-4D4B-B230-E7B83F5A12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FF6AA86-3973-4BF5-AE4F-4B3C9996F40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8E5-4D4B-B230-E7B83F5A126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10E0DEA-DC82-4F23-9161-C6E9624B338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8E5-4D4B-B230-E7B83F5A126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F43770D-D80C-42AB-8FBD-BBEF1D835D0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8E5-4D4B-B230-E7B83F5A126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601A0AD-69CB-49C8-A221-8F9DC833E7B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8E5-4D4B-B230-E7B83F5A12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MODEL'!$L$13:$Z$13</c:f>
              <c:numCache>
                <c:formatCode>0.0</c:formatCode>
                <c:ptCount val="15"/>
                <c:pt idx="0" formatCode="General">
                  <c:v>9</c:v>
                </c:pt>
                <c:pt idx="1">
                  <c:v>7.4666666666666659</c:v>
                </c:pt>
                <c:pt idx="2">
                  <c:v>6.8999999999999995</c:v>
                </c:pt>
                <c:pt idx="3">
                  <c:v>6.333333333333333</c:v>
                </c:pt>
                <c:pt idx="4">
                  <c:v>5.8999999999999995</c:v>
                </c:pt>
                <c:pt idx="5">
                  <c:v>5.416666666666667</c:v>
                </c:pt>
                <c:pt idx="6">
                  <c:v>5.833333333333333</c:v>
                </c:pt>
                <c:pt idx="7">
                  <c:v>5.7</c:v>
                </c:pt>
                <c:pt idx="8">
                  <c:v>5.6333333333333329</c:v>
                </c:pt>
                <c:pt idx="9">
                  <c:v>6.1166666666666671</c:v>
                </c:pt>
                <c:pt idx="10">
                  <c:v>6.25</c:v>
                </c:pt>
                <c:pt idx="11">
                  <c:v>4.3500000000000005</c:v>
                </c:pt>
                <c:pt idx="12">
                  <c:v>4.5666666666666664</c:v>
                </c:pt>
                <c:pt idx="13">
                  <c:v>3.7833333333333332</c:v>
                </c:pt>
                <c:pt idx="14" formatCode="General">
                  <c:v>3.5</c:v>
                </c:pt>
              </c:numCache>
            </c:numRef>
          </c:xVal>
          <c:yVal>
            <c:numRef>
              <c:f>'FinFET_v98_HEI_HHI w PENN MODEL'!$L$18:$Z$18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0.73119999999999996</c:v>
                </c:pt>
                <c:pt idx="3">
                  <c:v>0.78169999999999995</c:v>
                </c:pt>
                <c:pt idx="4">
                  <c:v>0.76880000000000004</c:v>
                </c:pt>
                <c:pt idx="5">
                  <c:v>0.85799999999999998</c:v>
                </c:pt>
                <c:pt idx="6">
                  <c:v>0.80010000000000003</c:v>
                </c:pt>
                <c:pt idx="7">
                  <c:v>0.84470000000000001</c:v>
                </c:pt>
                <c:pt idx="8">
                  <c:v>0.84970000000000001</c:v>
                </c:pt>
                <c:pt idx="9">
                  <c:v>0.7631</c:v>
                </c:pt>
                <c:pt idx="10">
                  <c:v>0.72519999999999996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'FinFET_v98_HEI_HHI w PENN MODEL'!$L$29:$Z$29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48E5-4D4B-B230-E7B83F5A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'FinFET_v98_HEI_HHI w PENN MODEL'!$F$18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82285C3-0997-487B-B196-5C9F78F2DEB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8E5-4D4B-B230-E7B83F5A12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962B2B-EE69-4F9B-B438-E67C3205417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8E5-4D4B-B230-E7B83F5A1261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A2BDA95E-33F7-4DC0-876F-A248E8E274C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8E5-4D4B-B230-E7B83F5A1261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E106E9E3-4BF9-438F-9F18-55DD92FEC69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8E5-4D4B-B230-E7B83F5A1261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CDE3314C-90C7-4797-B6F0-2826585CDC8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8E5-4D4B-B230-E7B83F5A12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'FinFET_v98_HEI_HHI w PENN MODEL'!$G$18:$K$18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48E5-4D4B-B230-E7B83F5A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5174660883558"/>
          <c:y val="0.11068973912061703"/>
          <c:w val="0.81678541668617222"/>
          <c:h val="0.74149275386603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'FinFET_v98_HEI_HHI w PENN MODEL'!$F$25</c:f>
              <c:strCache>
                <c:ptCount val="1"/>
                <c:pt idx="0">
                  <c:v>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6081942801307389E-2"/>
                  <c:y val="-3.0373513115715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SiO2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C35-4039-A8DE-F4C2BCF73532}"/>
                </c:ext>
              </c:extLst>
            </c:dLbl>
            <c:dLbl>
              <c:idx val="1"/>
              <c:layout>
                <c:manualLayout>
                  <c:x val="-2.910785628169257E-2"/>
                  <c:y val="-8.92093527058209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Al2O3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C35-4039-A8DE-F4C2BCF73532}"/>
                </c:ext>
              </c:extLst>
            </c:dLbl>
            <c:dLbl>
              <c:idx val="2"/>
              <c:layout>
                <c:manualLayout>
                  <c:x val="-1.5286906076449024E-2"/>
                  <c:y val="-0.106476694900312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HfO2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C35-4039-A8DE-F4C2BCF73532}"/>
                </c:ext>
              </c:extLst>
            </c:dLbl>
            <c:dLbl>
              <c:idx val="3"/>
              <c:layout>
                <c:manualLayout>
                  <c:x val="2.1508535366310491E-2"/>
                  <c:y val="0.1042969328528206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La2O3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C35-4039-A8DE-F4C2BCF73532}"/>
                </c:ext>
              </c:extLst>
            </c:dLbl>
            <c:dLbl>
              <c:idx val="4"/>
              <c:layout>
                <c:manualLayout>
                  <c:x val="-2.0774099659517414E-2"/>
                  <c:y val="-4.71545419649827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TiO2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C35-4039-A8DE-F4C2BCF735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MODEL'!$G$25:$K$25</c:f>
              <c:numCache>
                <c:formatCode>0.00E+00</c:formatCode>
                <c:ptCount val="5"/>
                <c:pt idx="0">
                  <c:v>3.5499100140000001E-14</c:v>
                </c:pt>
                <c:pt idx="1">
                  <c:v>4.2756333009999998E-16</c:v>
                </c:pt>
                <c:pt idx="2">
                  <c:v>7.4843940040000001E-16</c:v>
                </c:pt>
                <c:pt idx="3">
                  <c:v>1.4999248239999999E-15</c:v>
                </c:pt>
                <c:pt idx="4">
                  <c:v>1.483032294E-14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35-4039-A8DE-F4C2BCF73532}"/>
            </c:ext>
          </c:extLst>
        </c:ser>
        <c:ser>
          <c:idx val="1"/>
          <c:order val="1"/>
          <c:tx>
            <c:strRef>
              <c:f>'FinFET_v98_HEI_HHI w PENN MODEL'!$E$25</c:f>
              <c:strCache>
                <c:ptCount val="1"/>
                <c:pt idx="0">
                  <c:v>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8081240460460514E-2"/>
                  <c:y val="-3.15691797216565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​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C35-4039-A8DE-F4C2BCF73532}"/>
                </c:ext>
              </c:extLst>
            </c:dLbl>
            <c:dLbl>
              <c:idx val="1"/>
              <c:layout>
                <c:manualLayout>
                  <c:x val="1.1851190398852221E-2"/>
                  <c:y val="-3.72321958658716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C35-4039-A8DE-F4C2BCF73532}"/>
                </c:ext>
              </c:extLst>
            </c:dLbl>
            <c:dLbl>
              <c:idx val="2"/>
              <c:layout>
                <c:manualLayout>
                  <c:x val="-2.664664466658697E-2"/>
                  <c:y val="-8.1995232486794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C35-4039-A8DE-F4C2BCF73532}"/>
                </c:ext>
              </c:extLst>
            </c:dLbl>
            <c:dLbl>
              <c:idx val="3"/>
              <c:layout>
                <c:manualLayout>
                  <c:x val="-3.8563073645074683E-3"/>
                  <c:y val="5.10666958171419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C35-4039-A8DE-F4C2BCF73532}"/>
                </c:ext>
              </c:extLst>
            </c:dLbl>
            <c:dLbl>
              <c:idx val="4"/>
              <c:layout>
                <c:manualLayout>
                  <c:x val="4.0217266396247488E-3"/>
                  <c:y val="4.17186496651683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C35-4039-A8DE-F4C2BCF73532}"/>
                </c:ext>
              </c:extLst>
            </c:dLbl>
            <c:dLbl>
              <c:idx val="5"/>
              <c:layout>
                <c:manualLayout>
                  <c:x val="-7.631011043593431E-3"/>
                  <c:y val="-5.85522557531048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C35-4039-A8DE-F4C2BCF73532}"/>
                </c:ext>
              </c:extLst>
            </c:dLbl>
            <c:dLbl>
              <c:idx val="6"/>
              <c:layout>
                <c:manualLayout>
                  <c:x val="8.488505195034652E-3"/>
                  <c:y val="5.28148440862869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C35-4039-A8DE-F4C2BCF73532}"/>
                </c:ext>
              </c:extLst>
            </c:dLbl>
            <c:dLbl>
              <c:idx val="7"/>
              <c:layout>
                <c:manualLayout>
                  <c:x val="-8.2886795554727843E-3"/>
                  <c:y val="-9.99627768800321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C35-4039-A8DE-F4C2BCF73532}"/>
                </c:ext>
              </c:extLst>
            </c:dLbl>
            <c:dLbl>
              <c:idx val="8"/>
              <c:layout>
                <c:manualLayout>
                  <c:x val="2.286919613145694E-3"/>
                  <c:y val="-3.09862186249674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5C35-4039-A8DE-F4C2BCF73532}"/>
                </c:ext>
              </c:extLst>
            </c:dLbl>
            <c:dLbl>
              <c:idx val="9"/>
              <c:layout>
                <c:manualLayout>
                  <c:x val="-3.4599014657222656E-2"/>
                  <c:y val="7.070870917464190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5C35-4039-A8DE-F4C2BCF73532}"/>
                </c:ext>
              </c:extLst>
            </c:dLbl>
            <c:dLbl>
              <c:idx val="10"/>
              <c:layout>
                <c:manualLayout>
                  <c:x val="9.9767417647029649E-3"/>
                  <c:y val="5.99652310057618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C35-4039-A8DE-F4C2BCF73532}"/>
                </c:ext>
              </c:extLst>
            </c:dLbl>
            <c:dLbl>
              <c:idx val="11"/>
              <c:layout>
                <c:manualLayout>
                  <c:x val="-1.3091956947314676E-2"/>
                  <c:y val="-0.1075412982577463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5C35-4039-A8DE-F4C2BCF73532}"/>
                </c:ext>
              </c:extLst>
            </c:dLbl>
            <c:dLbl>
              <c:idx val="12"/>
              <c:layout>
                <c:manualLayout>
                  <c:x val="1.3068785342098118E-3"/>
                  <c:y val="-5.46204300240627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5C35-4039-A8DE-F4C2BCF73532}"/>
                </c:ext>
              </c:extLst>
            </c:dLbl>
            <c:dLbl>
              <c:idx val="13"/>
              <c:layout>
                <c:manualLayout>
                  <c:x val="-9.3395707629011452E-3"/>
                  <c:y val="6.55910184669014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5C35-4039-A8DE-F4C2BCF7353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5C35-4039-A8DE-F4C2BCF735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'FinFET_v98_HEI_HHI w PENN MODEL'!$L$25:$Z$25</c:f>
              <c:numCache>
                <c:formatCode>0.00E+00</c:formatCode>
                <c:ptCount val="15"/>
                <c:pt idx="0">
                  <c:v>3.5499100140000001E-14</c:v>
                </c:pt>
                <c:pt idx="1">
                  <c:v>3.2803418760000001E-16</c:v>
                </c:pt>
                <c:pt idx="2">
                  <c:v>3.716788569E-17</c:v>
                </c:pt>
                <c:pt idx="3">
                  <c:v>2.2342132890000001E-17</c:v>
                </c:pt>
                <c:pt idx="4">
                  <c:v>1.9312871429999999E-16</c:v>
                </c:pt>
                <c:pt idx="5">
                  <c:v>1.0119630439999999E-15</c:v>
                </c:pt>
                <c:pt idx="6">
                  <c:v>1.3535978149999999E-16</c:v>
                </c:pt>
                <c:pt idx="7">
                  <c:v>7.4776230850000004E-16</c:v>
                </c:pt>
                <c:pt idx="8">
                  <c:v>1.2531103650000001E-15</c:v>
                </c:pt>
                <c:pt idx="9">
                  <c:v>2.2839110080000001E-16</c:v>
                </c:pt>
                <c:pt idx="10">
                  <c:v>4.7144181870000002E-17</c:v>
                </c:pt>
                <c:pt idx="11">
                  <c:v>4.2920780240000002E-15</c:v>
                </c:pt>
                <c:pt idx="12">
                  <c:v>3.9813840200000001E-15</c:v>
                </c:pt>
                <c:pt idx="13">
                  <c:v>3.3363251519999998E-15</c:v>
                </c:pt>
                <c:pt idx="14">
                  <c:v>1.483032294E-14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C35-4039-A8DE-F4C2BCF7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4838447122761"/>
              <c:y val="0.1285631711573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7E-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OFF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8749630358368164E-2"/>
              <c:y val="0.39129683903112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349999999999999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621467473729717"/>
          <c:y val="0.45941301950384933"/>
          <c:w val="0.18427804698758082"/>
          <c:h val="9.936088303792628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'FinFET_v98_HEI_HHI w PENN MODEL'!$F$21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943F6B2-2F9B-469C-A419-BB65BA069BB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CA5-4A72-ABCE-AE2547F6FE53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B97CCBBF-AFB1-40E8-B29A-502CAD47BFD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CA5-4A72-ABCE-AE2547F6FE53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F38FCA3E-AC25-4A78-A2A2-7BE6CE2ACFE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CA5-4A72-ABCE-AE2547F6FE53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C1F6ED80-54FF-4429-8757-A79E8310488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CA5-4A72-ABCE-AE2547F6FE53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9BE9DCE9-22F5-4E10-BABB-078C8B85C8E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CA5-4A72-ABCE-AE2547F6FE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1CA5-4A72-ABCE-AE2547F6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'FinFET_v98_HEI_HHI w PENN MODEL'!$F$27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FABDCB3-7C77-425B-8E4D-1E25490A21F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C7A-4B25-9C72-A220586726ED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D8135BC3-A3F0-4572-97D6-7B383ABFC0E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C7A-4B25-9C72-A220586726ED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B742F16B-74DE-46CF-8137-DE7BF5EBCE7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C7A-4B25-9C72-A220586726ED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192B1101-FC9D-4C91-B0E7-418EFD3E2E0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C7A-4B25-9C72-A220586726E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384983-BF53-414A-87E3-42B8DBB4951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C7A-4B25-9C72-A22058672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MODEL'!$G$24:$K$24</c:f>
              <c:numCache>
                <c:formatCode>0.00E+00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C7A-4B25-9C72-A2205867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'FinFET_v98_HEI_HHI w PENN MODEL'!$F$26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7662D15-8813-4583-B3DA-AE967B68D92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77E-479C-8EE7-4625AAFC413E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FCDB98DC-5022-404F-8858-0B89F77425E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77E-479C-8EE7-4625AAFC413E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95A58FE9-E243-4397-A03B-A0E2E93B65D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77E-479C-8EE7-4625AAFC413E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CB653F46-04AF-4F3B-BA61-775CC0CC8BE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77E-479C-8EE7-4625AAFC41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EC56A5-597D-4F2E-868E-C080B06C415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77E-479C-8EE7-4625AAFC41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77E-479C-8EE7-4625AAFC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FinFET_v9_Makale_Try_La2O3.in!$L$2</c:f>
              <c:strCache>
                <c:ptCount val="1"/>
                <c:pt idx="0">
                  <c:v>Leakage Id (A)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FinFET_v9_Makale_Try_La2O3.in!$D$3:$D$8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FinFET_v9_Makale_Try_La2O3.in!$L$3:$L$8</c:f>
              <c:numCache>
                <c:formatCode>0.00E+00</c:formatCode>
                <c:ptCount val="6"/>
                <c:pt idx="0">
                  <c:v>3.33E-18</c:v>
                </c:pt>
                <c:pt idx="1">
                  <c:v>2.3549999999999999E-20</c:v>
                </c:pt>
                <c:pt idx="2">
                  <c:v>3.8420000000000001E-22</c:v>
                </c:pt>
                <c:pt idx="3">
                  <c:v>2.4E-22</c:v>
                </c:pt>
                <c:pt idx="4">
                  <c:v>1.5060000000000001E-22</c:v>
                </c:pt>
                <c:pt idx="5">
                  <c:v>3.697E-24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2-4107-AA03-75765BFAD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ax val="1.000000000000001E-1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'FinFET_v98_HEI_HHI w PENN MODEL'!$F$18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7CFFA0D-EB09-4127-963A-A6197D307E0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773-4A94-A62A-B8C2126DFA0D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0CE3716D-217B-4AD1-B40E-E854B16C6D6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773-4A94-A62A-B8C2126DFA0D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F851C9D3-FAEF-4A80-B3DB-E4C9B69556A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773-4A94-A62A-B8C2126DFA0D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B7AF6D86-3143-4DC5-869A-FE8B2E11135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773-4A94-A62A-B8C2126DFA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46B9376-AA54-4E95-9553-121CAEA013E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773-4A94-A62A-B8C2126DFA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773-4A94-A62A-B8C2126D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'FinFET_v98_HEI_HHI w PENN MODEL'!$F$21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F1E008E-78A7-40BE-B8A3-256118EC0EC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02F-4C52-AC10-2FD74D8008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CE6FA4-0674-42F7-B895-86A6E06F522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02F-4C52-AC10-2FD74D800802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EAA55089-A2AA-4462-AEF1-9D2C81CFED0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02F-4C52-AC10-2FD74D800802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12214D5E-3F35-4301-B8E2-86C06CAEFF8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02F-4C52-AC10-2FD74D800802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BD76D0E9-5021-4279-851A-E64192ABA64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02F-4C52-AC10-2FD74D8008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'FinFET_v98_HEI_HHI w PENN MODEL'!$G$21:$K$21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02F-4C52-AC10-2FD74D80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'FinFET_v98_HEI_HHI w PENN MODEL'!$F$19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86B4768-B435-4FC7-915D-9ACC84C632B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1D4-4EC5-B8E7-65A7186547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3FB094-75E6-471F-A95E-A9C7ECFA6D1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1D4-4EC5-B8E7-65A71865470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25AD85-DD11-48E8-9851-F1CE50A5C32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D4-4EC5-B8E7-65A71865470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1BEBC3-AFB2-4EF4-BD8D-5E444EB7230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D4-4EC5-B8E7-65A71865470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22F9E3-3A9B-46EC-ABCE-78B92495F1C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D4-4EC5-B8E7-65A718654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1D4-4EC5-B8E7-65A718654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'FinFET_v98_HEI_HHI w PENN MODEL'!$E$19</c:f>
              <c:strCache>
                <c:ptCount val="1"/>
                <c:pt idx="0">
                  <c:v>SS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  <a:prstDash val="sys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771022D-FDCE-40AE-A4D5-204A283FE9F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80A-4476-8B59-59877668B971}"/>
                </c:ext>
              </c:extLst>
            </c:dLbl>
            <c:dLbl>
              <c:idx val="1"/>
              <c:layout>
                <c:manualLayout>
                  <c:x val="1.1894185205033376E-2"/>
                  <c:y val="-4.7351937433413233E-2"/>
                </c:manualLayout>
              </c:layout>
              <c:tx>
                <c:rich>
                  <a:bodyPr/>
                  <a:lstStyle/>
                  <a:p>
                    <a:fld id="{7578CC11-869E-419E-A4F4-05357857326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80A-4476-8B59-59877668B971}"/>
                </c:ext>
              </c:extLst>
            </c:dLbl>
            <c:dLbl>
              <c:idx val="2"/>
              <c:layout>
                <c:manualLayout>
                  <c:x val="-2.7625703954335046E-2"/>
                  <c:y val="4.0990833536721324E-2"/>
                </c:manualLayout>
              </c:layout>
              <c:tx>
                <c:rich>
                  <a:bodyPr/>
                  <a:lstStyle/>
                  <a:p>
                    <a:fld id="{F940AD8B-BAD6-4791-9C61-DBF4765E338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80A-4476-8B59-59877668B971}"/>
                </c:ext>
              </c:extLst>
            </c:dLbl>
            <c:dLbl>
              <c:idx val="3"/>
              <c:layout>
                <c:manualLayout>
                  <c:x val="-9.8034304602921587E-3"/>
                  <c:y val="-0.11954528610829629"/>
                </c:manualLayout>
              </c:layout>
              <c:tx>
                <c:rich>
                  <a:bodyPr/>
                  <a:lstStyle/>
                  <a:p>
                    <a:fld id="{B4CE6EA9-E824-4C7A-8993-9E0076E5659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80A-4476-8B59-59877668B971}"/>
                </c:ext>
              </c:extLst>
            </c:dLbl>
            <c:dLbl>
              <c:idx val="4"/>
              <c:layout>
                <c:manualLayout>
                  <c:x val="-2.4908774732837487E-2"/>
                  <c:y val="7.1998669226930379E-2"/>
                </c:manualLayout>
              </c:layout>
              <c:tx>
                <c:rich>
                  <a:bodyPr/>
                  <a:lstStyle/>
                  <a:p>
                    <a:fld id="{F29C215F-3516-46FB-B857-A999D174157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80A-4476-8B59-59877668B971}"/>
                </c:ext>
              </c:extLst>
            </c:dLbl>
            <c:dLbl>
              <c:idx val="5"/>
              <c:layout>
                <c:manualLayout>
                  <c:x val="-1.8343507893436053E-2"/>
                  <c:y val="-7.9991215180443678E-2"/>
                </c:manualLayout>
              </c:layout>
              <c:tx>
                <c:rich>
                  <a:bodyPr/>
                  <a:lstStyle/>
                  <a:p>
                    <a:fld id="{5BA4C1BB-8368-4E9B-99C7-9B460225950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80A-4476-8B59-59877668B971}"/>
                </c:ext>
              </c:extLst>
            </c:dLbl>
            <c:dLbl>
              <c:idx val="6"/>
              <c:layout>
                <c:manualLayout>
                  <c:x val="-1.1993631103068465E-2"/>
                  <c:y val="-6.6728269408469487E-2"/>
                </c:manualLayout>
              </c:layout>
              <c:tx>
                <c:rich>
                  <a:bodyPr/>
                  <a:lstStyle/>
                  <a:p>
                    <a:fld id="{75A4084D-0241-4031-BCA8-26397E01F4D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80A-4476-8B59-59877668B971}"/>
                </c:ext>
              </c:extLst>
            </c:dLbl>
            <c:dLbl>
              <c:idx val="7"/>
              <c:layout>
                <c:manualLayout>
                  <c:x val="1.5985413374055769E-2"/>
                  <c:y val="-2.2222564103550255E-2"/>
                </c:manualLayout>
              </c:layout>
              <c:tx>
                <c:rich>
                  <a:bodyPr/>
                  <a:lstStyle/>
                  <a:p>
                    <a:fld id="{A969021D-5E41-4F01-8462-A09F33BF752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80A-4476-8B59-59877668B971}"/>
                </c:ext>
              </c:extLst>
            </c:dLbl>
            <c:dLbl>
              <c:idx val="8"/>
              <c:layout>
                <c:manualLayout>
                  <c:x val="-1.0498589675853858E-2"/>
                  <c:y val="7.0935122232767489E-2"/>
                </c:manualLayout>
              </c:layout>
              <c:tx>
                <c:rich>
                  <a:bodyPr/>
                  <a:lstStyle/>
                  <a:p>
                    <a:fld id="{9E0D02E5-AEE7-4AA8-A621-BBA18600084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80A-4476-8B59-59877668B971}"/>
                </c:ext>
              </c:extLst>
            </c:dLbl>
            <c:dLbl>
              <c:idx val="9"/>
              <c:layout>
                <c:manualLayout>
                  <c:x val="-1.4581368229908112E-2"/>
                  <c:y val="5.3941117137837807E-2"/>
                </c:manualLayout>
              </c:layout>
              <c:tx>
                <c:rich>
                  <a:bodyPr/>
                  <a:lstStyle/>
                  <a:p>
                    <a:fld id="{1919613C-0797-4E99-82A3-349746A7096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80A-4476-8B59-59877668B971}"/>
                </c:ext>
              </c:extLst>
            </c:dLbl>
            <c:dLbl>
              <c:idx val="10"/>
              <c:layout>
                <c:manualLayout>
                  <c:x val="-1.2779398713270216E-2"/>
                  <c:y val="-8.9155587916205301E-2"/>
                </c:manualLayout>
              </c:layout>
              <c:tx>
                <c:rich>
                  <a:bodyPr/>
                  <a:lstStyle/>
                  <a:p>
                    <a:fld id="{B17BE1E7-E4DA-4216-B95C-0410019088B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80A-4476-8B59-59877668B971}"/>
                </c:ext>
              </c:extLst>
            </c:dLbl>
            <c:dLbl>
              <c:idx val="11"/>
              <c:layout>
                <c:manualLayout>
                  <c:x val="-1.375536331249618E-2"/>
                  <c:y val="9.7183024820124392E-2"/>
                </c:manualLayout>
              </c:layout>
              <c:tx>
                <c:rich>
                  <a:bodyPr/>
                  <a:lstStyle/>
                  <a:p>
                    <a:fld id="{F4758194-FA59-4F7E-B99B-A92544415F4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80A-4476-8B59-59877668B971}"/>
                </c:ext>
              </c:extLst>
            </c:dLbl>
            <c:dLbl>
              <c:idx val="12"/>
              <c:layout>
                <c:manualLayout>
                  <c:x val="-2.003533791884906E-2"/>
                  <c:y val="5.6379034324066615E-2"/>
                </c:manualLayout>
              </c:layout>
              <c:tx>
                <c:rich>
                  <a:bodyPr/>
                  <a:lstStyle/>
                  <a:p>
                    <a:fld id="{FAAFD5A4-2675-4932-9E98-A19ADA48AD4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80A-4476-8B59-59877668B971}"/>
                </c:ext>
              </c:extLst>
            </c:dLbl>
            <c:dLbl>
              <c:idx val="13"/>
              <c:layout>
                <c:manualLayout>
                  <c:x val="-4.1892070193956854E-2"/>
                  <c:y val="6.3426413614574947E-2"/>
                </c:manualLayout>
              </c:layout>
              <c:tx>
                <c:rich>
                  <a:bodyPr/>
                  <a:lstStyle/>
                  <a:p>
                    <a:fld id="{8F1005F5-F835-426F-B245-1F7F635F9DB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80A-4476-8B59-59877668B97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6783C0A-5662-4489-B476-744A744F41D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80A-4476-8B59-59877668B9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'FinFET_v98_HEI_HHI w PENN MODEL'!$L$19:$Z$19</c:f>
              <c:numCache>
                <c:formatCode>General</c:formatCode>
                <c:ptCount val="15"/>
                <c:pt idx="0">
                  <c:v>89.6</c:v>
                </c:pt>
                <c:pt idx="1">
                  <c:v>82.6</c:v>
                </c:pt>
                <c:pt idx="2">
                  <c:v>78.900000000000006</c:v>
                </c:pt>
                <c:pt idx="3">
                  <c:v>81.099999999999994</c:v>
                </c:pt>
                <c:pt idx="4">
                  <c:v>76.8</c:v>
                </c:pt>
                <c:pt idx="5">
                  <c:v>80.3</c:v>
                </c:pt>
                <c:pt idx="6">
                  <c:v>81.7</c:v>
                </c:pt>
                <c:pt idx="7">
                  <c:v>82</c:v>
                </c:pt>
                <c:pt idx="8">
                  <c:v>79</c:v>
                </c:pt>
                <c:pt idx="9">
                  <c:v>76.2</c:v>
                </c:pt>
                <c:pt idx="10">
                  <c:v>77.099999999999994</c:v>
                </c:pt>
                <c:pt idx="11">
                  <c:v>79.8</c:v>
                </c:pt>
                <c:pt idx="12">
                  <c:v>78.3</c:v>
                </c:pt>
                <c:pt idx="13">
                  <c:v>77</c:v>
                </c:pt>
                <c:pt idx="1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D80A-4476-8B59-59877668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'FinFET_v98_HEI_HHI w PENN MODEL'!$F$19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3641171246000693E-2"/>
                  <c:y val="-4.0873105572259469E-2"/>
                </c:manualLayout>
              </c:layout>
              <c:tx>
                <c:rich>
                  <a:bodyPr/>
                  <a:lstStyle/>
                  <a:p>
                    <a:fld id="{D0A4BFC9-AF29-4422-BDC7-770C0029C2F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80A-4476-8B59-59877668B971}"/>
                </c:ext>
              </c:extLst>
            </c:dLbl>
            <c:dLbl>
              <c:idx val="1"/>
              <c:layout>
                <c:manualLayout>
                  <c:x val="1.3167881790248725E-2"/>
                  <c:y val="-4.9451696267995941E-2"/>
                </c:manualLayout>
              </c:layout>
              <c:tx>
                <c:rich>
                  <a:bodyPr/>
                  <a:lstStyle/>
                  <a:p>
                    <a:fld id="{FE289F01-398B-47C2-9CDE-10A61EEF5AB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80A-4476-8B59-59877668B971}"/>
                </c:ext>
              </c:extLst>
            </c:dLbl>
            <c:dLbl>
              <c:idx val="2"/>
              <c:layout>
                <c:manualLayout>
                  <c:x val="-6.9869649478826699E-3"/>
                  <c:y val="-7.3756361456831829E-2"/>
                </c:manualLayout>
              </c:layout>
              <c:tx>
                <c:rich>
                  <a:bodyPr/>
                  <a:lstStyle/>
                  <a:p>
                    <a:fld id="{A7E488C7-855A-4B18-A82A-1B847668390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80A-4476-8B59-59877668B971}"/>
                </c:ext>
              </c:extLst>
            </c:dLbl>
            <c:dLbl>
              <c:idx val="3"/>
              <c:layout>
                <c:manualLayout>
                  <c:x val="1.0829801039757999E-2"/>
                  <c:y val="-4.5647061585301026E-2"/>
                </c:manualLayout>
              </c:layout>
              <c:tx>
                <c:rich>
                  <a:bodyPr/>
                  <a:lstStyle/>
                  <a:p>
                    <a:fld id="{13C9BC56-9C4B-418B-B0BA-6B819120E9B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80A-4476-8B59-59877668B9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AAD3C6C-25B3-4C53-8F7E-362F82AC751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80A-4476-8B59-59877668B9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D80A-4476-8B59-59877668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At val="3.9"/>
        <c:crossBetween val="midCat"/>
        <c:minorUnit val="1"/>
      </c:valAx>
      <c:valAx>
        <c:axId val="363195216"/>
        <c:scaling>
          <c:orientation val="minMax"/>
          <c:max val="90"/>
          <c:min val="7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SS (mV/decade)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2737627967246"/>
              <c:y val="0.3632886878245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3499999999999996"/>
        <c:crossBetween val="midCat"/>
        <c:majorUnit val="5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80705470406246"/>
          <c:y val="0.14705776471921889"/>
          <c:w val="0.23186483319188161"/>
          <c:h val="0.186311484991868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'FinFET_v98_HEI_HHI w PENN MODEL'!$F$18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576CA89-FDD2-4A7A-952C-95229ABD00D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386-4448-BC96-E96E043FF7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A20C01-B3C8-4A49-83B3-CF3AFA45E92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386-4448-BC96-E96E043FF718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84E9B06B-67D3-41DA-9C27-AC4FAA7F8FF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386-4448-BC96-E96E043FF718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5B7289AC-EEEF-4136-ADF2-8BF79AD9D7F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386-4448-BC96-E96E043FF718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C66925C2-07DE-47ED-B2FB-6108CFF50E6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386-4448-BC96-E96E043FF7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'FinFET_v98_HEI_HHI w PENN MODEL'!$G$18:$K$18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386-4448-BC96-E96E043F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'FinFET_v98_HEI_HHI w PENN MODEL'!$E$27</c:f>
              <c:strCache>
                <c:ptCount val="1"/>
                <c:pt idx="0">
                  <c:v>ION/IOFF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57CB959-72A0-40A6-975A-4C73E3C6E9E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4EF-471C-8C54-1B167A52BDFC}"/>
                </c:ext>
              </c:extLst>
            </c:dLbl>
            <c:dLbl>
              <c:idx val="1"/>
              <c:layout>
                <c:manualLayout>
                  <c:x val="-8.1818866285334989E-3"/>
                  <c:y val="-0.10440107311112189"/>
                </c:manualLayout>
              </c:layout>
              <c:tx>
                <c:rich>
                  <a:bodyPr/>
                  <a:lstStyle/>
                  <a:p>
                    <a:fld id="{A215A582-8D8A-4B9C-88A3-52AAAAA0A75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F-471C-8C54-1B167A52BDFC}"/>
                </c:ext>
              </c:extLst>
            </c:dLbl>
            <c:dLbl>
              <c:idx val="2"/>
              <c:layout>
                <c:manualLayout>
                  <c:x val="-5.053758778308666E-2"/>
                  <c:y val="-0.1164898111713179"/>
                </c:manualLayout>
              </c:layout>
              <c:tx>
                <c:rich>
                  <a:bodyPr/>
                  <a:lstStyle/>
                  <a:p>
                    <a:fld id="{65B50C30-4815-47E6-AA4E-0B213A015B1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EF-471C-8C54-1B167A52BDFC}"/>
                </c:ext>
              </c:extLst>
            </c:dLbl>
            <c:dLbl>
              <c:idx val="3"/>
              <c:layout>
                <c:manualLayout>
                  <c:x val="3.3846447131309083E-2"/>
                  <c:y val="-5.2666218601758616E-2"/>
                </c:manualLayout>
              </c:layout>
              <c:tx>
                <c:rich>
                  <a:bodyPr/>
                  <a:lstStyle/>
                  <a:p>
                    <a:fld id="{E900FA37-2049-46C4-A38F-2672C2F46FA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4EF-471C-8C54-1B167A52BDFC}"/>
                </c:ext>
              </c:extLst>
            </c:dLbl>
            <c:dLbl>
              <c:idx val="4"/>
              <c:layout>
                <c:manualLayout>
                  <c:x val="8.6046859575578515E-3"/>
                  <c:y val="-9.7747311842950504E-2"/>
                </c:manualLayout>
              </c:layout>
              <c:tx>
                <c:rich>
                  <a:bodyPr/>
                  <a:lstStyle/>
                  <a:p>
                    <a:fld id="{FBE153B6-360A-45F3-BD78-2ECEE12E024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4EF-471C-8C54-1B167A52BDFC}"/>
                </c:ext>
              </c:extLst>
            </c:dLbl>
            <c:dLbl>
              <c:idx val="5"/>
              <c:layout>
                <c:manualLayout>
                  <c:x val="-1.3191263119364721E-2"/>
                  <c:y val="9.5793860395245303E-2"/>
                </c:manualLayout>
              </c:layout>
              <c:tx>
                <c:rich>
                  <a:bodyPr/>
                  <a:lstStyle/>
                  <a:p>
                    <a:fld id="{202EF5BA-B524-4092-A604-B25CF232D4A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4EF-471C-8C54-1B167A52BDFC}"/>
                </c:ext>
              </c:extLst>
            </c:dLbl>
            <c:dLbl>
              <c:idx val="6"/>
              <c:layout>
                <c:manualLayout>
                  <c:x val="2.2389496929715743E-3"/>
                  <c:y val="-7.2036380639505751E-2"/>
                </c:manualLayout>
              </c:layout>
              <c:tx>
                <c:rich>
                  <a:bodyPr/>
                  <a:lstStyle/>
                  <a:p>
                    <a:fld id="{B1D4AB55-B9B5-4FCD-BFAD-4DFCEE0BD47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4EF-471C-8C54-1B167A52BDFC}"/>
                </c:ext>
              </c:extLst>
            </c:dLbl>
            <c:dLbl>
              <c:idx val="7"/>
              <c:layout>
                <c:manualLayout>
                  <c:x val="-1.9710367086337926E-2"/>
                  <c:y val="0.14042893383791763"/>
                </c:manualLayout>
              </c:layout>
              <c:tx>
                <c:rich>
                  <a:bodyPr/>
                  <a:lstStyle/>
                  <a:p>
                    <a:fld id="{23681533-19AA-4426-B958-5F31FA59AD9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4EF-471C-8C54-1B167A52BDFC}"/>
                </c:ext>
              </c:extLst>
            </c:dLbl>
            <c:dLbl>
              <c:idx val="8"/>
              <c:layout>
                <c:manualLayout>
                  <c:x val="-9.8192831563901316E-3"/>
                  <c:y val="0.10048013594400862"/>
                </c:manualLayout>
              </c:layout>
              <c:tx>
                <c:rich>
                  <a:bodyPr/>
                  <a:lstStyle/>
                  <a:p>
                    <a:fld id="{A0DC6914-A9CB-457D-82C1-DFF07131F81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4EF-471C-8C54-1B167A52BDFC}"/>
                </c:ext>
              </c:extLst>
            </c:dLbl>
            <c:dLbl>
              <c:idx val="9"/>
              <c:layout>
                <c:manualLayout>
                  <c:x val="-2.2228160044627424E-2"/>
                  <c:y val="-1.3084610829598728E-2"/>
                </c:manualLayout>
              </c:layout>
              <c:tx>
                <c:rich>
                  <a:bodyPr/>
                  <a:lstStyle/>
                  <a:p>
                    <a:fld id="{157A65C0-F8F4-4EC4-B951-CE2618C375E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4EF-471C-8C54-1B167A52BDFC}"/>
                </c:ext>
              </c:extLst>
            </c:dLbl>
            <c:dLbl>
              <c:idx val="10"/>
              <c:layout>
                <c:manualLayout>
                  <c:x val="-3.6403635956294934E-3"/>
                  <c:y val="-5.8461074994898887E-2"/>
                </c:manualLayout>
              </c:layout>
              <c:tx>
                <c:rich>
                  <a:bodyPr/>
                  <a:lstStyle/>
                  <a:p>
                    <a:fld id="{175B13D4-9D99-4FB8-8104-753F46334F5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4EF-471C-8C54-1B167A52BDFC}"/>
                </c:ext>
              </c:extLst>
            </c:dLbl>
            <c:dLbl>
              <c:idx val="11"/>
              <c:layout>
                <c:manualLayout>
                  <c:x val="-3.7826826805269598E-3"/>
                  <c:y val="-0.10175736763493687"/>
                </c:manualLayout>
              </c:layout>
              <c:tx>
                <c:rich>
                  <a:bodyPr/>
                  <a:lstStyle/>
                  <a:p>
                    <a:fld id="{EADDDD96-887F-4103-9A95-3AE19B4A152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4EF-471C-8C54-1B167A52BDFC}"/>
                </c:ext>
              </c:extLst>
            </c:dLbl>
            <c:dLbl>
              <c:idx val="12"/>
              <c:layout>
                <c:manualLayout>
                  <c:x val="2.1053955663998945E-2"/>
                  <c:y val="0.11133576329530359"/>
                </c:manualLayout>
              </c:layout>
              <c:tx>
                <c:rich>
                  <a:bodyPr/>
                  <a:lstStyle/>
                  <a:p>
                    <a:fld id="{25B1B974-86F1-40B6-AACC-B8862DBB7C7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4EF-471C-8C54-1B167A52BDFC}"/>
                </c:ext>
              </c:extLst>
            </c:dLbl>
            <c:dLbl>
              <c:idx val="13"/>
              <c:layout>
                <c:manualLayout>
                  <c:x val="-4.0356409976947893E-2"/>
                  <c:y val="0.14755260811889895"/>
                </c:manualLayout>
              </c:layout>
              <c:tx>
                <c:rich>
                  <a:bodyPr/>
                  <a:lstStyle/>
                  <a:p>
                    <a:fld id="{1DE95722-3D6B-4BBE-BC6F-AB81C038385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4EF-471C-8C54-1B167A52BD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0D6026D-2094-4815-A484-39AAC7A7A1F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4EF-471C-8C54-1B167A52BD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'FinFET_v98_HEI_HHI w PENN MODEL'!$L$27:$Z$27</c:f>
              <c:numCache>
                <c:formatCode>0.00E+00</c:formatCode>
                <c:ptCount val="15"/>
                <c:pt idx="0">
                  <c:v>564668834.72951043</c:v>
                </c:pt>
                <c:pt idx="1">
                  <c:v>58139974859.132637</c:v>
                </c:pt>
                <c:pt idx="2">
                  <c:v>292157974778.79083</c:v>
                </c:pt>
                <c:pt idx="3">
                  <c:v>730602378491.17896</c:v>
                </c:pt>
                <c:pt idx="4">
                  <c:v>92519327614.039841</c:v>
                </c:pt>
                <c:pt idx="5">
                  <c:v>15434954846.038828</c:v>
                </c:pt>
                <c:pt idx="6">
                  <c:v>139148648743.94025</c:v>
                </c:pt>
                <c:pt idx="7">
                  <c:v>19063649635.66494</c:v>
                </c:pt>
                <c:pt idx="8">
                  <c:v>9826034620.661684</c:v>
                </c:pt>
                <c:pt idx="9">
                  <c:v>78512604769.581284</c:v>
                </c:pt>
                <c:pt idx="10">
                  <c:v>408707026524.11945</c:v>
                </c:pt>
                <c:pt idx="11">
                  <c:v>3307759810.1930499</c:v>
                </c:pt>
                <c:pt idx="12">
                  <c:v>3994408602.6647587</c:v>
                </c:pt>
                <c:pt idx="13">
                  <c:v>4416710598.8355417</c:v>
                </c:pt>
                <c:pt idx="14">
                  <c:v>925685239.32628536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E4EF-471C-8C54-1B167A52B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'FinFET_v98_HEI_HHI w PENN MODEL'!$F$27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0623915966760605E-2"/>
                  <c:y val="4.4902250981662204E-3"/>
                </c:manualLayout>
              </c:layout>
              <c:tx>
                <c:rich>
                  <a:bodyPr/>
                  <a:lstStyle/>
                  <a:p>
                    <a:fld id="{1D71AF53-5BE7-4E96-B4E0-EE02C05C74E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4EF-471C-8C54-1B167A52BDFC}"/>
                </c:ext>
              </c:extLst>
            </c:dLbl>
            <c:dLbl>
              <c:idx val="1"/>
              <c:layout>
                <c:manualLayout>
                  <c:x val="-5.7841499987694646E-2"/>
                  <c:y val="8.1679815791406256E-3"/>
                </c:manualLayout>
              </c:layout>
              <c:tx>
                <c:rich>
                  <a:bodyPr/>
                  <a:lstStyle/>
                  <a:p>
                    <a:fld id="{639EC1E4-BCFD-4BF6-A764-0285242C63E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4EF-471C-8C54-1B167A52BDFC}"/>
                </c:ext>
              </c:extLst>
            </c:dLbl>
            <c:dLbl>
              <c:idx val="2"/>
              <c:layout>
                <c:manualLayout>
                  <c:x val="-2.7562323655802502E-2"/>
                  <c:y val="8.1316310885116594E-2"/>
                </c:manualLayout>
              </c:layout>
              <c:tx>
                <c:rich>
                  <a:bodyPr/>
                  <a:lstStyle/>
                  <a:p>
                    <a:fld id="{5EC97B07-1598-4A3F-9B68-08EE6726C4B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4EF-471C-8C54-1B167A52BDFC}"/>
                </c:ext>
              </c:extLst>
            </c:dLbl>
            <c:dLbl>
              <c:idx val="3"/>
              <c:layout>
                <c:manualLayout>
                  <c:x val="4.7441638432711777E-3"/>
                  <c:y val="-0.14244280897654357"/>
                </c:manualLayout>
              </c:layout>
              <c:tx>
                <c:rich>
                  <a:bodyPr/>
                  <a:lstStyle/>
                  <a:p>
                    <a:fld id="{257C4464-12CC-4EAE-8E71-EC942D5AE4A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4EF-471C-8C54-1B167A52BDF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37B02B-23A1-4306-95FE-275A1A8B560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4EF-471C-8C54-1B167A52BD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MODEL'!$G$27:$K$27</c:f>
              <c:numCache>
                <c:formatCode>0.00E+00</c:formatCode>
                <c:ptCount val="5"/>
                <c:pt idx="0">
                  <c:v>564668800</c:v>
                </c:pt>
                <c:pt idx="1">
                  <c:v>43737150000</c:v>
                </c:pt>
                <c:pt idx="2">
                  <c:v>15650025872.154766</c:v>
                </c:pt>
                <c:pt idx="3">
                  <c:v>9493568212.3226204</c:v>
                </c:pt>
                <c:pt idx="4">
                  <c:v>925685239.32628536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E4EF-471C-8C54-1B167A52B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>
                    <a:solidFill>
                      <a:schemeClr val="tx1"/>
                    </a:solidFill>
                  </a:rPr>
                  <a:t>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600">
                    <a:solidFill>
                      <a:schemeClr val="tx1"/>
                    </a:solidFill>
                  </a:rPr>
                  <a:t>/I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OFF</a:t>
                </a:r>
                <a:endParaRPr lang="en-US" sz="1600" baseline="-25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6737209825870442E-2"/>
              <c:y val="0.40106587390784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3499999999999996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32658049479266"/>
          <c:y val="0.15511749407659162"/>
          <c:w val="0.22591204370595122"/>
          <c:h val="0.20796830452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6948454305553"/>
          <c:y val="0.1345369796342365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'FinFET_v98_HEI_HHI w PENN MODEL'!$E$28</c:f>
              <c:strCache>
                <c:ptCount val="1"/>
                <c:pt idx="0">
                  <c:v>Ig Leakage current w/ FGMs @Vg=0.75V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A771390-1B8D-4C16-B11B-482143626DC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8AE-4D53-AC13-37912F5D4F3C}"/>
                </c:ext>
              </c:extLst>
            </c:dLbl>
            <c:dLbl>
              <c:idx val="1"/>
              <c:layout>
                <c:manualLayout>
                  <c:x val="1.4838106551546134E-2"/>
                  <c:y val="-4.0193247581089706E-2"/>
                </c:manualLayout>
              </c:layout>
              <c:tx>
                <c:rich>
                  <a:bodyPr/>
                  <a:lstStyle/>
                  <a:p>
                    <a:fld id="{D7ABD39C-7761-4AEB-8A4E-611603FE7DB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8AE-4D53-AC13-37912F5D4F3C}"/>
                </c:ext>
              </c:extLst>
            </c:dLbl>
            <c:dLbl>
              <c:idx val="2"/>
              <c:layout>
                <c:manualLayout>
                  <c:x val="-2.3157412142716487E-2"/>
                  <c:y val="-5.1421992318831274E-2"/>
                </c:manualLayout>
              </c:layout>
              <c:tx>
                <c:rich>
                  <a:bodyPr/>
                  <a:lstStyle/>
                  <a:p>
                    <a:fld id="{8AA0F5B5-CC44-4181-9085-013A7D53DB0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8AE-4D53-AC13-37912F5D4F3C}"/>
                </c:ext>
              </c:extLst>
            </c:dLbl>
            <c:dLbl>
              <c:idx val="3"/>
              <c:layout>
                <c:manualLayout>
                  <c:x val="-3.0708193703703202E-2"/>
                  <c:y val="2.6170848722871713E-3"/>
                </c:manualLayout>
              </c:layout>
              <c:tx>
                <c:rich>
                  <a:bodyPr/>
                  <a:lstStyle/>
                  <a:p>
                    <a:fld id="{FB1744A6-FD8C-4F71-BFE5-EFAF3372633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8AE-4D53-AC13-37912F5D4F3C}"/>
                </c:ext>
              </c:extLst>
            </c:dLbl>
            <c:dLbl>
              <c:idx val="4"/>
              <c:layout>
                <c:manualLayout>
                  <c:x val="4.4135598610400961E-3"/>
                  <c:y val="-3.5701749685993101E-2"/>
                </c:manualLayout>
              </c:layout>
              <c:tx>
                <c:rich>
                  <a:bodyPr/>
                  <a:lstStyle/>
                  <a:p>
                    <a:fld id="{AA742D72-2B95-4C53-9F80-739908D3286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8AE-4D53-AC13-37912F5D4F3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E353130-7AFC-4E84-9948-EC5ED1598A0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8AE-4D53-AC13-37912F5D4F3C}"/>
                </c:ext>
              </c:extLst>
            </c:dLbl>
            <c:dLbl>
              <c:idx val="6"/>
              <c:layout>
                <c:manualLayout>
                  <c:x val="-1.1353634508347163E-2"/>
                  <c:y val="-4.8345304892846046E-2"/>
                </c:manualLayout>
              </c:layout>
              <c:tx>
                <c:rich>
                  <a:bodyPr/>
                  <a:lstStyle/>
                  <a:p>
                    <a:fld id="{1B3C69CA-45B8-4B87-A441-1DB6EA24BC8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8AE-4D53-AC13-37912F5D4F3C}"/>
                </c:ext>
              </c:extLst>
            </c:dLbl>
            <c:dLbl>
              <c:idx val="7"/>
              <c:layout>
                <c:manualLayout>
                  <c:x val="-2.2920375479839258E-2"/>
                  <c:y val="8.542752216637875E-2"/>
                </c:manualLayout>
              </c:layout>
              <c:tx>
                <c:rich>
                  <a:bodyPr/>
                  <a:lstStyle/>
                  <a:p>
                    <a:fld id="{FA0A4D3D-B01E-4322-8318-FF661757C33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8AE-4D53-AC13-37912F5D4F3C}"/>
                </c:ext>
              </c:extLst>
            </c:dLbl>
            <c:dLbl>
              <c:idx val="8"/>
              <c:layout>
                <c:manualLayout>
                  <c:x val="-1.6405379806417957E-3"/>
                  <c:y val="6.0865455058584872E-2"/>
                </c:manualLayout>
              </c:layout>
              <c:tx>
                <c:rich>
                  <a:bodyPr/>
                  <a:lstStyle/>
                  <a:p>
                    <a:fld id="{2462603D-893E-483A-ACE8-53A20E3DAEA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8AE-4D53-AC13-37912F5D4F3C}"/>
                </c:ext>
              </c:extLst>
            </c:dLbl>
            <c:dLbl>
              <c:idx val="9"/>
              <c:layout>
                <c:manualLayout>
                  <c:x val="-3.5616596692980972E-2"/>
                  <c:y val="-1.5395918373080773E-2"/>
                </c:manualLayout>
              </c:layout>
              <c:tx>
                <c:rich>
                  <a:bodyPr/>
                  <a:lstStyle/>
                  <a:p>
                    <a:fld id="{6892AE3D-3768-4E96-8DF9-6E072C52613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8AE-4D53-AC13-37912F5D4F3C}"/>
                </c:ext>
              </c:extLst>
            </c:dLbl>
            <c:dLbl>
              <c:idx val="10"/>
              <c:layout>
                <c:manualLayout>
                  <c:x val="-2.8757302353547533E-2"/>
                  <c:y val="-5.2306227025440015E-2"/>
                </c:manualLayout>
              </c:layout>
              <c:tx>
                <c:rich>
                  <a:bodyPr/>
                  <a:lstStyle/>
                  <a:p>
                    <a:fld id="{844F309B-386F-4DF3-9D3E-1040811C72A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8AE-4D53-AC13-37912F5D4F3C}"/>
                </c:ext>
              </c:extLst>
            </c:dLbl>
            <c:dLbl>
              <c:idx val="11"/>
              <c:layout>
                <c:manualLayout>
                  <c:x val="-3.2952526098947103E-2"/>
                  <c:y val="5.9197321948147863E-2"/>
                </c:manualLayout>
              </c:layout>
              <c:tx>
                <c:rich>
                  <a:bodyPr/>
                  <a:lstStyle/>
                  <a:p>
                    <a:fld id="{553E4AF2-D10A-4F26-824A-67EEA66E260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8AE-4D53-AC13-37912F5D4F3C}"/>
                </c:ext>
              </c:extLst>
            </c:dLbl>
            <c:dLbl>
              <c:idx val="12"/>
              <c:layout>
                <c:manualLayout>
                  <c:x val="-4.0218609182170774E-2"/>
                  <c:y val="8.5958173701808874E-2"/>
                </c:manualLayout>
              </c:layout>
              <c:tx>
                <c:rich>
                  <a:bodyPr/>
                  <a:lstStyle/>
                  <a:p>
                    <a:fld id="{668D4CAC-AC03-48E2-A396-3DF4891EB4B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8AE-4D53-AC13-37912F5D4F3C}"/>
                </c:ext>
              </c:extLst>
            </c:dLbl>
            <c:dLbl>
              <c:idx val="13"/>
              <c:layout>
                <c:manualLayout>
                  <c:x val="1.9186775824709677E-3"/>
                  <c:y val="8.5958173701808957E-2"/>
                </c:manualLayout>
              </c:layout>
              <c:tx>
                <c:rich>
                  <a:bodyPr/>
                  <a:lstStyle/>
                  <a:p>
                    <a:fld id="{8C9E3F53-D649-4E2E-A2C1-F2D0077204C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8AE-4D53-AC13-37912F5D4F3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581917E-6B8A-4A60-89C0-BBCFCC44E0B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8AE-4D53-AC13-37912F5D4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'FinFET_v98_HEI_HHI w PENN MODEL'!$L$28:$Z$28</c:f>
              <c:numCache>
                <c:formatCode>0.00E+00</c:formatCode>
                <c:ptCount val="15"/>
                <c:pt idx="0">
                  <c:v>1.0000000000000001E-9</c:v>
                </c:pt>
                <c:pt idx="1">
                  <c:v>5.4000000000000001E-11</c:v>
                </c:pt>
                <c:pt idx="2">
                  <c:v>1.6999999999999999E-11</c:v>
                </c:pt>
                <c:pt idx="3">
                  <c:v>4.9999999999999997E-12</c:v>
                </c:pt>
                <c:pt idx="4">
                  <c:v>6.0000000000000003E-12</c:v>
                </c:pt>
                <c:pt idx="5">
                  <c:v>1.1999999999999999E-12</c:v>
                </c:pt>
                <c:pt idx="6">
                  <c:v>2.4999999999999998E-12</c:v>
                </c:pt>
                <c:pt idx="7">
                  <c:v>9.9999999999999998E-13</c:v>
                </c:pt>
                <c:pt idx="8">
                  <c:v>1.7E-12</c:v>
                </c:pt>
                <c:pt idx="9">
                  <c:v>5.5000000000000004E-12</c:v>
                </c:pt>
                <c:pt idx="10">
                  <c:v>1.6999999999999999E-11</c:v>
                </c:pt>
                <c:pt idx="11">
                  <c:v>9E-13</c:v>
                </c:pt>
                <c:pt idx="12">
                  <c:v>4.9999999999999999E-13</c:v>
                </c:pt>
                <c:pt idx="13">
                  <c:v>1.4999999999999999E-13</c:v>
                </c:pt>
                <c:pt idx="14">
                  <c:v>9E-13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28AE-4D53-AC13-37912F5D4F3C}"/>
            </c:ext>
          </c:extLst>
        </c:ser>
        <c:ser>
          <c:idx val="0"/>
          <c:order val="0"/>
          <c:tx>
            <c:strRef>
              <c:f>'FinFET_v98_HEI_HHI w PENN MODEL'!$F$28</c:f>
              <c:strCache>
                <c:ptCount val="1"/>
                <c:pt idx="0">
                  <c:v>Ig Leakage current w/ single dielectric @Vg=0.75V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8432275814183686E-2"/>
                  <c:y val="-2.6941093405336528E-2"/>
                </c:manualLayout>
              </c:layout>
              <c:tx>
                <c:rich>
                  <a:bodyPr/>
                  <a:lstStyle/>
                  <a:p>
                    <a:fld id="{C22C9DAA-6BC7-46DB-9969-04A67931F15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8AE-4D53-AC13-37912F5D4F3C}"/>
                </c:ext>
              </c:extLst>
            </c:dLbl>
            <c:dLbl>
              <c:idx val="1"/>
              <c:layout>
                <c:manualLayout>
                  <c:x val="6.0350855091681746E-3"/>
                  <c:y val="-6.8938342224936555E-2"/>
                </c:manualLayout>
              </c:layout>
              <c:tx>
                <c:rich>
                  <a:bodyPr/>
                  <a:lstStyle/>
                  <a:p>
                    <a:fld id="{07F8704C-D7AD-49AA-A4D0-F1CA0FF9036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8AE-4D53-AC13-37912F5D4F3C}"/>
                </c:ext>
              </c:extLst>
            </c:dLbl>
            <c:dLbl>
              <c:idx val="2"/>
              <c:layout>
                <c:manualLayout>
                  <c:x val="4.0630913434571963E-3"/>
                  <c:y val="-0.13867002781091675"/>
                </c:manualLayout>
              </c:layout>
              <c:tx>
                <c:rich>
                  <a:bodyPr/>
                  <a:lstStyle/>
                  <a:p>
                    <a:fld id="{CC0AE5EB-3853-4909-84C2-C3CEB9398B1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8AE-4D53-AC13-37912F5D4F3C}"/>
                </c:ext>
              </c:extLst>
            </c:dLbl>
            <c:dLbl>
              <c:idx val="3"/>
              <c:layout>
                <c:manualLayout>
                  <c:x val="2.842165567734882E-2"/>
                  <c:y val="-0.11630908854013942"/>
                </c:manualLayout>
              </c:layout>
              <c:tx>
                <c:rich>
                  <a:bodyPr/>
                  <a:lstStyle/>
                  <a:p>
                    <a:fld id="{73678F14-8A56-4CAA-9E16-E4AB7AC56C9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8AE-4D53-AC13-37912F5D4F3C}"/>
                </c:ext>
              </c:extLst>
            </c:dLbl>
            <c:dLbl>
              <c:idx val="4"/>
              <c:layout>
                <c:manualLayout>
                  <c:x val="-5.4833674784497181E-2"/>
                  <c:y val="-6.2862551279118564E-2"/>
                </c:manualLayout>
              </c:layout>
              <c:tx>
                <c:rich>
                  <a:bodyPr/>
                  <a:lstStyle/>
                  <a:p>
                    <a:fld id="{73D2C483-BF9A-4726-A878-293DAD2B936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8AE-4D53-AC13-37912F5D4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'FinFET_v98_HEI_HHI w PENN MODEL'!$G$14:$K$14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'FinFET_v98_HEI_HHI w PENN MODEL'!$G$28:$K$28</c:f>
              <c:numCache>
                <c:formatCode>0.00E+00</c:formatCode>
                <c:ptCount val="5"/>
                <c:pt idx="0">
                  <c:v>1.0000000000000001E-9</c:v>
                </c:pt>
                <c:pt idx="1">
                  <c:v>3.9999999999999998E-11</c:v>
                </c:pt>
                <c:pt idx="2">
                  <c:v>7.9999999999999998E-12</c:v>
                </c:pt>
                <c:pt idx="3">
                  <c:v>4.9999999999999997E-12</c:v>
                </c:pt>
                <c:pt idx="4">
                  <c:v>9E-13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'FinFET_v98_HEI_HHI w PENN MODEL'!$G$29:$K$29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28AE-4D53-AC13-37912F5D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effectLst/>
                  </a:rPr>
                  <a:t>Effective </a:t>
                </a:r>
                <a:r>
                  <a:rPr lang="tr-TR" sz="1400" b="1" i="0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="1" baseline="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>
                    <a:solidFill>
                      <a:sysClr val="windowText" lastClr="000000"/>
                    </a:solidFill>
                  </a:defRPr>
                </a:pPr>
                <a:endParaRPr lang="en-US" sz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31396029934002"/>
              <c:y val="7.37121370400243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logBase val="10"/>
          <c:orientation val="minMax"/>
          <c:max val="1.0000000000000005E-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Ig leakagae current (A)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4455052593977764E-2"/>
              <c:y val="0.3846732444060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349999999999999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659350437751529"/>
          <c:y val="0.24897320157067235"/>
          <c:w val="0.32682160450316794"/>
          <c:h val="0.102973437564674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 kappa</a:t>
            </a:r>
            <a:r>
              <a:rPr lang="tr-TR"/>
              <a:t> for TiO2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3930555555555554"/>
          <c:w val="0.88707874015748034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Keff_V2!$W$14</c:f>
              <c:strCache>
                <c:ptCount val="1"/>
                <c:pt idx="0">
                  <c:v>Effective kappa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Keff_V2!$V$15:$V$113</c:f>
              <c:numCache>
                <c:formatCode>General</c:formatCode>
                <c:ptCount val="8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3.9</c:v>
                </c:pt>
                <c:pt idx="25">
                  <c:v>4</c:v>
                </c:pt>
                <c:pt idx="26">
                  <c:v>4.0999999999999996</c:v>
                </c:pt>
                <c:pt idx="27">
                  <c:v>4.2</c:v>
                </c:pt>
                <c:pt idx="28">
                  <c:v>4.3</c:v>
                </c:pt>
                <c:pt idx="29">
                  <c:v>4.4000000000000004</c:v>
                </c:pt>
                <c:pt idx="30">
                  <c:v>4.5</c:v>
                </c:pt>
                <c:pt idx="31">
                  <c:v>4.5999999999999996</c:v>
                </c:pt>
                <c:pt idx="32">
                  <c:v>4.7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4.9999999999999902</c:v>
                </c:pt>
                <c:pt idx="36">
                  <c:v>5.0999999999999899</c:v>
                </c:pt>
                <c:pt idx="37">
                  <c:v>5.2</c:v>
                </c:pt>
                <c:pt idx="38">
                  <c:v>5.2999999999999901</c:v>
                </c:pt>
                <c:pt idx="39">
                  <c:v>5.3999999999999897</c:v>
                </c:pt>
                <c:pt idx="40">
                  <c:v>5.4999999999999902</c:v>
                </c:pt>
                <c:pt idx="41">
                  <c:v>5.5999999999999899</c:v>
                </c:pt>
                <c:pt idx="42">
                  <c:v>5.6999999999999904</c:v>
                </c:pt>
                <c:pt idx="43">
                  <c:v>5.7999999999999901</c:v>
                </c:pt>
                <c:pt idx="44">
                  <c:v>5.8999999999999897</c:v>
                </c:pt>
                <c:pt idx="45">
                  <c:v>5.9999999999999902</c:v>
                </c:pt>
                <c:pt idx="46">
                  <c:v>6.0999999999999899</c:v>
                </c:pt>
                <c:pt idx="47">
                  <c:v>6.1999999999999904</c:v>
                </c:pt>
                <c:pt idx="48">
                  <c:v>6.2999999999999901</c:v>
                </c:pt>
                <c:pt idx="49">
                  <c:v>6.3999999999999897</c:v>
                </c:pt>
                <c:pt idx="50">
                  <c:v>6.4999999999999902</c:v>
                </c:pt>
                <c:pt idx="51">
                  <c:v>6.5999999999999899</c:v>
                </c:pt>
                <c:pt idx="52">
                  <c:v>6.6999999999999904</c:v>
                </c:pt>
                <c:pt idx="53">
                  <c:v>6.7999999999999901</c:v>
                </c:pt>
                <c:pt idx="54">
                  <c:v>6.8999999999999897</c:v>
                </c:pt>
                <c:pt idx="55">
                  <c:v>6.9999999999999902</c:v>
                </c:pt>
                <c:pt idx="56">
                  <c:v>7.0999999999999899</c:v>
                </c:pt>
                <c:pt idx="57">
                  <c:v>7.1999999999999904</c:v>
                </c:pt>
                <c:pt idx="58">
                  <c:v>7.2999999999999901</c:v>
                </c:pt>
                <c:pt idx="59">
                  <c:v>7.3999999999999897</c:v>
                </c:pt>
                <c:pt idx="60">
                  <c:v>7.4999999999999902</c:v>
                </c:pt>
                <c:pt idx="61">
                  <c:v>7.5999999999999899</c:v>
                </c:pt>
                <c:pt idx="62">
                  <c:v>7.6999999999999904</c:v>
                </c:pt>
                <c:pt idx="63">
                  <c:v>7.7999999999999901</c:v>
                </c:pt>
                <c:pt idx="64">
                  <c:v>7.8999999999999897</c:v>
                </c:pt>
                <c:pt idx="65">
                  <c:v>7.9999999999999902</c:v>
                </c:pt>
                <c:pt idx="66">
                  <c:v>8.0999999999999908</c:v>
                </c:pt>
                <c:pt idx="67">
                  <c:v>8.1999999999999904</c:v>
                </c:pt>
                <c:pt idx="68">
                  <c:v>8.2999999999999901</c:v>
                </c:pt>
                <c:pt idx="69">
                  <c:v>8.3999999999999897</c:v>
                </c:pt>
                <c:pt idx="70">
                  <c:v>8.4999999999999893</c:v>
                </c:pt>
                <c:pt idx="71">
                  <c:v>8.5999999999999908</c:v>
                </c:pt>
                <c:pt idx="72">
                  <c:v>8.6999999999999904</c:v>
                </c:pt>
                <c:pt idx="73">
                  <c:v>8.7999999999999901</c:v>
                </c:pt>
                <c:pt idx="74">
                  <c:v>8.8999999999999897</c:v>
                </c:pt>
                <c:pt idx="75">
                  <c:v>8.9999999999999893</c:v>
                </c:pt>
                <c:pt idx="76">
                  <c:v>9.0999999999999908</c:v>
                </c:pt>
                <c:pt idx="77">
                  <c:v>9.1999999999999904</c:v>
                </c:pt>
                <c:pt idx="78">
                  <c:v>9.2999999999999901</c:v>
                </c:pt>
                <c:pt idx="79">
                  <c:v>9.3999999999999897</c:v>
                </c:pt>
                <c:pt idx="80">
                  <c:v>9.4999999999999893</c:v>
                </c:pt>
                <c:pt idx="81">
                  <c:v>9.5999999999999908</c:v>
                </c:pt>
                <c:pt idx="82">
                  <c:v>9.6999999999999904</c:v>
                </c:pt>
                <c:pt idx="83">
                  <c:v>9.7999999999999901</c:v>
                </c:pt>
                <c:pt idx="84">
                  <c:v>9.8999999999999897</c:v>
                </c:pt>
                <c:pt idx="85">
                  <c:v>9.9999999999999893</c:v>
                </c:pt>
              </c:numCache>
            </c:numRef>
          </c:xVal>
          <c:yVal>
            <c:numRef>
              <c:f>Keff_V2!$W$15:$W$113</c:f>
              <c:numCache>
                <c:formatCode>General</c:formatCode>
                <c:ptCount val="86"/>
                <c:pt idx="0">
                  <c:v>1.8682580227167134</c:v>
                </c:pt>
                <c:pt idx="1">
                  <c:v>3.955683391351033</c:v>
                </c:pt>
                <c:pt idx="2">
                  <c:v>6.9318250487499125</c:v>
                </c:pt>
                <c:pt idx="3">
                  <c:v>18.858492653058445</c:v>
                </c:pt>
                <c:pt idx="4">
                  <c:v>23.219490151563345</c:v>
                </c:pt>
                <c:pt idx="5">
                  <c:v>27.551337242024935</c:v>
                </c:pt>
                <c:pt idx="6">
                  <c:v>31.769203214736155</c:v>
                </c:pt>
                <c:pt idx="7">
                  <c:v>35.81481481481481</c:v>
                </c:pt>
                <c:pt idx="8">
                  <c:v>69.135147030437849</c:v>
                </c:pt>
                <c:pt idx="9">
                  <c:v>70.546377652850765</c:v>
                </c:pt>
                <c:pt idx="10">
                  <c:v>71.852178936548498</c:v>
                </c:pt>
                <c:pt idx="11">
                  <c:v>73.061760903562941</c:v>
                </c:pt>
                <c:pt idx="12">
                  <c:v>74.183514522768988</c:v>
                </c:pt>
                <c:pt idx="13">
                  <c:v>75.225065471077386</c:v>
                </c:pt>
                <c:pt idx="14">
                  <c:v>76.193332098014551</c:v>
                </c:pt>
                <c:pt idx="15">
                  <c:v>77.094584183117007</c:v>
                </c:pt>
                <c:pt idx="16">
                  <c:v>77.934500290407826</c:v>
                </c:pt>
                <c:pt idx="17">
                  <c:v>78.718222372954514</c:v>
                </c:pt>
                <c:pt idx="18">
                  <c:v>79.450406865736866</c:v>
                </c:pt>
                <c:pt idx="19">
                  <c:v>80.135271902154059</c:v>
                </c:pt>
                <c:pt idx="20">
                  <c:v>80.776640553357794</c:v>
                </c:pt>
                <c:pt idx="21">
                  <c:v>81.377980159868727</c:v>
                </c:pt>
                <c:pt idx="22">
                  <c:v>81.942437930094925</c:v>
                </c:pt>
                <c:pt idx="23">
                  <c:v>82.472873040749803</c:v>
                </c:pt>
                <c:pt idx="24">
                  <c:v>82.971885504186986</c:v>
                </c:pt>
                <c:pt idx="25">
                  <c:v>83.44184207750456</c:v>
                </c:pt>
                <c:pt idx="26">
                  <c:v>83.884899485046176</c:v>
                </c:pt>
                <c:pt idx="27">
                  <c:v>84.303025214589354</c:v>
                </c:pt>
                <c:pt idx="28">
                  <c:v>84.698016131465295</c:v>
                </c:pt>
                <c:pt idx="29">
                  <c:v>85.071515136403903</c:v>
                </c:pt>
                <c:pt idx="30">
                  <c:v>85.425026073580469</c:v>
                </c:pt>
                <c:pt idx="31">
                  <c:v>85.759927076150746</c:v>
                </c:pt>
                <c:pt idx="32">
                  <c:v>86.077482518123261</c:v>
                </c:pt>
                <c:pt idx="33">
                  <c:v>86.378853724092679</c:v>
                </c:pt>
                <c:pt idx="34">
                  <c:v>86.665108572338596</c:v>
                </c:pt>
                <c:pt idx="35">
                  <c:v>86.937230112150445</c:v>
                </c:pt>
                <c:pt idx="36">
                  <c:v>87.19612430297029</c:v>
                </c:pt>
                <c:pt idx="37">
                  <c:v>87.442626970998518</c:v>
                </c:pt>
                <c:pt idx="38">
                  <c:v>87.6775100682069</c:v>
                </c:pt>
                <c:pt idx="39">
                  <c:v>87.901487309153467</c:v>
                </c:pt>
                <c:pt idx="40">
                  <c:v>88.115219252494882</c:v>
                </c:pt>
                <c:pt idx="41">
                  <c:v>88.319317886549172</c:v>
                </c:pt>
                <c:pt idx="42">
                  <c:v>88.51435077157042</c:v>
                </c:pt>
                <c:pt idx="43">
                  <c:v>88.700844785477585</c:v>
                </c:pt>
                <c:pt idx="44">
                  <c:v>88.879289514537717</c:v>
                </c:pt>
                <c:pt idx="45">
                  <c:v>89.050140325871851</c:v>
                </c:pt>
                <c:pt idx="46">
                  <c:v>89.213821154554566</c:v>
                </c:pt>
                <c:pt idx="47">
                  <c:v>89.370727034457076</c:v>
                </c:pt>
                <c:pt idx="48">
                  <c:v>89.521226398781224</c:v>
                </c:pt>
                <c:pt idx="49">
                  <c:v>89.665663173399423</c:v>
                </c:pt>
                <c:pt idx="50">
                  <c:v>89.804358683610175</c:v>
                </c:pt>
                <c:pt idx="51">
                  <c:v>89.937613392700044</c:v>
                </c:pt>
                <c:pt idx="52">
                  <c:v>90.065708488737911</c:v>
                </c:pt>
                <c:pt idx="53">
                  <c:v>90.188907334286625</c:v>
                </c:pt>
                <c:pt idx="54">
                  <c:v>90.307456792171223</c:v>
                </c:pt>
                <c:pt idx="55">
                  <c:v>90.421588439073176</c:v>
                </c:pt>
                <c:pt idx="56">
                  <c:v>90.531519677501009</c:v>
                </c:pt>
                <c:pt idx="57">
                  <c:v>90.637454755605745</c:v>
                </c:pt>
                <c:pt idx="58">
                  <c:v>90.739585703345114</c:v>
                </c:pt>
                <c:pt idx="59">
                  <c:v>90.838093192643356</c:v>
                </c:pt>
                <c:pt idx="60">
                  <c:v>90.93314732842785</c:v>
                </c:pt>
                <c:pt idx="61">
                  <c:v>91.024908376741578</c:v>
                </c:pt>
                <c:pt idx="62">
                  <c:v>91.113527435520908</c:v>
                </c:pt>
                <c:pt idx="63">
                  <c:v>91.199147053083792</c:v>
                </c:pt>
                <c:pt idx="64">
                  <c:v>91.281901798885485</c:v>
                </c:pt>
                <c:pt idx="65">
                  <c:v>91.361918790663296</c:v>
                </c:pt>
                <c:pt idx="66">
                  <c:v>91.439318181699804</c:v>
                </c:pt>
                <c:pt idx="67">
                  <c:v>91.514213611584097</c:v>
                </c:pt>
                <c:pt idx="68">
                  <c:v>91.586712623534382</c:v>
                </c:pt>
                <c:pt idx="69">
                  <c:v>91.65691705106309</c:v>
                </c:pt>
                <c:pt idx="70">
                  <c:v>91.724923376509992</c:v>
                </c:pt>
                <c:pt idx="71">
                  <c:v>91.79082306373985</c:v>
                </c:pt>
                <c:pt idx="72">
                  <c:v>91.854702867094531</c:v>
                </c:pt>
                <c:pt idx="73">
                  <c:v>91.916645118502259</c:v>
                </c:pt>
                <c:pt idx="74">
                  <c:v>91.976727994479205</c:v>
                </c:pt>
                <c:pt idx="75">
                  <c:v>92.035025764605834</c:v>
                </c:pt>
                <c:pt idx="76">
                  <c:v>92.09160902292281</c:v>
                </c:pt>
                <c:pt idx="77">
                  <c:v>92.146544903567104</c:v>
                </c:pt>
                <c:pt idx="78">
                  <c:v>92.199897281855726</c:v>
                </c:pt>
                <c:pt idx="79">
                  <c:v>92.251726961922174</c:v>
                </c:pt>
                <c:pt idx="80">
                  <c:v>92.302091851917922</c:v>
                </c:pt>
                <c:pt idx="81">
                  <c:v>92.351047127706977</c:v>
                </c:pt>
                <c:pt idx="82">
                  <c:v>92.398645385904715</c:v>
                </c:pt>
                <c:pt idx="83">
                  <c:v>92.444936787042408</c:v>
                </c:pt>
                <c:pt idx="84">
                  <c:v>92.489969189575618</c:v>
                </c:pt>
                <c:pt idx="85">
                  <c:v>92.533788275396489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9-4F50-B09A-EB650CC3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71888"/>
        <c:axId val="553172216"/>
      </c:scatterChart>
      <c:valAx>
        <c:axId val="5531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3172216"/>
        <c:crosses val="autoZero"/>
        <c:crossBetween val="midCat"/>
      </c:valAx>
      <c:valAx>
        <c:axId val="55317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31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31466320383879E-2"/>
          <c:y val="0.12189880980445833"/>
          <c:w val="0.83999446205925599"/>
          <c:h val="0.754494605700060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'Maxwell Garnet model '!$H$8</c:f>
              <c:strCache>
                <c:ptCount val="1"/>
                <c:pt idx="0">
                  <c:v>Maxwell-Garnet model</c:v>
                </c:pt>
              </c:strCache>
            </c:strRef>
          </c:tx>
          <c:spPr>
            <a:ln w="63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xVal>
            <c:numRef>
              <c:f>'Maxwell Garnet model '!$F$9:$F$22</c:f>
              <c:numCache>
                <c:formatCode>General</c:formatCode>
                <c:ptCount val="1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0.95</c:v>
                </c:pt>
                <c:pt idx="13">
                  <c:v>1</c:v>
                </c:pt>
              </c:numCache>
            </c:numRef>
          </c:xVal>
          <c:yVal>
            <c:numRef>
              <c:f>'Maxwell Garnet model '!$H$9:$H$22</c:f>
              <c:numCache>
                <c:formatCode>0.00</c:formatCode>
                <c:ptCount val="14"/>
                <c:pt idx="0">
                  <c:v>80</c:v>
                </c:pt>
                <c:pt idx="1">
                  <c:v>77.791829381823462</c:v>
                </c:pt>
                <c:pt idx="2">
                  <c:v>74.554724069049811</c:v>
                </c:pt>
                <c:pt idx="3">
                  <c:v>69.351058247332531</c:v>
                </c:pt>
                <c:pt idx="4">
                  <c:v>59.606967396159007</c:v>
                </c:pt>
                <c:pt idx="5">
                  <c:v>50.657098484442777</c:v>
                </c:pt>
                <c:pt idx="6">
                  <c:v>42.408150663785122</c:v>
                </c:pt>
                <c:pt idx="7">
                  <c:v>34.780886358009411</c:v>
                </c:pt>
                <c:pt idx="8">
                  <c:v>27.707577782019477</c:v>
                </c:pt>
                <c:pt idx="9">
                  <c:v>21.129990330156101</c:v>
                </c:pt>
                <c:pt idx="10">
                  <c:v>14.997775602811643</c:v>
                </c:pt>
                <c:pt idx="11">
                  <c:v>9.2671801712638295</c:v>
                </c:pt>
                <c:pt idx="12">
                  <c:v>6.540358602002593</c:v>
                </c:pt>
                <c:pt idx="13" formatCode="General">
                  <c:v>3.9000000000000057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C-45C8-8FC0-C99912E4978E}"/>
            </c:ext>
          </c:extLst>
        </c:ser>
        <c:ser>
          <c:idx val="1"/>
          <c:order val="1"/>
          <c:tx>
            <c:strRef>
              <c:f>'Maxwell Garnet model '!$I$8</c:f>
              <c:strCache>
                <c:ptCount val="1"/>
                <c:pt idx="0">
                  <c:v>Series connection model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Dot"/>
                <a:bevel/>
              </a:ln>
              <a:effectLst/>
            </c:spPr>
          </c:marker>
          <c:xVal>
            <c:numRef>
              <c:f>'Maxwell Garnet model '!$F$9:$F$22</c:f>
              <c:numCache>
                <c:formatCode>General</c:formatCode>
                <c:ptCount val="1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0.95</c:v>
                </c:pt>
                <c:pt idx="13">
                  <c:v>1</c:v>
                </c:pt>
              </c:numCache>
            </c:numRef>
          </c:xVal>
          <c:yVal>
            <c:numRef>
              <c:f>'Maxwell Garnet model '!$I$9:$I$22</c:f>
              <c:numCache>
                <c:formatCode>0.00</c:formatCode>
                <c:ptCount val="14"/>
                <c:pt idx="0">
                  <c:v>80</c:v>
                </c:pt>
                <c:pt idx="1">
                  <c:v>57.543341940243444</c:v>
                </c:pt>
                <c:pt idx="2">
                  <c:v>40.493186242699544</c:v>
                </c:pt>
                <c:pt idx="3">
                  <c:v>27.106863596872284</c:v>
                </c:pt>
                <c:pt idx="4">
                  <c:v>16.317991631799163</c:v>
                </c:pt>
                <c:pt idx="5">
                  <c:v>11.672278338945006</c:v>
                </c:pt>
                <c:pt idx="6">
                  <c:v>9.0856144437973203</c:v>
                </c:pt>
                <c:pt idx="7">
                  <c:v>7.4374255065554227</c:v>
                </c:pt>
                <c:pt idx="8">
                  <c:v>6.2953995157384988</c:v>
                </c:pt>
                <c:pt idx="9">
                  <c:v>5.4574077313276188</c:v>
                </c:pt>
                <c:pt idx="10">
                  <c:v>4.8163013275702378</c:v>
                </c:pt>
                <c:pt idx="11">
                  <c:v>4.3099875673435557</c:v>
                </c:pt>
                <c:pt idx="12">
                  <c:v>4.0947568738106179</c:v>
                </c:pt>
                <c:pt idx="13" formatCode="General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C-45C8-8FC0-C99912E4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30936"/>
        <c:axId val="516430280"/>
      </c:scatterChart>
      <c:valAx>
        <c:axId val="516430936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0" i="0" baseline="0">
                    <a:effectLst/>
                  </a:rPr>
                  <a:t>X</a:t>
                </a:r>
                <a:r>
                  <a:rPr lang="tr-TR" sz="1400" b="0" i="0" baseline="-25000">
                    <a:effectLst/>
                  </a:rPr>
                  <a:t>A</a:t>
                </a:r>
                <a:r>
                  <a:rPr lang="tr-TR" sz="1800" b="0" i="0" baseline="0">
                    <a:effectLst/>
                  </a:rPr>
                  <a:t>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6430280"/>
        <c:crosses val="autoZero"/>
        <c:crossBetween val="midCat"/>
        <c:majorUnit val="0.1"/>
      </c:valAx>
      <c:valAx>
        <c:axId val="516430280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tr-TR" sz="1000" b="0" i="0" u="none" strike="noStrike" baseline="0">
                    <a:effectLst/>
                  </a:rPr>
                  <a:t>Effective </a:t>
                </a:r>
                <a:r>
                  <a:rPr lang="tr-TR" sz="1000" b="0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r>
                  <a:rPr lang="tr-TR" sz="1000" b="0" i="0" u="none" strike="noStrike" baseline="0">
                    <a:effectLst/>
                  </a:rPr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4979778716367735"/>
              <c:y val="0.33024799825232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643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93009388927058"/>
          <c:y val="0.11769079276613058"/>
          <c:w val="0.32613298337707786"/>
          <c:h val="0.15682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13646532438479E-2"/>
          <c:y val="5.4869684499314127E-2"/>
          <c:w val="0.83999446205925599"/>
          <c:h val="0.754494605700060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'Maxwell Garnet model '!$M$8</c:f>
              <c:strCache>
                <c:ptCount val="1"/>
                <c:pt idx="0">
                  <c:v>Maxwell-Garnet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'Maxwell Garnet model '!$F$9:$F$22</c:f>
              <c:numCache>
                <c:formatCode>General</c:formatCode>
                <c:ptCount val="1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0.95</c:v>
                </c:pt>
                <c:pt idx="13">
                  <c:v>1</c:v>
                </c:pt>
              </c:numCache>
            </c:numRef>
          </c:xVal>
          <c:yVal>
            <c:numRef>
              <c:f>'Maxwell Garnet model '!$M$9:$M$22</c:f>
              <c:numCache>
                <c:formatCode>0.00</c:formatCode>
                <c:ptCount val="14"/>
                <c:pt idx="0">
                  <c:v>80</c:v>
                </c:pt>
                <c:pt idx="1">
                  <c:v>78.480017471063562</c:v>
                </c:pt>
                <c:pt idx="2">
                  <c:v>76.235803136830711</c:v>
                </c:pt>
                <c:pt idx="3">
                  <c:v>72.587859424920126</c:v>
                </c:pt>
                <c:pt idx="4">
                  <c:v>65.619834710743802</c:v>
                </c:pt>
                <c:pt idx="5">
                  <c:v>59.057171514543626</c:v>
                </c:pt>
                <c:pt idx="6">
                  <c:v>52.865497076023395</c:v>
                </c:pt>
                <c:pt idx="7">
                  <c:v>47.014218009478675</c:v>
                </c:pt>
                <c:pt idx="8">
                  <c:v>41.476014760147599</c:v>
                </c:pt>
                <c:pt idx="9">
                  <c:v>36.226415094339629</c:v>
                </c:pt>
                <c:pt idx="10">
                  <c:v>31.24343257443082</c:v>
                </c:pt>
                <c:pt idx="11">
                  <c:v>26.507258753202393</c:v>
                </c:pt>
                <c:pt idx="12">
                  <c:v>24.226064951497264</c:v>
                </c:pt>
                <c:pt idx="13" formatCode="General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B-43F9-9E03-4352CED4FD62}"/>
            </c:ext>
          </c:extLst>
        </c:ser>
        <c:ser>
          <c:idx val="1"/>
          <c:order val="1"/>
          <c:tx>
            <c:strRef>
              <c:f>'Maxwell Garnet model '!$N$8</c:f>
              <c:strCache>
                <c:ptCount val="1"/>
                <c:pt idx="0">
                  <c:v>Series connection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  <a:bevel/>
              </a:ln>
              <a:effectLst/>
            </c:spPr>
          </c:marker>
          <c:xVal>
            <c:numRef>
              <c:f>'Maxwell Garnet model '!$K$9:$K$22</c:f>
              <c:numCache>
                <c:formatCode>General</c:formatCode>
                <c:ptCount val="1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0.95</c:v>
                </c:pt>
                <c:pt idx="13">
                  <c:v>1</c:v>
                </c:pt>
              </c:numCache>
            </c:numRef>
          </c:xVal>
          <c:yVal>
            <c:numRef>
              <c:f>'Maxwell Garnet model '!$N$9:$N$22</c:f>
              <c:numCache>
                <c:formatCode>0.00</c:formatCode>
                <c:ptCount val="14"/>
                <c:pt idx="0">
                  <c:v>80</c:v>
                </c:pt>
                <c:pt idx="1">
                  <c:v>75.993091537132983</c:v>
                </c:pt>
                <c:pt idx="2">
                  <c:v>70.682730923694777</c:v>
                </c:pt>
                <c:pt idx="3">
                  <c:v>63.309352517985609</c:v>
                </c:pt>
                <c:pt idx="4">
                  <c:v>52.38095238095238</c:v>
                </c:pt>
                <c:pt idx="5">
                  <c:v>44.670050761421322</c:v>
                </c:pt>
                <c:pt idx="6">
                  <c:v>38.938053097345133</c:v>
                </c:pt>
                <c:pt idx="7">
                  <c:v>34.509803921568626</c:v>
                </c:pt>
                <c:pt idx="8">
                  <c:v>30.985915492957748</c:v>
                </c:pt>
                <c:pt idx="9">
                  <c:v>28.115015974440894</c:v>
                </c:pt>
                <c:pt idx="10">
                  <c:v>25.730994152046783</c:v>
                </c:pt>
                <c:pt idx="11">
                  <c:v>23.719676549865227</c:v>
                </c:pt>
                <c:pt idx="12">
                  <c:v>22.827496757457848</c:v>
                </c:pt>
                <c:pt idx="13" formatCode="General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B-43F9-9E03-4352CED4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30936"/>
        <c:axId val="516430280"/>
      </c:scatterChart>
      <c:valAx>
        <c:axId val="516430936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0" i="0" baseline="0">
                    <a:effectLst/>
                  </a:rPr>
                  <a:t>X</a:t>
                </a:r>
                <a:r>
                  <a:rPr lang="tr-TR" sz="1400" b="0" i="0" baseline="-25000">
                    <a:effectLst/>
                  </a:rPr>
                  <a:t>A</a:t>
                </a:r>
                <a:r>
                  <a:rPr lang="tr-TR" sz="1800" b="0" i="0" baseline="0">
                    <a:effectLst/>
                  </a:rPr>
                  <a:t>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6430280"/>
        <c:crosses val="autoZero"/>
        <c:crossBetween val="midCat"/>
        <c:majorUnit val="0.1"/>
      </c:valAx>
      <c:valAx>
        <c:axId val="516430280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tr-TR" sz="1000" b="0" i="0" u="none" strike="noStrike" baseline="0">
                    <a:effectLst/>
                  </a:rPr>
                  <a:t>Effective </a:t>
                </a:r>
                <a:r>
                  <a:rPr lang="tr-TR" sz="1000" b="0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r>
                  <a:rPr lang="tr-TR" sz="1000" b="0" i="0" u="none" strike="noStrike" baseline="0">
                    <a:effectLst/>
                  </a:rPr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4979778716367735"/>
              <c:y val="0.33024799825232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643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93009388927058"/>
          <c:y val="0.11769079276613058"/>
          <c:w val="0.32613298337707786"/>
          <c:h val="0.15682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FinFET_v9_Makale_Try_La2O3.in!$M$2</c:f>
              <c:strCache>
                <c:ptCount val="1"/>
                <c:pt idx="0">
                  <c:v>Max Id (A)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FinFET_v9_Makale_Try_La2O3.in!$D$3:$D$8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FinFET_v9_Makale_Try_La2O3.in!$M$3:$M$8</c:f>
              <c:numCache>
                <c:formatCode>0.00E+00</c:formatCode>
                <c:ptCount val="6"/>
                <c:pt idx="0">
                  <c:v>1.0900000000000001E-5</c:v>
                </c:pt>
                <c:pt idx="1">
                  <c:v>9.4469999999999995E-6</c:v>
                </c:pt>
                <c:pt idx="2">
                  <c:v>8.1651999999999993E-6</c:v>
                </c:pt>
                <c:pt idx="3">
                  <c:v>8.9099999999999994E-6</c:v>
                </c:pt>
                <c:pt idx="4">
                  <c:v>1.005E-5</c:v>
                </c:pt>
                <c:pt idx="5">
                  <c:v>8.1200000000000002E-6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F-4805-B259-1C5966AF7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1050521356392"/>
          <c:y val="7.8703703703703706E-2"/>
          <c:w val="0.8483143667882671"/>
          <c:h val="0.75834135316418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No.1!$G$13</c:f>
              <c:strCache>
                <c:ptCount val="1"/>
                <c:pt idx="0">
                  <c:v>DIBL w/ FGM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No.1!$F$14:$F$28</c:f>
              <c:numCache>
                <c:formatCode>General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No.1!$G$14:$G$28</c:f>
              <c:numCache>
                <c:formatCode>General</c:formatCode>
                <c:ptCount val="15"/>
                <c:pt idx="0">
                  <c:v>19.3</c:v>
                </c:pt>
                <c:pt idx="1">
                  <c:v>15.22</c:v>
                </c:pt>
                <c:pt idx="2">
                  <c:v>12.52</c:v>
                </c:pt>
                <c:pt idx="3">
                  <c:v>9.3000000000000007</c:v>
                </c:pt>
                <c:pt idx="4">
                  <c:v>9.48</c:v>
                </c:pt>
                <c:pt idx="5">
                  <c:v>8.6999999999999993</c:v>
                </c:pt>
                <c:pt idx="6">
                  <c:v>8.43</c:v>
                </c:pt>
                <c:pt idx="7">
                  <c:v>9.83</c:v>
                </c:pt>
                <c:pt idx="8">
                  <c:v>8.8699999999999992</c:v>
                </c:pt>
                <c:pt idx="9">
                  <c:v>9.74</c:v>
                </c:pt>
                <c:pt idx="10">
                  <c:v>12.7</c:v>
                </c:pt>
                <c:pt idx="11">
                  <c:v>6.17</c:v>
                </c:pt>
                <c:pt idx="12">
                  <c:v>6.43</c:v>
                </c:pt>
                <c:pt idx="13">
                  <c:v>5.48</c:v>
                </c:pt>
                <c:pt idx="14">
                  <c:v>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C-4499-B0AB-3F11EBBF9284}"/>
            </c:ext>
          </c:extLst>
        </c:ser>
        <c:ser>
          <c:idx val="1"/>
          <c:order val="1"/>
          <c:tx>
            <c:strRef>
              <c:f>No.1!$D$13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No.1!$C$14:$C$18</c:f>
              <c:numCache>
                <c:formatCode>General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No.1!$D$14:$D$18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C-4499-B0AB-3F11EBBF9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3071"/>
        <c:axId val="185607503"/>
      </c:scatterChart>
      <c:valAx>
        <c:axId val="1206313071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>
                    <a:solidFill>
                      <a:schemeClr val="tx1"/>
                    </a:solidFill>
                  </a:rPr>
                  <a:t>Effective </a:t>
                </a:r>
                <a:r>
                  <a:rPr lang="tr-TR" sz="900" b="1">
                    <a:solidFill>
                      <a:schemeClr val="tx1"/>
                    </a:solidFill>
                    <a:sym typeface="Symbol" panose="05050102010706020507" pitchFamily="18" charset="2"/>
                  </a:rPr>
                  <a:t></a:t>
                </a:r>
                <a:endParaRPr lang="tr-TR" sz="9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653519497885772"/>
              <c:y val="0.91666666666666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607503"/>
        <c:crosses val="autoZero"/>
        <c:crossBetween val="midCat"/>
      </c:valAx>
      <c:valAx>
        <c:axId val="185607503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800" b="1">
                    <a:solidFill>
                      <a:schemeClr val="tx1"/>
                    </a:solidFill>
                  </a:rPr>
                  <a:t>Drain</a:t>
                </a:r>
                <a:r>
                  <a:rPr lang="tr-TR" sz="800" b="1" baseline="0">
                    <a:solidFill>
                      <a:schemeClr val="tx1"/>
                    </a:solidFill>
                  </a:rPr>
                  <a:t> Induced Barrier Lowering (mV/V)</a:t>
                </a:r>
                <a:endParaRPr lang="tr-TR" sz="8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7246990742515322E-2"/>
              <c:y val="0.13708333333333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6313071"/>
        <c:crosses val="autoZero"/>
        <c:crossBetween val="midCat"/>
        <c:majorUnit val="4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573090172132351"/>
          <c:y val="0.11168926800816567"/>
          <c:w val="0.326874089528491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92135161426499"/>
          <c:y val="0.15853032032233944"/>
          <c:w val="0.7453452441914481"/>
          <c:h val="0.71163214470802616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No.2!$G$13</c:f>
              <c:strCache>
                <c:ptCount val="1"/>
                <c:pt idx="0">
                  <c:v>IOFF w/ FGM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No.2!$F$14:$F$28</c:f>
              <c:numCache>
                <c:formatCode>General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No.2!$G$14:$G$28</c:f>
              <c:numCache>
                <c:formatCode>General</c:formatCode>
                <c:ptCount val="15"/>
                <c:pt idx="0">
                  <c:v>3.5499100140000001E-14</c:v>
                </c:pt>
                <c:pt idx="1">
                  <c:v>3.2803418760000001E-16</c:v>
                </c:pt>
                <c:pt idx="2">
                  <c:v>3.716788569E-17</c:v>
                </c:pt>
                <c:pt idx="3">
                  <c:v>2.2342132890000001E-17</c:v>
                </c:pt>
                <c:pt idx="4">
                  <c:v>1.9312871429999999E-16</c:v>
                </c:pt>
                <c:pt idx="5">
                  <c:v>1.0119630439999999E-15</c:v>
                </c:pt>
                <c:pt idx="6">
                  <c:v>1.3535978149999999E-16</c:v>
                </c:pt>
                <c:pt idx="7">
                  <c:v>7.4776230850000004E-16</c:v>
                </c:pt>
                <c:pt idx="8">
                  <c:v>1.2531103650000001E-15</c:v>
                </c:pt>
                <c:pt idx="9">
                  <c:v>2.2839110080000001E-16</c:v>
                </c:pt>
                <c:pt idx="10">
                  <c:v>4.7144181870000002E-17</c:v>
                </c:pt>
                <c:pt idx="11" formatCode="0.00E+00">
                  <c:v>4.2920780240000002E-15</c:v>
                </c:pt>
                <c:pt idx="12">
                  <c:v>3.9813840200000001E-15</c:v>
                </c:pt>
                <c:pt idx="13">
                  <c:v>3.3363251519999998E-15</c:v>
                </c:pt>
                <c:pt idx="14">
                  <c:v>1.483032294E-14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6-46DC-9282-91191FDF3A39}"/>
            </c:ext>
          </c:extLst>
        </c:ser>
        <c:ser>
          <c:idx val="1"/>
          <c:order val="1"/>
          <c:tx>
            <c:strRef>
              <c:f>No.2!$D$13</c:f>
              <c:strCache>
                <c:ptCount val="1"/>
                <c:pt idx="0">
                  <c:v>IOFF w/ single dielectric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No.2!$C$14:$C$18</c:f>
              <c:numCache>
                <c:formatCode>General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No.2!$D$14:$D$18</c:f>
              <c:numCache>
                <c:formatCode>General</c:formatCode>
                <c:ptCount val="5"/>
                <c:pt idx="0">
                  <c:v>3.5499100140000001E-14</c:v>
                </c:pt>
                <c:pt idx="1">
                  <c:v>4.2756333009999998E-16</c:v>
                </c:pt>
                <c:pt idx="2">
                  <c:v>7.4843940040000001E-16</c:v>
                </c:pt>
                <c:pt idx="3">
                  <c:v>1.4999248239999999E-15</c:v>
                </c:pt>
                <c:pt idx="4">
                  <c:v>1.483032294E-14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6-46DC-9282-91191FDF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3071"/>
        <c:axId val="185607503"/>
      </c:scatterChart>
      <c:valAx>
        <c:axId val="1206313071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>
                    <a:solidFill>
                      <a:schemeClr val="tx1"/>
                    </a:solidFill>
                  </a:rPr>
                  <a:t>Effective </a:t>
                </a:r>
                <a:r>
                  <a:rPr lang="tr-TR" sz="900" b="1">
                    <a:solidFill>
                      <a:schemeClr val="tx1"/>
                    </a:solidFill>
                    <a:sym typeface="Symbol" panose="05050102010706020507" pitchFamily="18" charset="2"/>
                  </a:rPr>
                  <a:t></a:t>
                </a:r>
                <a:endParaRPr lang="tr-TR" sz="9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811959693849451"/>
              <c:y val="2.39670535240521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607503"/>
        <c:crosses val="autoZero"/>
        <c:crossBetween val="midCat"/>
        <c:minorUnit val="1"/>
      </c:valAx>
      <c:valAx>
        <c:axId val="185607503"/>
        <c:scaling>
          <c:logBase val="10"/>
          <c:orientation val="minMax"/>
          <c:max val="1.0000000000000007E-13"/>
          <c:min val="1.0000000000000011E-1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 i="0" u="none" strike="noStrike" kern="1200" baseline="0">
                    <a:solidFill>
                      <a:schemeClr val="tx1"/>
                    </a:solidFill>
                  </a:rPr>
                  <a:t>I</a:t>
                </a:r>
                <a:r>
                  <a:rPr lang="tr-TR" sz="900" b="1" i="0" u="none" strike="noStrike" kern="1200" baseline="-25000">
                    <a:solidFill>
                      <a:schemeClr val="tx1"/>
                    </a:solidFill>
                  </a:rPr>
                  <a:t>OFF</a:t>
                </a:r>
                <a:r>
                  <a:rPr lang="tr-TR" sz="900" b="1" i="0" u="none" strike="noStrike" kern="1200" baseline="0">
                    <a:solidFill>
                      <a:schemeClr val="tx1"/>
                    </a:solidFill>
                  </a:rPr>
                  <a:t> (A)</a:t>
                </a:r>
                <a:endParaRPr lang="en-US" sz="9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2206905269643518E-2"/>
              <c:y val="0.45395302699677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6313071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103671807903627"/>
          <c:y val="0.69944112191261398"/>
          <c:w val="0.326874089528491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1050521356392"/>
          <c:y val="7.8703703703703706E-2"/>
          <c:w val="0.8483143667882671"/>
          <c:h val="0.75834135316418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No.3!$G$13</c:f>
              <c:strCache>
                <c:ptCount val="1"/>
                <c:pt idx="0">
                  <c:v>SS w/ FGM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No.3!$F$14:$F$28</c:f>
              <c:numCache>
                <c:formatCode>General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No.3!$G$14:$G$28</c:f>
              <c:numCache>
                <c:formatCode>General</c:formatCode>
                <c:ptCount val="15"/>
                <c:pt idx="0">
                  <c:v>89.6</c:v>
                </c:pt>
                <c:pt idx="1">
                  <c:v>82.6</c:v>
                </c:pt>
                <c:pt idx="2">
                  <c:v>78.900000000000006</c:v>
                </c:pt>
                <c:pt idx="3">
                  <c:v>81.099999999999994</c:v>
                </c:pt>
                <c:pt idx="4">
                  <c:v>76.8</c:v>
                </c:pt>
                <c:pt idx="5">
                  <c:v>80.3</c:v>
                </c:pt>
                <c:pt idx="6">
                  <c:v>81.7</c:v>
                </c:pt>
                <c:pt idx="7">
                  <c:v>82</c:v>
                </c:pt>
                <c:pt idx="8">
                  <c:v>79</c:v>
                </c:pt>
                <c:pt idx="9">
                  <c:v>76.2</c:v>
                </c:pt>
                <c:pt idx="10">
                  <c:v>77.099999999999994</c:v>
                </c:pt>
                <c:pt idx="11">
                  <c:v>79.8</c:v>
                </c:pt>
                <c:pt idx="12">
                  <c:v>78.3</c:v>
                </c:pt>
                <c:pt idx="13">
                  <c:v>77</c:v>
                </c:pt>
                <c:pt idx="14">
                  <c:v>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9-47DF-8BC9-550E85B1FD23}"/>
            </c:ext>
          </c:extLst>
        </c:ser>
        <c:ser>
          <c:idx val="1"/>
          <c:order val="1"/>
          <c:tx>
            <c:strRef>
              <c:f>No.3!$D$13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No.3!$C$14:$C$18</c:f>
              <c:numCache>
                <c:formatCode>General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No.3!$D$14:$D$18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9-47DF-8BC9-550E85B1F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3071"/>
        <c:axId val="185607503"/>
      </c:scatterChart>
      <c:valAx>
        <c:axId val="1206313071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800" b="1">
                    <a:solidFill>
                      <a:schemeClr val="tx1"/>
                    </a:solidFill>
                  </a:rPr>
                  <a:t>Effective </a:t>
                </a:r>
                <a:r>
                  <a:rPr lang="tr-TR" sz="800" b="1">
                    <a:solidFill>
                      <a:schemeClr val="tx1"/>
                    </a:solidFill>
                    <a:sym typeface="Symbol" panose="05050102010706020507" pitchFamily="18" charset="2"/>
                  </a:rPr>
                  <a:t></a:t>
                </a:r>
                <a:endParaRPr lang="tr-TR" sz="8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9478884296455572"/>
              <c:y val="0.91666666666666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607503"/>
        <c:crosses val="autoZero"/>
        <c:crossBetween val="midCat"/>
      </c:valAx>
      <c:valAx>
        <c:axId val="185607503"/>
        <c:scaling>
          <c:orientation val="minMax"/>
          <c:max val="9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800" b="1" i="0" baseline="0">
                    <a:effectLst/>
                  </a:rPr>
                  <a:t>SS (mV/decade)</a:t>
                </a:r>
                <a:endParaRPr lang="tr-TR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2.9990637959905305E-2"/>
              <c:y val="0.3268981481481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6313071"/>
        <c:crosses val="autoZero"/>
        <c:crossBetween val="midCat"/>
        <c:majorUnit val="5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573090172132351"/>
          <c:y val="0.11168926800816567"/>
          <c:w val="0.326874089528491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44417117894437"/>
          <c:y val="0.1106039645554899"/>
          <c:w val="0.81009623550352938"/>
          <c:h val="0.73042856308568938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No.4!$G$13</c:f>
              <c:strCache>
                <c:ptCount val="1"/>
                <c:pt idx="0">
                  <c:v>ION w/ FGM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No.4!$F$14:$F$28</c:f>
              <c:numCache>
                <c:formatCode>General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No.4!$G$14:$G$28</c:f>
              <c:numCache>
                <c:formatCode>General</c:formatCode>
                <c:ptCount val="15"/>
                <c:pt idx="0">
                  <c:v>2.0045235509999999E-5</c:v>
                </c:pt>
                <c:pt idx="1">
                  <c:v>1.9071899419999999E-5</c:v>
                </c:pt>
                <c:pt idx="2">
                  <c:v>1.085889421E-5</c:v>
                </c:pt>
                <c:pt idx="3">
                  <c:v>1.632321543E-5</c:v>
                </c:pt>
                <c:pt idx="4">
                  <c:v>1.786813879E-5</c:v>
                </c:pt>
                <c:pt idx="5">
                  <c:v>1.5619603890000002E-5</c:v>
                </c:pt>
                <c:pt idx="6">
                  <c:v>1.8835130689999999E-5</c:v>
                </c:pt>
                <c:pt idx="7">
                  <c:v>1.425507866E-5</c:v>
                </c:pt>
                <c:pt idx="8">
                  <c:v>1.231310583E-5</c:v>
                </c:pt>
                <c:pt idx="9">
                  <c:v>1.7931580230000001E-5</c:v>
                </c:pt>
                <c:pt idx="10">
                  <c:v>1.9268158390000001E-5</c:v>
                </c:pt>
                <c:pt idx="11">
                  <c:v>1.4197163190000001E-5</c:v>
                </c:pt>
                <c:pt idx="12">
                  <c:v>1.590327458E-5</c:v>
                </c:pt>
                <c:pt idx="13">
                  <c:v>1.4735582659999999E-5</c:v>
                </c:pt>
                <c:pt idx="14">
                  <c:v>1.372821104E-5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D-43EC-95AD-D55B860A6D0A}"/>
            </c:ext>
          </c:extLst>
        </c:ser>
        <c:ser>
          <c:idx val="1"/>
          <c:order val="1"/>
          <c:tx>
            <c:strRef>
              <c:f>No.4!$D$13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No.4!$C$14:$C$18</c:f>
              <c:numCache>
                <c:formatCode>General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No.4!$D$14:$D$18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D-43EC-95AD-D55B860A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3071"/>
        <c:axId val="185607503"/>
      </c:scatterChart>
      <c:valAx>
        <c:axId val="1206313071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>
                    <a:solidFill>
                      <a:schemeClr val="tx1"/>
                    </a:solidFill>
                  </a:rPr>
                  <a:t>Effective </a:t>
                </a:r>
                <a:r>
                  <a:rPr lang="tr-TR" sz="900" b="1">
                    <a:solidFill>
                      <a:schemeClr val="tx1"/>
                    </a:solidFill>
                    <a:sym typeface="Symbol" panose="05050102010706020507" pitchFamily="18" charset="2"/>
                  </a:rPr>
                  <a:t></a:t>
                </a:r>
                <a:endParaRPr lang="tr-TR" sz="9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9601249397041941"/>
              <c:y val="0.92592597244139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607503"/>
        <c:crosses val="autoZero"/>
        <c:crossBetween val="midCat"/>
      </c:valAx>
      <c:valAx>
        <c:axId val="185607503"/>
        <c:scaling>
          <c:orientation val="minMax"/>
          <c:max val="2.200000000000001E-5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 i="0" u="none" strike="noStrike" kern="1200" baseline="0">
                    <a:solidFill>
                      <a:schemeClr val="tx1"/>
                    </a:solidFill>
                  </a:rPr>
                  <a:t>I</a:t>
                </a:r>
                <a:r>
                  <a:rPr lang="tr-TR" sz="900" b="1" i="0" u="none" strike="noStrike" kern="12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900" b="1" i="0" u="none" strike="noStrike" kern="1200" baseline="0">
                    <a:solidFill>
                      <a:schemeClr val="tx1"/>
                    </a:solidFill>
                  </a:rPr>
                  <a:t> (A)</a:t>
                </a:r>
                <a:endParaRPr lang="en-US" sz="9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68475654082111E-2"/>
              <c:y val="0.41692229825408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6313071"/>
        <c:crosses val="autoZero"/>
        <c:crossBetween val="midCat"/>
        <c:majorUnit val="2.0000000000000008E-6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573090172132351"/>
          <c:y val="0.11168926800816567"/>
          <c:w val="0.326874089528491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71546170560023"/>
          <c:y val="7.9769593932252178E-2"/>
          <c:w val="0.84977857706197679"/>
          <c:h val="0.80208853071078157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No.5!$G$13</c:f>
              <c:strCache>
                <c:ptCount val="1"/>
                <c:pt idx="0">
                  <c:v>ION/IOFF w/ FGM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No.5!$F$14:$F$28</c:f>
              <c:numCache>
                <c:formatCode>General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No.5!$G$14:$G$28</c:f>
              <c:numCache>
                <c:formatCode>General</c:formatCode>
                <c:ptCount val="15"/>
                <c:pt idx="0">
                  <c:v>564668834.72951043</c:v>
                </c:pt>
                <c:pt idx="1">
                  <c:v>58139974859.132637</c:v>
                </c:pt>
                <c:pt idx="2">
                  <c:v>292157974778.79083</c:v>
                </c:pt>
                <c:pt idx="3">
                  <c:v>730602378491.17896</c:v>
                </c:pt>
                <c:pt idx="4">
                  <c:v>92519327614.039841</c:v>
                </c:pt>
                <c:pt idx="5">
                  <c:v>15434954846.038828</c:v>
                </c:pt>
                <c:pt idx="6">
                  <c:v>139148648743.94025</c:v>
                </c:pt>
                <c:pt idx="7">
                  <c:v>19063649635.66494</c:v>
                </c:pt>
                <c:pt idx="8">
                  <c:v>9826034620.661684</c:v>
                </c:pt>
                <c:pt idx="9">
                  <c:v>78512604769.581284</c:v>
                </c:pt>
                <c:pt idx="10">
                  <c:v>408707026524.11945</c:v>
                </c:pt>
                <c:pt idx="11">
                  <c:v>3307759810.1930499</c:v>
                </c:pt>
                <c:pt idx="12">
                  <c:v>3994408602.6647587</c:v>
                </c:pt>
                <c:pt idx="13">
                  <c:v>4416710598.8355417</c:v>
                </c:pt>
                <c:pt idx="14">
                  <c:v>925685239.32628536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A-4C32-8DE3-B57853C308B7}"/>
            </c:ext>
          </c:extLst>
        </c:ser>
        <c:ser>
          <c:idx val="1"/>
          <c:order val="1"/>
          <c:tx>
            <c:strRef>
              <c:f>No.5!$D$13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No.5!$C$14:$C$18</c:f>
              <c:numCache>
                <c:formatCode>General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No.5!$D$14:$D$18</c:f>
              <c:numCache>
                <c:formatCode>0.00E+00</c:formatCode>
                <c:ptCount val="5"/>
                <c:pt idx="0">
                  <c:v>564668800</c:v>
                </c:pt>
                <c:pt idx="1">
                  <c:v>43737150000</c:v>
                </c:pt>
                <c:pt idx="2">
                  <c:v>15650025872.154766</c:v>
                </c:pt>
                <c:pt idx="3">
                  <c:v>9493568212.3226204</c:v>
                </c:pt>
                <c:pt idx="4">
                  <c:v>925685239.32628536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A-4C32-8DE3-B57853C3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3071"/>
        <c:axId val="185607503"/>
      </c:scatterChart>
      <c:valAx>
        <c:axId val="1206313071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>
                    <a:solidFill>
                      <a:schemeClr val="tx1"/>
                    </a:solidFill>
                  </a:rPr>
                  <a:t>Effective </a:t>
                </a:r>
                <a:r>
                  <a:rPr lang="tr-TR" sz="900" b="1">
                    <a:solidFill>
                      <a:schemeClr val="tx1"/>
                    </a:solidFill>
                    <a:sym typeface="Symbol" panose="05050102010706020507" pitchFamily="18" charset="2"/>
                  </a:rPr>
                  <a:t></a:t>
                </a:r>
                <a:endParaRPr lang="tr-TR" sz="9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892988728473565"/>
              <c:y val="0.94369552460503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607503"/>
        <c:crosses val="autoZero"/>
        <c:crossBetween val="midCat"/>
        <c:minorUnit val="1"/>
      </c:valAx>
      <c:valAx>
        <c:axId val="185607503"/>
        <c:scaling>
          <c:logBase val="10"/>
          <c:orientation val="minMax"/>
          <c:max val="1000000000000"/>
          <c:min val="10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 i="0" u="none" strike="noStrike" kern="1200" baseline="0">
                    <a:solidFill>
                      <a:schemeClr val="tx1"/>
                    </a:solidFill>
                  </a:rPr>
                  <a:t>I</a:t>
                </a:r>
                <a:r>
                  <a:rPr lang="tr-TR" sz="900" b="1" i="0" u="none" strike="noStrike" kern="12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900" b="1" i="0" u="none" strike="noStrike" kern="1200" baseline="0">
                    <a:solidFill>
                      <a:schemeClr val="tx1"/>
                    </a:solidFill>
                  </a:rPr>
                  <a:t>/I</a:t>
                </a:r>
                <a:r>
                  <a:rPr lang="tr-TR" sz="900" b="1" i="0" u="none" strike="noStrike" kern="1200" baseline="-25000">
                    <a:solidFill>
                      <a:schemeClr val="tx1"/>
                    </a:solidFill>
                  </a:rPr>
                  <a:t>OFF</a:t>
                </a:r>
                <a:endParaRPr lang="en-US" sz="900" b="1" i="0" u="none" strike="noStrike" kern="1200" baseline="-25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0054655483718988E-3"/>
              <c:y val="0.41937452655185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6313071"/>
        <c:crossesAt val="0"/>
        <c:crossBetween val="midCat"/>
        <c:majorUnit val="10"/>
        <c:minorUnit val="10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573090172132351"/>
          <c:y val="0.11168926800816567"/>
          <c:w val="0.326874089528491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1050521356392"/>
          <c:y val="7.8703703703703706E-2"/>
          <c:w val="0.8483143667882671"/>
          <c:h val="0.75834135316418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No.6!$G$13</c:f>
              <c:strCache>
                <c:ptCount val="1"/>
                <c:pt idx="0">
                  <c:v>VTH (V) w/ FGM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0">
                <a:solidFill>
                  <a:srgbClr val="0000FF"/>
                </a:solidFill>
              </a:ln>
              <a:effectLst/>
            </c:spPr>
          </c:marker>
          <c:xVal>
            <c:numRef>
              <c:f>No.6!$F$14:$F$28</c:f>
              <c:numCache>
                <c:formatCode>General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No.6!$G$14:$G$28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0.73119999999999996</c:v>
                </c:pt>
                <c:pt idx="3">
                  <c:v>0.78169999999999995</c:v>
                </c:pt>
                <c:pt idx="4">
                  <c:v>0.76880000000000004</c:v>
                </c:pt>
                <c:pt idx="5">
                  <c:v>0.85799999999999998</c:v>
                </c:pt>
                <c:pt idx="6">
                  <c:v>0.80010000000000003</c:v>
                </c:pt>
                <c:pt idx="7">
                  <c:v>0.84470000000000001</c:v>
                </c:pt>
                <c:pt idx="8">
                  <c:v>0.84970000000000001</c:v>
                </c:pt>
                <c:pt idx="9">
                  <c:v>0.7631</c:v>
                </c:pt>
                <c:pt idx="10">
                  <c:v>0.72519999999999996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3-4983-9AD3-B5FE17914FE3}"/>
            </c:ext>
          </c:extLst>
        </c:ser>
        <c:ser>
          <c:idx val="2"/>
          <c:order val="1"/>
          <c:tx>
            <c:v>VTH ( V) w/single dielectric</c:v>
          </c:tx>
          <c:spPr>
            <a:ln w="63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0">
                <a:solidFill>
                  <a:srgbClr val="FF0000"/>
                </a:solidFill>
              </a:ln>
              <a:effectLst/>
            </c:spPr>
          </c:marker>
          <c:xVal>
            <c:numRef>
              <c:f>No.6!$C$14:$C$18</c:f>
              <c:numCache>
                <c:formatCode>General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No.6!$D$14:$D$18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D3-4983-9AD3-B5FE17914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3071"/>
        <c:axId val="185607503"/>
      </c:scatterChart>
      <c:valAx>
        <c:axId val="1206313071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800" b="1">
                    <a:solidFill>
                      <a:schemeClr val="tx1"/>
                    </a:solidFill>
                  </a:rPr>
                  <a:t>Effective </a:t>
                </a:r>
                <a:r>
                  <a:rPr lang="tr-TR" sz="800" b="1">
                    <a:solidFill>
                      <a:schemeClr val="tx1"/>
                    </a:solidFill>
                    <a:sym typeface="Symbol" panose="05050102010706020507" pitchFamily="18" charset="2"/>
                  </a:rPr>
                  <a:t></a:t>
                </a:r>
                <a:endParaRPr lang="tr-TR" sz="8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656167726931965"/>
              <c:y val="0.8981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607503"/>
        <c:crosses val="autoZero"/>
        <c:crossBetween val="midCat"/>
        <c:minorUnit val="2"/>
      </c:valAx>
      <c:valAx>
        <c:axId val="185607503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800" b="1" i="0" baseline="0">
                    <a:effectLst/>
                  </a:rPr>
                  <a:t>V</a:t>
                </a:r>
                <a:r>
                  <a:rPr lang="tr-TR" sz="800" b="1" i="0" baseline="-25000">
                    <a:effectLst/>
                  </a:rPr>
                  <a:t>TH</a:t>
                </a:r>
                <a:r>
                  <a:rPr lang="tr-TR" sz="800" b="1" i="0" baseline="0">
                    <a:effectLst/>
                  </a:rPr>
                  <a:t> (V)</a:t>
                </a:r>
                <a:endParaRPr lang="tr-TR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2.170019148582077E-2"/>
              <c:y val="0.39171296296296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6313071"/>
        <c:crosses val="autoZero"/>
        <c:crossBetween val="midCat"/>
        <c:minorUnit val="1.0000000000000002E-2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358982741718232"/>
          <c:y val="0.57002260134149885"/>
          <c:w val="0.39883361125297129"/>
          <c:h val="0.1921318168562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1054474081481"/>
          <c:y val="0.1759258992983681"/>
          <c:w val="0.8483143667882671"/>
          <c:h val="0.75834135316418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No.7!$G$13</c:f>
              <c:strCache>
                <c:ptCount val="1"/>
                <c:pt idx="0">
                  <c:v>Ig Leakage current w/ FGM
 @Vg=0.75V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No.7!$F$14:$F$28</c:f>
              <c:numCache>
                <c:formatCode>General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No.7!$G$14:$G$28</c:f>
              <c:numCache>
                <c:formatCode>General</c:formatCode>
                <c:ptCount val="15"/>
                <c:pt idx="0">
                  <c:v>1.0000000000000001E-9</c:v>
                </c:pt>
                <c:pt idx="1">
                  <c:v>5.4000000000000001E-11</c:v>
                </c:pt>
                <c:pt idx="2">
                  <c:v>1.6999999999999999E-11</c:v>
                </c:pt>
                <c:pt idx="3">
                  <c:v>4.9999999999999997E-12</c:v>
                </c:pt>
                <c:pt idx="4">
                  <c:v>6.0000000000000003E-12</c:v>
                </c:pt>
                <c:pt idx="5">
                  <c:v>1.1999999999999999E-12</c:v>
                </c:pt>
                <c:pt idx="6">
                  <c:v>2.4999999999999998E-12</c:v>
                </c:pt>
                <c:pt idx="7">
                  <c:v>9.9999999999999998E-13</c:v>
                </c:pt>
                <c:pt idx="8">
                  <c:v>1.7E-12</c:v>
                </c:pt>
                <c:pt idx="9">
                  <c:v>5.5000000000000004E-12</c:v>
                </c:pt>
                <c:pt idx="10">
                  <c:v>1.6999999999999999E-11</c:v>
                </c:pt>
                <c:pt idx="11">
                  <c:v>9E-13</c:v>
                </c:pt>
                <c:pt idx="12">
                  <c:v>4.9999999999999999E-13</c:v>
                </c:pt>
                <c:pt idx="13">
                  <c:v>1.4999999999999999E-13</c:v>
                </c:pt>
                <c:pt idx="14">
                  <c:v>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B-45EE-B667-09F037A32274}"/>
            </c:ext>
          </c:extLst>
        </c:ser>
        <c:ser>
          <c:idx val="1"/>
          <c:order val="1"/>
          <c:tx>
            <c:strRef>
              <c:f>No.7!$D$13</c:f>
              <c:strCache>
                <c:ptCount val="1"/>
                <c:pt idx="0">
                  <c:v>Ig Leakage current w/ single dielectric @Vg=0.75V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No.7!$C$14:$C$18</c:f>
              <c:numCache>
                <c:formatCode>General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No.7!$D$14:$D$18</c:f>
              <c:numCache>
                <c:formatCode>General</c:formatCode>
                <c:ptCount val="5"/>
                <c:pt idx="0">
                  <c:v>1.0000000000000001E-9</c:v>
                </c:pt>
                <c:pt idx="1">
                  <c:v>3.9999999999999998E-11</c:v>
                </c:pt>
                <c:pt idx="2">
                  <c:v>7.9999999999999998E-12</c:v>
                </c:pt>
                <c:pt idx="3">
                  <c:v>4.9999999999999997E-12</c:v>
                </c:pt>
                <c:pt idx="4">
                  <c:v>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B-45EE-B667-09F037A32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3071"/>
        <c:axId val="185607503"/>
      </c:scatterChart>
      <c:valAx>
        <c:axId val="1206313071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>
                    <a:solidFill>
                      <a:schemeClr val="tx1"/>
                    </a:solidFill>
                  </a:rPr>
                  <a:t>Effective </a:t>
                </a:r>
                <a:r>
                  <a:rPr lang="tr-TR" sz="900" b="1">
                    <a:solidFill>
                      <a:schemeClr val="tx1"/>
                    </a:solidFill>
                    <a:sym typeface="Symbol" panose="05050102010706020507" pitchFamily="18" charset="2"/>
                  </a:rPr>
                  <a:t></a:t>
                </a:r>
                <a:endParaRPr lang="tr-TR" sz="9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087791252493928"/>
              <c:y val="5.23661599357206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607503"/>
        <c:crosses val="autoZero"/>
        <c:crossBetween val="midCat"/>
        <c:minorUnit val="1"/>
      </c:valAx>
      <c:valAx>
        <c:axId val="185607503"/>
        <c:scaling>
          <c:logBase val="10"/>
          <c:orientation val="minMax"/>
          <c:max val="1.0000000000000005E-8"/>
          <c:min val="1.0000000000000008E-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900" b="1" i="0" u="none" strike="noStrike" kern="1200" baseline="0">
                    <a:solidFill>
                      <a:schemeClr val="tx1"/>
                    </a:solidFill>
                  </a:rPr>
                  <a:t>Ig leakagae current (A)</a:t>
                </a:r>
                <a:endParaRPr lang="en-US" sz="9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9931058954176925E-3"/>
              <c:y val="0.34793556650778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6313071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0889793987289444"/>
          <c:y val="0.20428186060075823"/>
          <c:w val="0.45483392271812806"/>
          <c:h val="0.1701399825021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7265382798887"/>
          <c:y val="0.12623547066237717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FinFET_v98C_FOM_NORMALIZED!$E$21</c:f>
              <c:strCache>
                <c:ptCount val="1"/>
                <c:pt idx="0">
                  <c:v>DIBL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C24-42C5-B238-D88918A5C931}"/>
              </c:ext>
            </c:extLst>
          </c:dPt>
          <c:dPt>
            <c:idx val="9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lg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C24-42C5-B238-D88918A5C931}"/>
              </c:ext>
            </c:extLst>
          </c:dPt>
          <c:dPt>
            <c:idx val="10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  <a:prstDash val="lgDashDot"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tx1"/>
                </a:solidFill>
                <a:prstDash val="dashDot"/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BC24-42C5-B238-D88918A5C93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53F5B34-D704-4F50-8608-4FD4DB8F20D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C24-42C5-B238-D88918A5C931}"/>
                </c:ext>
              </c:extLst>
            </c:dLbl>
            <c:dLbl>
              <c:idx val="1"/>
              <c:layout>
                <c:manualLayout>
                  <c:x val="2.777742381083434E-2"/>
                  <c:y val="-5.7293455098987409E-2"/>
                </c:manualLayout>
              </c:layout>
              <c:tx>
                <c:rich>
                  <a:bodyPr/>
                  <a:lstStyle/>
                  <a:p>
                    <a:fld id="{3009D02F-CEA4-49F8-838B-0C9AF903D73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C24-42C5-B238-D88918A5C931}"/>
                </c:ext>
              </c:extLst>
            </c:dLbl>
            <c:dLbl>
              <c:idx val="2"/>
              <c:layout>
                <c:manualLayout>
                  <c:x val="-5.7092788608238167E-2"/>
                  <c:y val="-8.9609759255467724E-3"/>
                </c:manualLayout>
              </c:layout>
              <c:tx>
                <c:rich>
                  <a:bodyPr/>
                  <a:lstStyle/>
                  <a:p>
                    <a:fld id="{9732FDBC-7C6E-406C-8282-CB98E2385B7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C24-42C5-B238-D88918A5C931}"/>
                </c:ext>
              </c:extLst>
            </c:dLbl>
            <c:dLbl>
              <c:idx val="3"/>
              <c:layout>
                <c:manualLayout>
                  <c:x val="-4.5588367511530489E-2"/>
                  <c:y val="-3.9624119195027924E-2"/>
                </c:manualLayout>
              </c:layout>
              <c:tx>
                <c:rich>
                  <a:bodyPr/>
                  <a:lstStyle/>
                  <a:p>
                    <a:fld id="{BD92AA56-AC65-4388-B5FF-B2EBE878EC0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C24-42C5-B238-D88918A5C931}"/>
                </c:ext>
              </c:extLst>
            </c:dLbl>
            <c:dLbl>
              <c:idx val="4"/>
              <c:layout>
                <c:manualLayout>
                  <c:x val="-2.5474637411844647E-2"/>
                  <c:y val="6.5542389657597067E-2"/>
                </c:manualLayout>
              </c:layout>
              <c:tx>
                <c:rich>
                  <a:bodyPr/>
                  <a:lstStyle/>
                  <a:p>
                    <a:fld id="{BD48F26B-ED1E-47BB-BF5B-EC2FD3BA506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C24-42C5-B238-D88918A5C931}"/>
                </c:ext>
              </c:extLst>
            </c:dLbl>
            <c:dLbl>
              <c:idx val="5"/>
              <c:layout>
                <c:manualLayout>
                  <c:x val="-5.7759752649587735E-2"/>
                  <c:y val="0.11388284756633339"/>
                </c:manualLayout>
              </c:layout>
              <c:tx>
                <c:rich>
                  <a:bodyPr/>
                  <a:lstStyle/>
                  <a:p>
                    <a:fld id="{5934C282-0789-4418-BEAA-C1FDA98CAE1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C24-42C5-B238-D88918A5C931}"/>
                </c:ext>
              </c:extLst>
            </c:dLbl>
            <c:dLbl>
              <c:idx val="6"/>
              <c:layout>
                <c:manualLayout>
                  <c:x val="-3.4057918525300661E-3"/>
                  <c:y val="0.11258092871083218"/>
                </c:manualLayout>
              </c:layout>
              <c:tx>
                <c:rich>
                  <a:bodyPr/>
                  <a:lstStyle/>
                  <a:p>
                    <a:fld id="{3D3D3F24-4E9D-42E4-9E88-2850CB9A24D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C24-42C5-B238-D88918A5C931}"/>
                </c:ext>
              </c:extLst>
            </c:dLbl>
            <c:dLbl>
              <c:idx val="7"/>
              <c:layout>
                <c:manualLayout>
                  <c:x val="-2.4878331569587724E-2"/>
                  <c:y val="-3.4780532628125922E-2"/>
                </c:manualLayout>
              </c:layout>
              <c:tx>
                <c:rich>
                  <a:bodyPr/>
                  <a:lstStyle/>
                  <a:p>
                    <a:fld id="{8B038737-8E50-49DC-8CE0-6E64A6E8203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C24-42C5-B238-D88918A5C931}"/>
                </c:ext>
              </c:extLst>
            </c:dLbl>
            <c:dLbl>
              <c:idx val="8"/>
              <c:layout>
                <c:manualLayout>
                  <c:x val="-1.5210893920832127E-2"/>
                  <c:y val="4.5424662987347347E-2"/>
                </c:manualLayout>
              </c:layout>
              <c:tx>
                <c:rich>
                  <a:bodyPr/>
                  <a:lstStyle/>
                  <a:p>
                    <a:fld id="{249979C8-7575-4BC8-9753-84ADDE8C8C2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C24-42C5-B238-D88918A5C931}"/>
                </c:ext>
              </c:extLst>
            </c:dLbl>
            <c:dLbl>
              <c:idx val="9"/>
              <c:layout>
                <c:manualLayout>
                  <c:x val="-3.1152300019329188E-2"/>
                  <c:y val="0.11940068264539061"/>
                </c:manualLayout>
              </c:layout>
              <c:tx>
                <c:rich>
                  <a:bodyPr/>
                  <a:lstStyle/>
                  <a:p>
                    <a:fld id="{65B0B2FC-51ED-4BB7-84D1-74633CA2520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24-42C5-B238-D88918A5C931}"/>
                </c:ext>
              </c:extLst>
            </c:dLbl>
            <c:dLbl>
              <c:idx val="10"/>
              <c:layout>
                <c:manualLayout>
                  <c:x val="1.4525248840584365E-2"/>
                  <c:y val="-4.2988161150329551E-2"/>
                </c:manualLayout>
              </c:layout>
              <c:tx>
                <c:rich>
                  <a:bodyPr/>
                  <a:lstStyle/>
                  <a:p>
                    <a:fld id="{16B28CBD-A0A5-4561-BF2E-C47E1DE6A02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C24-42C5-B238-D88918A5C931}"/>
                </c:ext>
              </c:extLst>
            </c:dLbl>
            <c:dLbl>
              <c:idx val="11"/>
              <c:layout>
                <c:manualLayout>
                  <c:x val="-3.4880738748096857E-2"/>
                  <c:y val="3.6480585757562807E-2"/>
                </c:manualLayout>
              </c:layout>
              <c:tx>
                <c:rich>
                  <a:bodyPr/>
                  <a:lstStyle/>
                  <a:p>
                    <a:fld id="{3F92E6B4-93AF-4C8B-BA88-523B4B8ED1E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C24-42C5-B238-D88918A5C931}"/>
                </c:ext>
              </c:extLst>
            </c:dLbl>
            <c:dLbl>
              <c:idx val="12"/>
              <c:layout>
                <c:manualLayout>
                  <c:x val="-2.5707674569800431E-3"/>
                  <c:y val="-6.1495336256122121E-2"/>
                </c:manualLayout>
              </c:layout>
              <c:tx>
                <c:rich>
                  <a:bodyPr/>
                  <a:lstStyle/>
                  <a:p>
                    <a:fld id="{FDE70B33-CC20-45B7-8220-526638DEFE2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C24-42C5-B238-D88918A5C931}"/>
                </c:ext>
              </c:extLst>
            </c:dLbl>
            <c:dLbl>
              <c:idx val="13"/>
              <c:layout>
                <c:manualLayout>
                  <c:x val="9.661712629855327E-3"/>
                  <c:y val="-8.1504017395556128E-2"/>
                </c:manualLayout>
              </c:layout>
              <c:tx>
                <c:rich>
                  <a:bodyPr/>
                  <a:lstStyle/>
                  <a:p>
                    <a:fld id="{FA6E402F-E1F5-4272-AA06-D59101F7A3A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C24-42C5-B238-D88918A5C9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7A46436-E8B4-4382-8505-61CD41D1C05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C24-42C5-B238-D88918A5C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FinFET_v98C_FOM_NORMALIZED!$L$21:$Z$21</c:f>
              <c:numCache>
                <c:formatCode>General</c:formatCode>
                <c:ptCount val="15"/>
                <c:pt idx="0">
                  <c:v>19.3</c:v>
                </c:pt>
                <c:pt idx="1">
                  <c:v>15.22</c:v>
                </c:pt>
                <c:pt idx="2">
                  <c:v>12.52</c:v>
                </c:pt>
                <c:pt idx="3">
                  <c:v>9.3000000000000007</c:v>
                </c:pt>
                <c:pt idx="4">
                  <c:v>9.48</c:v>
                </c:pt>
                <c:pt idx="5">
                  <c:v>8.6999999999999993</c:v>
                </c:pt>
                <c:pt idx="6">
                  <c:v>8.43</c:v>
                </c:pt>
                <c:pt idx="7">
                  <c:v>9.83</c:v>
                </c:pt>
                <c:pt idx="8">
                  <c:v>8.8699999999999992</c:v>
                </c:pt>
                <c:pt idx="9">
                  <c:v>9.74</c:v>
                </c:pt>
                <c:pt idx="10">
                  <c:v>12.7</c:v>
                </c:pt>
                <c:pt idx="11">
                  <c:v>6.17</c:v>
                </c:pt>
                <c:pt idx="12">
                  <c:v>6.43</c:v>
                </c:pt>
                <c:pt idx="13">
                  <c:v>5.48</c:v>
                </c:pt>
                <c:pt idx="1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BC24-42C5-B238-D88918A5C931}"/>
            </c:ext>
          </c:extLst>
        </c:ser>
        <c:ser>
          <c:idx val="0"/>
          <c:order val="0"/>
          <c:tx>
            <c:strRef>
              <c:f>FinFET_v98C_FOM_NORMALIZED!$F$21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2858758167885216E-2"/>
                  <c:y val="-2.756138194649909E-2"/>
                </c:manualLayout>
              </c:layout>
              <c:tx>
                <c:rich>
                  <a:bodyPr/>
                  <a:lstStyle/>
                  <a:p>
                    <a:fld id="{B8951260-4F7E-43FB-A901-8216269B79B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C24-42C5-B238-D88918A5C931}"/>
                </c:ext>
              </c:extLst>
            </c:dLbl>
            <c:dLbl>
              <c:idx val="1"/>
              <c:layout>
                <c:manualLayout>
                  <c:x val="-2.200110988701395E-3"/>
                  <c:y val="-4.6954522659994308E-2"/>
                </c:manualLayout>
              </c:layout>
              <c:tx>
                <c:rich>
                  <a:bodyPr/>
                  <a:lstStyle/>
                  <a:p>
                    <a:fld id="{4FE015B6-9C1D-41A2-9C2D-41A50ACC503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C24-42C5-B238-D88918A5C931}"/>
                </c:ext>
              </c:extLst>
            </c:dLbl>
            <c:dLbl>
              <c:idx val="2"/>
              <c:layout>
                <c:manualLayout>
                  <c:x val="-1.1892628500384878E-2"/>
                  <c:y val="9.4499444074141348E-2"/>
                </c:manualLayout>
              </c:layout>
              <c:tx>
                <c:rich>
                  <a:bodyPr/>
                  <a:lstStyle/>
                  <a:p>
                    <a:fld id="{0B696063-DADD-4CDE-9084-5FFDDD3858F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C24-42C5-B238-D88918A5C931}"/>
                </c:ext>
              </c:extLst>
            </c:dLbl>
            <c:dLbl>
              <c:idx val="3"/>
              <c:layout>
                <c:manualLayout>
                  <c:x val="2.7083647285199009E-2"/>
                  <c:y val="-7.5096261572528994E-2"/>
                </c:manualLayout>
              </c:layout>
              <c:tx>
                <c:rich>
                  <a:bodyPr/>
                  <a:lstStyle/>
                  <a:p>
                    <a:fld id="{5DF43F49-B961-4975-83BE-34D1FE6739E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BC24-42C5-B238-D88918A5C931}"/>
                </c:ext>
              </c:extLst>
            </c:dLbl>
            <c:dLbl>
              <c:idx val="4"/>
              <c:layout>
                <c:manualLayout>
                  <c:x val="-5.8672081283151515E-3"/>
                  <c:y val="-7.6311863093974974E-2"/>
                </c:manualLayout>
              </c:layout>
              <c:tx>
                <c:rich>
                  <a:bodyPr/>
                  <a:lstStyle/>
                  <a:p>
                    <a:fld id="{17C06195-BCAF-495C-A82C-393D1541B48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C24-42C5-B238-D88918A5C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BC24-42C5-B238-D88918A5C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400" b="1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8718463209510626"/>
              <c:y val="0.91470285049687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orientation val="minMax"/>
          <c:max val="20"/>
          <c:min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Drain Induced Barrier Lowering  - DIBL  (mV/V)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686350891075122"/>
              <c:y val="0.18281632624572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3499999999999996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817193040922003"/>
          <c:y val="0.14817555769283869"/>
          <c:w val="0.22813212863322893"/>
          <c:h val="0.1523495426803812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268307273705989"/>
          <c:y val="0.1458296647758863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FinFET_v98C_FOM_NORMALIZED!$F$24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88499A0-3B12-414A-B226-DAE30986C6A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20C-4E14-912A-CFA44A6BC5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EBD2B98-2AC7-419D-A340-DFC13A00457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20C-4E14-912A-CFA44A6BC53F}"/>
                </c:ext>
              </c:extLst>
            </c:dLbl>
            <c:dLbl>
              <c:idx val="2"/>
              <c:layout>
                <c:manualLayout>
                  <c:x val="-3.050227592671478E-17"/>
                  <c:y val="4.5970171512176042E-2"/>
                </c:manualLayout>
              </c:layout>
              <c:tx>
                <c:rich>
                  <a:bodyPr/>
                  <a:lstStyle/>
                  <a:p>
                    <a:fld id="{253B51B3-5B5D-41FC-9055-6E5728E36CF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20C-4E14-912A-CFA44A6BC53F}"/>
                </c:ext>
              </c:extLst>
            </c:dLbl>
            <c:dLbl>
              <c:idx val="3"/>
              <c:layout>
                <c:manualLayout>
                  <c:x val="-4.9913391749905871E-3"/>
                  <c:y val="3.9074645785349707E-2"/>
                </c:manualLayout>
              </c:layout>
              <c:tx>
                <c:rich>
                  <a:bodyPr/>
                  <a:lstStyle/>
                  <a:p>
                    <a:fld id="{38FBBB90-55BB-42B0-9E5D-03C0A06D557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20C-4E14-912A-CFA44A6BC53F}"/>
                </c:ext>
              </c:extLst>
            </c:dLbl>
            <c:dLbl>
              <c:idx val="4"/>
              <c:layout>
                <c:manualLayout>
                  <c:x val="1.6637797249968319E-3"/>
                  <c:y val="-4.5970171512176125E-2"/>
                </c:manualLayout>
              </c:layout>
              <c:tx>
                <c:rich>
                  <a:bodyPr/>
                  <a:lstStyle/>
                  <a:p>
                    <a:fld id="{CB764827-717B-4610-B1A1-BA528A3B4BB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20C-4E14-912A-CFA44A6BC53F}"/>
                </c:ext>
              </c:extLst>
            </c:dLbl>
            <c:dLbl>
              <c:idx val="5"/>
              <c:layout>
                <c:manualLayout>
                  <c:x val="1.33102377999749E-2"/>
                  <c:y val="-9.4238851599961052E-2"/>
                </c:manualLayout>
              </c:layout>
              <c:tx>
                <c:rich>
                  <a:bodyPr/>
                  <a:lstStyle/>
                  <a:p>
                    <a:fld id="{C2458E57-746B-4AEF-A87E-821D2956918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20C-4E14-912A-CFA44A6BC53F}"/>
                </c:ext>
              </c:extLst>
            </c:dLbl>
            <c:dLbl>
              <c:idx val="6"/>
              <c:layout>
                <c:manualLayout>
                  <c:x val="1.4974017524971732E-2"/>
                  <c:y val="-0.12182095450726677"/>
                </c:manualLayout>
              </c:layout>
              <c:tx>
                <c:rich>
                  <a:bodyPr/>
                  <a:lstStyle/>
                  <a:p>
                    <a:fld id="{31BA0659-F529-4C85-A8CC-61F5F908A8D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20C-4E14-912A-CFA44A6BC53F}"/>
                </c:ext>
              </c:extLst>
            </c:dLbl>
            <c:dLbl>
              <c:idx val="7"/>
              <c:layout>
                <c:manualLayout>
                  <c:x val="-3.1611814774940385E-2"/>
                  <c:y val="-5.9761222965828961E-2"/>
                </c:manualLayout>
              </c:layout>
              <c:tx>
                <c:rich>
                  <a:bodyPr/>
                  <a:lstStyle/>
                  <a:p>
                    <a:fld id="{A8BB9EF4-0E8A-4015-8A0A-EF2BD29DBD8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20C-4E14-912A-CFA44A6BC53F}"/>
                </c:ext>
              </c:extLst>
            </c:dLbl>
            <c:dLbl>
              <c:idx val="8"/>
              <c:layout>
                <c:manualLayout>
                  <c:x val="-5.656851064989335E-2"/>
                  <c:y val="-0.14250753168774599"/>
                </c:manualLayout>
              </c:layout>
              <c:tx>
                <c:rich>
                  <a:bodyPr/>
                  <a:lstStyle/>
                  <a:p>
                    <a:fld id="{00ABC548-25EA-4536-B3E6-A4C0DF7CAA4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20C-4E14-912A-CFA44A6BC53F}"/>
                </c:ext>
              </c:extLst>
            </c:dLbl>
            <c:dLbl>
              <c:idx val="9"/>
              <c:layout>
                <c:manualLayout>
                  <c:x val="-9.2187807455357644E-3"/>
                  <c:y val="-3.6818487682708852E-2"/>
                </c:manualLayout>
              </c:layout>
              <c:tx>
                <c:rich>
                  <a:bodyPr/>
                  <a:lstStyle/>
                  <a:p>
                    <a:fld id="{19A36766-9CFC-45D7-A3AC-5B10530522F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20C-4E14-912A-CFA44A6BC53F}"/>
                </c:ext>
              </c:extLst>
            </c:dLbl>
            <c:dLbl>
              <c:idx val="10"/>
              <c:layout>
                <c:manualLayout>
                  <c:x val="-3.1611814774940399E-2"/>
                  <c:y val="-6.435824011704662E-2"/>
                </c:manualLayout>
              </c:layout>
              <c:tx>
                <c:rich>
                  <a:bodyPr/>
                  <a:lstStyle/>
                  <a:p>
                    <a:fld id="{A523E3F8-BF8C-4231-93FB-D3C33BC2786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20C-4E14-912A-CFA44A6BC53F}"/>
                </c:ext>
              </c:extLst>
            </c:dLbl>
            <c:dLbl>
              <c:idx val="11"/>
              <c:layout>
                <c:manualLayout>
                  <c:x val="3.1711545578414262E-2"/>
                  <c:y val="-8.1441975322336213E-2"/>
                </c:manualLayout>
              </c:layout>
              <c:tx>
                <c:rich>
                  <a:bodyPr/>
                  <a:lstStyle/>
                  <a:p>
                    <a:fld id="{34A14696-1D00-44E6-AA9A-703C62646D0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20C-4E14-912A-CFA44A6BC53F}"/>
                </c:ext>
              </c:extLst>
            </c:dLbl>
            <c:dLbl>
              <c:idx val="12"/>
              <c:layout>
                <c:manualLayout>
                  <c:x val="-4.6585832299912144E-2"/>
                  <c:y val="-1.6089560029261644E-2"/>
                </c:manualLayout>
              </c:layout>
              <c:tx>
                <c:rich>
                  <a:bodyPr/>
                  <a:lstStyle/>
                  <a:p>
                    <a:fld id="{7C887B2D-163C-49FE-A563-1336E788F9D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20C-4E14-912A-CFA44A6BC53F}"/>
                </c:ext>
              </c:extLst>
            </c:dLbl>
            <c:dLbl>
              <c:idx val="13"/>
              <c:layout>
                <c:manualLayout>
                  <c:x val="0"/>
                  <c:y val="-4.5970171512176104E-2"/>
                </c:manualLayout>
              </c:layout>
              <c:tx>
                <c:rich>
                  <a:bodyPr/>
                  <a:lstStyle/>
                  <a:p>
                    <a:fld id="{5398A424-F055-4B2E-80E9-1C6161403CA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20C-4E14-912A-CFA44A6BC53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235384D-3172-4913-AE9D-A16D2F101A9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0C-4E14-912A-CFA44A6BC5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FinFET_v98C_FOM_NORMALIZED!$L$24:$Z$24</c:f>
              <c:numCache>
                <c:formatCode>0.00E+00</c:formatCode>
                <c:ptCount val="15"/>
                <c:pt idx="0">
                  <c:v>10000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E20C-4E14-912A-CFA44A6B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FinFET_v98C_FOM_NORMALIZED!$F$24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BE11BDC-6F9D-4988-B79E-2931DC57A1D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20C-4E14-912A-CFA44A6BC53F}"/>
                </c:ext>
              </c:extLst>
            </c:dLbl>
            <c:dLbl>
              <c:idx val="1"/>
              <c:layout>
                <c:manualLayout>
                  <c:x val="1.7348375299447598E-2"/>
                  <c:y val="7.3671724471441723E-3"/>
                </c:manualLayout>
              </c:layout>
              <c:tx>
                <c:rich>
                  <a:bodyPr/>
                  <a:lstStyle/>
                  <a:p>
                    <a:fld id="{0A8B7521-3FF4-4F54-902B-1606B933A68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20C-4E14-912A-CFA44A6BC53F}"/>
                </c:ext>
              </c:extLst>
            </c:dLbl>
            <c:dLbl>
              <c:idx val="2"/>
              <c:layout>
                <c:manualLayout>
                  <c:x val="-2.3072170572269544E-2"/>
                  <c:y val="7.8191642043667325E-2"/>
                </c:manualLayout>
              </c:layout>
              <c:tx>
                <c:rich>
                  <a:bodyPr/>
                  <a:lstStyle/>
                  <a:p>
                    <a:fld id="{F8520A8F-774B-49F7-8581-5EB9F3AD243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20C-4E14-912A-CFA44A6BC53F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0700AEB1-9402-43EC-B9C3-E1485F9A333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20C-4E14-912A-CFA44A6BC5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FCB32A-F844-4C96-9830-D7AC369D9F3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20C-4E14-912A-CFA44A6BC5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FinFET_v98C_FOM_NORMALIZED!$G$24:$K$24</c:f>
              <c:numCache>
                <c:formatCode>0.00E+00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E20C-4E14-912A-CFA44A6B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FinFET_v98C_FOM_NORMALIZED!$E$26</c:f>
              <c:strCache>
                <c:ptCount val="1"/>
                <c:pt idx="0">
                  <c:v>ION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DE13A82-8506-40C6-887C-6A01CC4BFA1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8D5-4ED6-AE6F-5DF564396DF2}"/>
                </c:ext>
              </c:extLst>
            </c:dLbl>
            <c:dLbl>
              <c:idx val="1"/>
              <c:layout>
                <c:manualLayout>
                  <c:x val="-8.5053845949068212E-3"/>
                  <c:y val="-0.11517770449852452"/>
                </c:manualLayout>
              </c:layout>
              <c:tx>
                <c:rich>
                  <a:bodyPr/>
                  <a:lstStyle/>
                  <a:p>
                    <a:fld id="{9F162D6B-C6DC-45ED-B5A9-D844DF549A8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D5-4ED6-AE6F-5DF564396DF2}"/>
                </c:ext>
              </c:extLst>
            </c:dLbl>
            <c:dLbl>
              <c:idx val="2"/>
              <c:layout>
                <c:manualLayout>
                  <c:x val="-3.854942709297262E-2"/>
                  <c:y val="1.0729860134224967E-2"/>
                </c:manualLayout>
              </c:layout>
              <c:tx>
                <c:rich>
                  <a:bodyPr/>
                  <a:lstStyle/>
                  <a:p>
                    <a:fld id="{95E87892-976D-443F-AD10-E1C7351D2CC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8D5-4ED6-AE6F-5DF564396DF2}"/>
                </c:ext>
              </c:extLst>
            </c:dLbl>
            <c:dLbl>
              <c:idx val="3"/>
              <c:layout>
                <c:manualLayout>
                  <c:x val="-2.9065570119094414E-2"/>
                  <c:y val="-1.4712546308194515E-2"/>
                </c:manualLayout>
              </c:layout>
              <c:tx>
                <c:rich>
                  <a:bodyPr/>
                  <a:lstStyle/>
                  <a:p>
                    <a:fld id="{24BCE219-2C1E-423D-A3C9-A7905544D37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8D5-4ED6-AE6F-5DF564396DF2}"/>
                </c:ext>
              </c:extLst>
            </c:dLbl>
            <c:dLbl>
              <c:idx val="4"/>
              <c:layout>
                <c:manualLayout>
                  <c:x val="-3.6569313166300021E-2"/>
                  <c:y val="9.7543337137799089E-3"/>
                </c:manualLayout>
              </c:layout>
              <c:tx>
                <c:rich>
                  <a:bodyPr/>
                  <a:lstStyle/>
                  <a:p>
                    <a:fld id="{B158FE8A-CF10-4482-B2D8-20AA1606C14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8D5-4ED6-AE6F-5DF564396DF2}"/>
                </c:ext>
              </c:extLst>
            </c:dLbl>
            <c:dLbl>
              <c:idx val="5"/>
              <c:layout>
                <c:manualLayout>
                  <c:x val="-1.3403666299275642E-2"/>
                  <c:y val="5.0570865332132134E-2"/>
                </c:manualLayout>
              </c:layout>
              <c:tx>
                <c:rich>
                  <a:bodyPr/>
                  <a:lstStyle/>
                  <a:p>
                    <a:fld id="{1A41FE3D-0B2B-4D84-9248-59DF4D2FF46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8D5-4ED6-AE6F-5DF564396DF2}"/>
                </c:ext>
              </c:extLst>
            </c:dLbl>
            <c:dLbl>
              <c:idx val="6"/>
              <c:layout>
                <c:manualLayout>
                  <c:x val="1.7986954033733599E-2"/>
                  <c:y val="-4.852527463897427E-2"/>
                </c:manualLayout>
              </c:layout>
              <c:tx>
                <c:rich>
                  <a:bodyPr/>
                  <a:lstStyle/>
                  <a:p>
                    <a:fld id="{CB5FE5B0-B01F-49E0-A289-738BA541888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8D5-4ED6-AE6F-5DF564396DF2}"/>
                </c:ext>
              </c:extLst>
            </c:dLbl>
            <c:dLbl>
              <c:idx val="7"/>
              <c:layout>
                <c:manualLayout>
                  <c:x val="-3.6928904124494143E-2"/>
                  <c:y val="5.0335078995866658E-2"/>
                </c:manualLayout>
              </c:layout>
              <c:tx>
                <c:rich>
                  <a:bodyPr/>
                  <a:lstStyle/>
                  <a:p>
                    <a:fld id="{F7944E3B-F295-4B42-A4A4-EAF4E4C4114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8D5-4ED6-AE6F-5DF564396DF2}"/>
                </c:ext>
              </c:extLst>
            </c:dLbl>
            <c:dLbl>
              <c:idx val="8"/>
              <c:layout>
                <c:manualLayout>
                  <c:x val="-9.2132182925905547E-3"/>
                  <c:y val="8.3738391430999745E-2"/>
                </c:manualLayout>
              </c:layout>
              <c:tx>
                <c:rich>
                  <a:bodyPr/>
                  <a:lstStyle/>
                  <a:p>
                    <a:fld id="{3C55F0D1-A1C7-4785-9D55-3865B4C5A77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8D5-4ED6-AE6F-5DF564396DF2}"/>
                </c:ext>
              </c:extLst>
            </c:dLbl>
            <c:dLbl>
              <c:idx val="9"/>
              <c:layout>
                <c:manualLayout>
                  <c:x val="-2.9247256523475561E-2"/>
                  <c:y val="2.998599239342399E-3"/>
                </c:manualLayout>
              </c:layout>
              <c:tx>
                <c:rich>
                  <a:bodyPr/>
                  <a:lstStyle/>
                  <a:p>
                    <a:fld id="{755B8530-FB79-4E1B-A00C-4EC265C87A2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8D5-4ED6-AE6F-5DF564396DF2}"/>
                </c:ext>
              </c:extLst>
            </c:dLbl>
            <c:dLbl>
              <c:idx val="10"/>
              <c:layout>
                <c:manualLayout>
                  <c:x val="-1.402515040931839E-2"/>
                  <c:y val="-0.13601800983305323"/>
                </c:manualLayout>
              </c:layout>
              <c:tx>
                <c:rich>
                  <a:bodyPr/>
                  <a:lstStyle/>
                  <a:p>
                    <a:fld id="{575621A4-1224-406E-910C-CC8783C2D8F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8D5-4ED6-AE6F-5DF564396DF2}"/>
                </c:ext>
              </c:extLst>
            </c:dLbl>
            <c:dLbl>
              <c:idx val="11"/>
              <c:layout>
                <c:manualLayout>
                  <c:x val="-3.045865286428035E-3"/>
                  <c:y val="-9.8272126598737769E-2"/>
                </c:manualLayout>
              </c:layout>
              <c:tx>
                <c:rich>
                  <a:bodyPr/>
                  <a:lstStyle/>
                  <a:p>
                    <a:fld id="{7A2848A6-2FD5-4479-A9A0-260232E64D1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8D5-4ED6-AE6F-5DF564396DF2}"/>
                </c:ext>
              </c:extLst>
            </c:dLbl>
            <c:dLbl>
              <c:idx val="12"/>
              <c:layout>
                <c:manualLayout>
                  <c:x val="0"/>
                  <c:y val="-6.7632708301579816E-2"/>
                </c:manualLayout>
              </c:layout>
              <c:tx>
                <c:rich>
                  <a:bodyPr/>
                  <a:lstStyle/>
                  <a:p>
                    <a:fld id="{9EBB83F0-FC06-46FF-87BC-6F14B442A99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8D5-4ED6-AE6F-5DF564396DF2}"/>
                </c:ext>
              </c:extLst>
            </c:dLbl>
            <c:dLbl>
              <c:idx val="13"/>
              <c:layout>
                <c:manualLayout>
                  <c:x val="2.1524593755071308E-3"/>
                  <c:y val="-8.6290007143394937E-2"/>
                </c:manualLayout>
              </c:layout>
              <c:tx>
                <c:rich>
                  <a:bodyPr/>
                  <a:lstStyle/>
                  <a:p>
                    <a:fld id="{03D85C41-B419-406C-A03A-B61C4C9E151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8D5-4ED6-AE6F-5DF564396DF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B566786-3DF4-470C-B83D-CFD6F7E2E87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8D5-4ED6-AE6F-5DF564396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FinFET_v98C_FOM_NORMALIZED!$L$26:$Z$26</c:f>
              <c:numCache>
                <c:formatCode>0.00E+00</c:formatCode>
                <c:ptCount val="15"/>
                <c:pt idx="0">
                  <c:v>2.0045235509999999E-5</c:v>
                </c:pt>
                <c:pt idx="1">
                  <c:v>1.9071899419999999E-5</c:v>
                </c:pt>
                <c:pt idx="2">
                  <c:v>1.085889421E-5</c:v>
                </c:pt>
                <c:pt idx="3">
                  <c:v>1.632321543E-5</c:v>
                </c:pt>
                <c:pt idx="4">
                  <c:v>1.786813879E-5</c:v>
                </c:pt>
                <c:pt idx="5">
                  <c:v>1.5619603890000002E-5</c:v>
                </c:pt>
                <c:pt idx="6">
                  <c:v>1.8835130689999999E-5</c:v>
                </c:pt>
                <c:pt idx="7">
                  <c:v>1.425507866E-5</c:v>
                </c:pt>
                <c:pt idx="8">
                  <c:v>1.231310583E-5</c:v>
                </c:pt>
                <c:pt idx="9">
                  <c:v>1.7931580230000001E-5</c:v>
                </c:pt>
                <c:pt idx="10">
                  <c:v>1.9268158390000001E-5</c:v>
                </c:pt>
                <c:pt idx="11">
                  <c:v>1.4197163190000001E-5</c:v>
                </c:pt>
                <c:pt idx="12">
                  <c:v>1.590327458E-5</c:v>
                </c:pt>
                <c:pt idx="13">
                  <c:v>1.4735582659999999E-5</c:v>
                </c:pt>
                <c:pt idx="1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B8D5-4ED6-AE6F-5DF56439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FinFET_v98C_FOM_NORMALIZED!$F$26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9.7423519103974534E-3"/>
                  <c:y val="-9.678775896072235E-2"/>
                </c:manualLayout>
              </c:layout>
              <c:tx>
                <c:rich>
                  <a:bodyPr/>
                  <a:lstStyle/>
                  <a:p>
                    <a:fld id="{0F162BC3-429E-4DAB-92AF-C44E8C953B5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8D5-4ED6-AE6F-5DF564396DF2}"/>
                </c:ext>
              </c:extLst>
            </c:dLbl>
            <c:dLbl>
              <c:idx val="1"/>
              <c:layout>
                <c:manualLayout>
                  <c:x val="3.6205703991877215E-3"/>
                  <c:y val="-8.7882610785615128E-2"/>
                </c:manualLayout>
              </c:layout>
              <c:tx>
                <c:rich>
                  <a:bodyPr/>
                  <a:lstStyle/>
                  <a:p>
                    <a:fld id="{0B5021C5-8EBD-41C3-9925-F9CA3DD0DE4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8D5-4ED6-AE6F-5DF564396DF2}"/>
                </c:ext>
              </c:extLst>
            </c:dLbl>
            <c:dLbl>
              <c:idx val="2"/>
              <c:layout>
                <c:manualLayout>
                  <c:x val="6.2974115044997321E-3"/>
                  <c:y val="3.932718824887052E-2"/>
                </c:manualLayout>
              </c:layout>
              <c:tx>
                <c:rich>
                  <a:bodyPr/>
                  <a:lstStyle/>
                  <a:p>
                    <a:fld id="{8B12C463-8C65-4797-AC67-2CC9E5B4A28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8D5-4ED6-AE6F-5DF564396DF2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D9CD8EF1-6580-4D79-88E7-119A90BA3EB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8D5-4ED6-AE6F-5DF564396D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8808CC-E73D-474D-90C8-35FCFC8F2E3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8D5-4ED6-AE6F-5DF564396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B8D5-4ED6-AE6F-5DF56439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540846023099834"/>
              <c:y val="0.9154298604477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490477469929604E-2"/>
              <c:y val="0.4249960569560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3499999999999996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621610005680863"/>
          <c:y val="0.13305140995384013"/>
          <c:w val="0.22222961765865795"/>
          <c:h val="0.15574956836303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VTh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1.0266</c:v>
                </c:pt>
                <c:pt idx="1">
                  <c:v>0.99150000000000005</c:v>
                </c:pt>
                <c:pt idx="2">
                  <c:v>0.96299999999999997</c:v>
                </c:pt>
                <c:pt idx="3">
                  <c:v>0.93700000000000006</c:v>
                </c:pt>
                <c:pt idx="4">
                  <c:v>0.90639999999999998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8-4751-B2BF-A9C4AAC0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FinFET_v9_Makale_Try_La2O3.in!$G$2</c:f>
              <c:strCache>
                <c:ptCount val="1"/>
                <c:pt idx="0">
                  <c:v>SS (mV/dec)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FinFET_v9_Makale_Try_La2O3.in!$D$3:$D$8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FinFET_v9_Makale_Try_La2O3.in!$G$3:$G$8</c:f>
              <c:numCache>
                <c:formatCode>General</c:formatCode>
                <c:ptCount val="6"/>
                <c:pt idx="0">
                  <c:v>63.8</c:v>
                </c:pt>
                <c:pt idx="1">
                  <c:v>61.1</c:v>
                </c:pt>
                <c:pt idx="2">
                  <c:v>59.7</c:v>
                </c:pt>
                <c:pt idx="3">
                  <c:v>59.8</c:v>
                </c:pt>
                <c:pt idx="4">
                  <c:v>59.7</c:v>
                </c:pt>
                <c:pt idx="5">
                  <c:v>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5-4B5F-9579-C7889DF05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FinFET_v98C_FOM_NORMALIZED!$E$18</c:f>
              <c:strCache>
                <c:ptCount val="1"/>
                <c:pt idx="0">
                  <c:v>VTH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8E47710-2A11-472F-95A1-81C5C413C0D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50D-47F7-B799-536DD3FB587D}"/>
                </c:ext>
              </c:extLst>
            </c:dLbl>
            <c:dLbl>
              <c:idx val="1"/>
              <c:layout>
                <c:manualLayout>
                  <c:x val="-3.6355430020217194E-3"/>
                  <c:y val="-7.5611092190352516E-2"/>
                </c:manualLayout>
              </c:layout>
              <c:tx>
                <c:rich>
                  <a:bodyPr/>
                  <a:lstStyle/>
                  <a:p>
                    <a:fld id="{759CCA20-C386-472F-8BE0-A69D3A4DFF8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50D-47F7-B799-536DD3FB587D}"/>
                </c:ext>
              </c:extLst>
            </c:dLbl>
            <c:dLbl>
              <c:idx val="2"/>
              <c:layout>
                <c:manualLayout>
                  <c:x val="-1.3153394109849901E-2"/>
                  <c:y val="0.15715145764963781"/>
                </c:manualLayout>
              </c:layout>
              <c:tx>
                <c:rich>
                  <a:bodyPr/>
                  <a:lstStyle/>
                  <a:p>
                    <a:fld id="{2917C64E-87FC-439D-A4F1-596AA79D2C2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50D-47F7-B799-536DD3FB587D}"/>
                </c:ext>
              </c:extLst>
            </c:dLbl>
            <c:dLbl>
              <c:idx val="3"/>
              <c:layout>
                <c:manualLayout>
                  <c:x val="-3.5618609246664643E-2"/>
                  <c:y val="-1.5975167486119424E-2"/>
                </c:manualLayout>
              </c:layout>
              <c:tx>
                <c:rich>
                  <a:bodyPr/>
                  <a:lstStyle/>
                  <a:p>
                    <a:fld id="{F93BA793-F887-40F5-BDD9-43B8397101F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50D-47F7-B799-536DD3FB587D}"/>
                </c:ext>
              </c:extLst>
            </c:dLbl>
            <c:dLbl>
              <c:idx val="4"/>
              <c:layout>
                <c:manualLayout>
                  <c:x val="2.0190790769695221E-2"/>
                  <c:y val="2.4677843691840791E-2"/>
                </c:manualLayout>
              </c:layout>
              <c:tx>
                <c:rich>
                  <a:bodyPr/>
                  <a:lstStyle/>
                  <a:p>
                    <a:fld id="{512DF7DC-5181-45AD-9B5B-B754BF0E3CB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50D-47F7-B799-536DD3FB587D}"/>
                </c:ext>
              </c:extLst>
            </c:dLbl>
            <c:dLbl>
              <c:idx val="5"/>
              <c:layout>
                <c:manualLayout>
                  <c:x val="-4.4775789846803041E-2"/>
                  <c:y val="-5.7779508388192666E-2"/>
                </c:manualLayout>
              </c:layout>
              <c:tx>
                <c:rich>
                  <a:bodyPr/>
                  <a:lstStyle/>
                  <a:p>
                    <a:fld id="{CCBCEBE7-909A-4215-BA59-3E176634400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50D-47F7-B799-536DD3FB587D}"/>
                </c:ext>
              </c:extLst>
            </c:dLbl>
            <c:dLbl>
              <c:idx val="6"/>
              <c:layout>
                <c:manualLayout>
                  <c:x val="-4.3900515601671089E-2"/>
                  <c:y val="-0.19471312233476801"/>
                </c:manualLayout>
              </c:layout>
              <c:tx>
                <c:rich>
                  <a:bodyPr/>
                  <a:lstStyle/>
                  <a:p>
                    <a:fld id="{7F9C156E-ACFA-4BF9-B1E8-F9CB509AA21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50D-47F7-B799-536DD3FB587D}"/>
                </c:ext>
              </c:extLst>
            </c:dLbl>
            <c:dLbl>
              <c:idx val="7"/>
              <c:layout>
                <c:manualLayout>
                  <c:x val="1.8026531991198975E-2"/>
                  <c:y val="0.27263472904943675"/>
                </c:manualLayout>
              </c:layout>
              <c:tx>
                <c:rich>
                  <a:bodyPr/>
                  <a:lstStyle/>
                  <a:p>
                    <a:fld id="{906D4711-6E15-470D-A618-128506D48FC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50D-47F7-B799-536DD3FB587D}"/>
                </c:ext>
              </c:extLst>
            </c:dLbl>
            <c:dLbl>
              <c:idx val="8"/>
              <c:layout>
                <c:manualLayout>
                  <c:x val="-1.7673012031700974E-2"/>
                  <c:y val="-6.4098169000465929E-2"/>
                </c:manualLayout>
              </c:layout>
              <c:tx>
                <c:rich>
                  <a:bodyPr/>
                  <a:lstStyle/>
                  <a:p>
                    <a:fld id="{B19D63AC-B588-4F45-805A-3F4968F4F01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50D-47F7-B799-536DD3FB587D}"/>
                </c:ext>
              </c:extLst>
            </c:dLbl>
            <c:dLbl>
              <c:idx val="9"/>
              <c:layout>
                <c:manualLayout>
                  <c:x val="2.6413024935690978E-3"/>
                  <c:y val="-7.6575022242022089E-2"/>
                </c:manualLayout>
              </c:layout>
              <c:tx>
                <c:rich>
                  <a:bodyPr/>
                  <a:lstStyle/>
                  <a:p>
                    <a:fld id="{4837B7C7-251F-402D-B59F-51866CCF0E2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50D-47F7-B799-536DD3FB587D}"/>
                </c:ext>
              </c:extLst>
            </c:dLbl>
            <c:dLbl>
              <c:idx val="10"/>
              <c:layout>
                <c:manualLayout>
                  <c:x val="1.3263559698473169E-2"/>
                  <c:y val="9.7115485141656008E-2"/>
                </c:manualLayout>
              </c:layout>
              <c:tx>
                <c:rich>
                  <a:bodyPr/>
                  <a:lstStyle/>
                  <a:p>
                    <a:fld id="{15782A75-74CA-4517-96E8-3BF2A83E7DA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50D-47F7-B799-536DD3FB587D}"/>
                </c:ext>
              </c:extLst>
            </c:dLbl>
            <c:dLbl>
              <c:idx val="11"/>
              <c:layout>
                <c:manualLayout>
                  <c:x val="4.8491403273080852E-2"/>
                  <c:y val="-6.7569364529955059E-2"/>
                </c:manualLayout>
              </c:layout>
              <c:tx>
                <c:rich>
                  <a:bodyPr/>
                  <a:lstStyle/>
                  <a:p>
                    <a:fld id="{80D3BB38-A103-4705-8EBD-AA04398CA93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50D-47F7-B799-536DD3FB587D}"/>
                </c:ext>
              </c:extLst>
            </c:dLbl>
            <c:dLbl>
              <c:idx val="12"/>
              <c:layout>
                <c:manualLayout>
                  <c:x val="3.1054516486610364E-2"/>
                  <c:y val="7.0312656341730229E-2"/>
                </c:manualLayout>
              </c:layout>
              <c:tx>
                <c:rich>
                  <a:bodyPr/>
                  <a:lstStyle/>
                  <a:p>
                    <a:fld id="{3ADECE1F-26A2-4F70-AEE0-C64E4ED5B23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50D-47F7-B799-536DD3FB587D}"/>
                </c:ext>
              </c:extLst>
            </c:dLbl>
            <c:dLbl>
              <c:idx val="13"/>
              <c:layout>
                <c:manualLayout>
                  <c:x val="-8.5351011073453616E-3"/>
                  <c:y val="-6.5988779509344841E-2"/>
                </c:manualLayout>
              </c:layout>
              <c:tx>
                <c:rich>
                  <a:bodyPr/>
                  <a:lstStyle/>
                  <a:p>
                    <a:fld id="{1158F9A9-3024-46ED-BD05-3A7C986A606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50D-47F7-B799-536DD3FB587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A4FEAF4-448A-487A-89B8-2DFFA633E42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50D-47F7-B799-536DD3FB58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FinFET_v98C_FOM_NORMALIZED!$L$18:$Z$18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0.73119999999999996</c:v>
                </c:pt>
                <c:pt idx="3">
                  <c:v>0.78169999999999995</c:v>
                </c:pt>
                <c:pt idx="4">
                  <c:v>0.76880000000000004</c:v>
                </c:pt>
                <c:pt idx="5">
                  <c:v>0.85799999999999998</c:v>
                </c:pt>
                <c:pt idx="6">
                  <c:v>0.80010000000000003</c:v>
                </c:pt>
                <c:pt idx="7">
                  <c:v>0.84470000000000001</c:v>
                </c:pt>
                <c:pt idx="8">
                  <c:v>0.84970000000000001</c:v>
                </c:pt>
                <c:pt idx="9">
                  <c:v>0.7631</c:v>
                </c:pt>
                <c:pt idx="10">
                  <c:v>0.72519999999999996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250D-47F7-B799-536DD3FB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FinFET_v98C_FOM_NORMALIZED!$F$18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3.1877222415915646E-2"/>
                  <c:y val="-1.9712687500198889E-2"/>
                </c:manualLayout>
              </c:layout>
              <c:tx>
                <c:rich>
                  <a:bodyPr/>
                  <a:lstStyle/>
                  <a:p>
                    <a:fld id="{22E7AE4B-E43C-43BE-A558-DD53C3E4E68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50D-47F7-B799-536DD3FB587D}"/>
                </c:ext>
              </c:extLst>
            </c:dLbl>
            <c:dLbl>
              <c:idx val="1"/>
              <c:layout>
                <c:manualLayout>
                  <c:x val="3.9863913281294626E-3"/>
                  <c:y val="9.5710361649573458E-2"/>
                </c:manualLayout>
              </c:layout>
              <c:tx>
                <c:rich>
                  <a:bodyPr/>
                  <a:lstStyle/>
                  <a:p>
                    <a:fld id="{8D681FDF-5354-49CD-BE00-46BDA1465CC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50D-47F7-B799-536DD3FB587D}"/>
                </c:ext>
              </c:extLst>
            </c:dLbl>
            <c:dLbl>
              <c:idx val="2"/>
              <c:layout>
                <c:manualLayout>
                  <c:x val="-3.6813850879010568E-2"/>
                  <c:y val="-0.12703603104700123"/>
                </c:manualLayout>
              </c:layout>
              <c:tx>
                <c:rich>
                  <a:bodyPr/>
                  <a:lstStyle/>
                  <a:p>
                    <a:fld id="{974F1029-FEE9-43D6-BD03-F98E845E6B5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50D-47F7-B799-536DD3FB587D}"/>
                </c:ext>
              </c:extLst>
            </c:dLbl>
            <c:dLbl>
              <c:idx val="3"/>
              <c:layout>
                <c:manualLayout>
                  <c:x val="-2.8685720598851338E-2"/>
                  <c:y val="-0.16538806600732656"/>
                </c:manualLayout>
              </c:layout>
              <c:tx>
                <c:rich>
                  <a:bodyPr/>
                  <a:lstStyle/>
                  <a:p>
                    <a:fld id="{1692D9A5-D8BF-4020-AA3B-1CA1F57F301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50D-47F7-B799-536DD3FB587D}"/>
                </c:ext>
              </c:extLst>
            </c:dLbl>
            <c:dLbl>
              <c:idx val="4"/>
              <c:layout>
                <c:manualLayout>
                  <c:x val="-6.7236542796299148E-2"/>
                  <c:y val="9.0371157292145093E-2"/>
                </c:manualLayout>
              </c:layout>
              <c:tx>
                <c:rich>
                  <a:bodyPr/>
                  <a:lstStyle/>
                  <a:p>
                    <a:fld id="{F53250E5-43CF-416E-8E8D-BE6D2DD09A1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50D-47F7-B799-536DD3FB58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250D-47F7-B799-536DD3FB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V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TH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(V)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032650582673274"/>
              <c:y val="0.43509328771629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3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23684434813521"/>
          <c:y val="0.59283374632527686"/>
          <c:w val="0.22077868258013714"/>
          <c:h val="0.13127701869044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FinFET_v98C_FOM_NORMALIZED!$F$18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472C538-C5BA-4DA0-A14C-F351BA3AA03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917-49F8-ADC7-785B8C9061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1A4495-E242-4E6B-9B18-440BE2FAB74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917-49F8-ADC7-785B8C9061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A1DC5D-2A70-472C-B816-37E15EC66D3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917-49F8-ADC7-785B8C9061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75C6A1-2EB3-4420-BC3C-5D5AB408BFB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17-49F8-ADC7-785B8C9061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6AA8CC-374E-4BB3-B701-C090192199F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17-49F8-ADC7-785B8C90616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FF0303C-3FF0-4373-BC1A-54922B2D716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17-49F8-ADC7-785B8C90616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5B6CD90-5BE6-496A-92DD-26F4D91B997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17-49F8-ADC7-785B8C90616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CD53E7F-F3CD-49F6-A504-9B563A0FE85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17-49F8-ADC7-785B8C90616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378512E-D5EB-4E2C-898B-261A1267E54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17-49F8-ADC7-785B8C90616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F1A7E92-DEEA-4B5A-A260-544ABF0D6F9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17-49F8-ADC7-785B8C90616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DF88A9A-AFD5-45E8-A45F-092BB111C7C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17-49F8-ADC7-785B8C90616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E90B9CD-308A-4EF4-9202-29C233A82C0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17-49F8-ADC7-785B8C90616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115A5A8-39D4-41C3-B4EA-4739A5F35FC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17-49F8-ADC7-785B8C90616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4439DF5-9020-43F4-ABB2-D433AD6208B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17-49F8-ADC7-785B8C90616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296D3BF-8A8A-44B5-BD35-655197D7BE8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17-49F8-ADC7-785B8C906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FinFET_v98C_FOM_NORMALIZED!$L$13:$Z$13</c:f>
              <c:numCache>
                <c:formatCode>0.0</c:formatCode>
                <c:ptCount val="15"/>
                <c:pt idx="0" formatCode="General">
                  <c:v>9</c:v>
                </c:pt>
                <c:pt idx="1">
                  <c:v>7.4666666666666659</c:v>
                </c:pt>
                <c:pt idx="2">
                  <c:v>6.8999999999999995</c:v>
                </c:pt>
                <c:pt idx="3">
                  <c:v>6.333333333333333</c:v>
                </c:pt>
                <c:pt idx="4">
                  <c:v>5.8999999999999995</c:v>
                </c:pt>
                <c:pt idx="5">
                  <c:v>5.416666666666667</c:v>
                </c:pt>
                <c:pt idx="6">
                  <c:v>5.833333333333333</c:v>
                </c:pt>
                <c:pt idx="7">
                  <c:v>5.7</c:v>
                </c:pt>
                <c:pt idx="8">
                  <c:v>5.6333333333333329</c:v>
                </c:pt>
                <c:pt idx="9">
                  <c:v>6.1166666666666671</c:v>
                </c:pt>
                <c:pt idx="10">
                  <c:v>6.25</c:v>
                </c:pt>
                <c:pt idx="11">
                  <c:v>4.3500000000000005</c:v>
                </c:pt>
                <c:pt idx="12">
                  <c:v>4.5666666666666664</c:v>
                </c:pt>
                <c:pt idx="13">
                  <c:v>3.7833333333333332</c:v>
                </c:pt>
                <c:pt idx="14" formatCode="General">
                  <c:v>3.5</c:v>
                </c:pt>
              </c:numCache>
            </c:numRef>
          </c:xVal>
          <c:yVal>
            <c:numRef>
              <c:f>FinFET_v98C_FOM_NORMALIZED!$L$18:$Z$18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0.73119999999999996</c:v>
                </c:pt>
                <c:pt idx="3">
                  <c:v>0.78169999999999995</c:v>
                </c:pt>
                <c:pt idx="4">
                  <c:v>0.76880000000000004</c:v>
                </c:pt>
                <c:pt idx="5">
                  <c:v>0.85799999999999998</c:v>
                </c:pt>
                <c:pt idx="6">
                  <c:v>0.80010000000000003</c:v>
                </c:pt>
                <c:pt idx="7">
                  <c:v>0.84470000000000001</c:v>
                </c:pt>
                <c:pt idx="8">
                  <c:v>0.84970000000000001</c:v>
                </c:pt>
                <c:pt idx="9">
                  <c:v>0.7631</c:v>
                </c:pt>
                <c:pt idx="10">
                  <c:v>0.72519999999999996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FinFET_v98C_FOM_NORMALIZED!$L$29:$Z$29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917-49F8-ADC7-785B8C906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FinFET_v98C_FOM_NORMALIZED!$F$18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1528D8-C126-4C0E-AB5B-89F30EB027D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17-49F8-ADC7-785B8C9061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4BE78E-EE83-43E7-94F8-C7530968A9E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17-49F8-ADC7-785B8C906166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F4A34DD1-2736-480B-97B8-37E0D782D35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917-49F8-ADC7-785B8C906166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97ACA5B7-E71B-4F91-AC8E-5591E723068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917-49F8-ADC7-785B8C906166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A5B87CD7-E955-4C82-8E33-1A4DAD0B637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917-49F8-ADC7-785B8C906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FinFET_v98C_FOM_NORMALIZED!$G$18:$K$18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A917-49F8-ADC7-785B8C906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5174660883558"/>
          <c:y val="0.11068973912061703"/>
          <c:w val="0.81678541668617222"/>
          <c:h val="0.74149275386603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FinFET_v98C_FOM_NORMALIZED!$F$25</c:f>
              <c:strCache>
                <c:ptCount val="1"/>
                <c:pt idx="0">
                  <c:v>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6081942801307389E-2"/>
                  <c:y val="-3.0373513115715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SiO2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752-4626-8DF1-5370099FED2F}"/>
                </c:ext>
              </c:extLst>
            </c:dLbl>
            <c:dLbl>
              <c:idx val="1"/>
              <c:layout>
                <c:manualLayout>
                  <c:x val="-2.910785628169257E-2"/>
                  <c:y val="-8.92093527058209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Al2O3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752-4626-8DF1-5370099FED2F}"/>
                </c:ext>
              </c:extLst>
            </c:dLbl>
            <c:dLbl>
              <c:idx val="2"/>
              <c:layout>
                <c:manualLayout>
                  <c:x val="-1.5286906076449024E-2"/>
                  <c:y val="-0.106476694900312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HfO2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752-4626-8DF1-5370099FED2F}"/>
                </c:ext>
              </c:extLst>
            </c:dLbl>
            <c:dLbl>
              <c:idx val="3"/>
              <c:layout>
                <c:manualLayout>
                  <c:x val="2.1508535366310491E-2"/>
                  <c:y val="0.1042969328528206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La2O3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752-4626-8DF1-5370099FED2F}"/>
                </c:ext>
              </c:extLst>
            </c:dLbl>
            <c:dLbl>
              <c:idx val="4"/>
              <c:layout>
                <c:manualLayout>
                  <c:x val="-2.0774099659517414E-2"/>
                  <c:y val="-4.71545419649827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TiO2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752-4626-8DF1-5370099FED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FinFET_v98C_FOM_NORMALIZED!$G$25:$K$25</c:f>
              <c:numCache>
                <c:formatCode>0.00E+00</c:formatCode>
                <c:ptCount val="5"/>
                <c:pt idx="0">
                  <c:v>3.5499100140000001E-14</c:v>
                </c:pt>
                <c:pt idx="1">
                  <c:v>4.2756333009999998E-16</c:v>
                </c:pt>
                <c:pt idx="2">
                  <c:v>7.4843940040000001E-16</c:v>
                </c:pt>
                <c:pt idx="3">
                  <c:v>1.4999248239999999E-15</c:v>
                </c:pt>
                <c:pt idx="4">
                  <c:v>1.483032294E-14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52-4626-8DF1-5370099FED2F}"/>
            </c:ext>
          </c:extLst>
        </c:ser>
        <c:ser>
          <c:idx val="1"/>
          <c:order val="1"/>
          <c:tx>
            <c:strRef>
              <c:f>FinFET_v98C_FOM_NORMALIZED!$E$25</c:f>
              <c:strCache>
                <c:ptCount val="1"/>
                <c:pt idx="0">
                  <c:v>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4.8081240460460514E-2"/>
                  <c:y val="-3.15691797216565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​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752-4626-8DF1-5370099FED2F}"/>
                </c:ext>
              </c:extLst>
            </c:dLbl>
            <c:dLbl>
              <c:idx val="1"/>
              <c:layout>
                <c:manualLayout>
                  <c:x val="1.1851190398852221E-2"/>
                  <c:y val="-3.72321958658716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752-4626-8DF1-5370099FED2F}"/>
                </c:ext>
              </c:extLst>
            </c:dLbl>
            <c:dLbl>
              <c:idx val="2"/>
              <c:layout>
                <c:manualLayout>
                  <c:x val="-2.664664466658697E-2"/>
                  <c:y val="-8.1995232486794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752-4626-8DF1-5370099FED2F}"/>
                </c:ext>
              </c:extLst>
            </c:dLbl>
            <c:dLbl>
              <c:idx val="3"/>
              <c:layout>
                <c:manualLayout>
                  <c:x val="-3.8563073645074683E-3"/>
                  <c:y val="5.10666958171419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752-4626-8DF1-5370099FED2F}"/>
                </c:ext>
              </c:extLst>
            </c:dLbl>
            <c:dLbl>
              <c:idx val="4"/>
              <c:layout>
                <c:manualLayout>
                  <c:x val="4.0217266396247488E-3"/>
                  <c:y val="4.17186496651683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752-4626-8DF1-5370099FED2F}"/>
                </c:ext>
              </c:extLst>
            </c:dLbl>
            <c:dLbl>
              <c:idx val="5"/>
              <c:layout>
                <c:manualLayout>
                  <c:x val="-7.631011043593431E-3"/>
                  <c:y val="-5.85522557531048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752-4626-8DF1-5370099FED2F}"/>
                </c:ext>
              </c:extLst>
            </c:dLbl>
            <c:dLbl>
              <c:idx val="6"/>
              <c:layout>
                <c:manualLayout>
                  <c:x val="8.488505195034652E-3"/>
                  <c:y val="5.28148440862869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752-4626-8DF1-5370099FED2F}"/>
                </c:ext>
              </c:extLst>
            </c:dLbl>
            <c:dLbl>
              <c:idx val="7"/>
              <c:layout>
                <c:manualLayout>
                  <c:x val="-8.2886795554727843E-3"/>
                  <c:y val="-9.99627768800321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8752-4626-8DF1-5370099FED2F}"/>
                </c:ext>
              </c:extLst>
            </c:dLbl>
            <c:dLbl>
              <c:idx val="8"/>
              <c:layout>
                <c:manualLayout>
                  <c:x val="2.286919613145694E-3"/>
                  <c:y val="-3.09862186249674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8752-4626-8DF1-5370099FED2F}"/>
                </c:ext>
              </c:extLst>
            </c:dLbl>
            <c:dLbl>
              <c:idx val="9"/>
              <c:layout>
                <c:manualLayout>
                  <c:x val="-3.4599014657222656E-2"/>
                  <c:y val="7.070870917464190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8752-4626-8DF1-5370099FED2F}"/>
                </c:ext>
              </c:extLst>
            </c:dLbl>
            <c:dLbl>
              <c:idx val="10"/>
              <c:layout>
                <c:manualLayout>
                  <c:x val="9.9767417647029649E-3"/>
                  <c:y val="5.99652310057618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8752-4626-8DF1-5370099FED2F}"/>
                </c:ext>
              </c:extLst>
            </c:dLbl>
            <c:dLbl>
              <c:idx val="11"/>
              <c:layout>
                <c:manualLayout>
                  <c:x val="-1.3091956947314676E-2"/>
                  <c:y val="-0.1075412982577463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8752-4626-8DF1-5370099FED2F}"/>
                </c:ext>
              </c:extLst>
            </c:dLbl>
            <c:dLbl>
              <c:idx val="12"/>
              <c:layout>
                <c:manualLayout>
                  <c:x val="1.3068785342098118E-3"/>
                  <c:y val="-5.46204300240627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8752-4626-8DF1-5370099FED2F}"/>
                </c:ext>
              </c:extLst>
            </c:dLbl>
            <c:dLbl>
              <c:idx val="13"/>
              <c:layout>
                <c:manualLayout>
                  <c:x val="-9.3395707629011452E-3"/>
                  <c:y val="6.55910184669014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8752-4626-8DF1-5370099FED2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8752-4626-8DF1-5370099FED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FinFET_v98C_FOM_NORMALIZED!$L$25:$Z$25</c:f>
              <c:numCache>
                <c:formatCode>0.00E+00</c:formatCode>
                <c:ptCount val="15"/>
                <c:pt idx="0">
                  <c:v>3.5499100140000001E-14</c:v>
                </c:pt>
                <c:pt idx="1">
                  <c:v>3.2803418760000001E-16</c:v>
                </c:pt>
                <c:pt idx="2">
                  <c:v>3.716788569E-17</c:v>
                </c:pt>
                <c:pt idx="3">
                  <c:v>2.2342132890000001E-17</c:v>
                </c:pt>
                <c:pt idx="4">
                  <c:v>1.9312871429999999E-16</c:v>
                </c:pt>
                <c:pt idx="5">
                  <c:v>1.0119630439999999E-15</c:v>
                </c:pt>
                <c:pt idx="6">
                  <c:v>1.3535978149999999E-16</c:v>
                </c:pt>
                <c:pt idx="7">
                  <c:v>7.4776230850000004E-16</c:v>
                </c:pt>
                <c:pt idx="8">
                  <c:v>1.2531103650000001E-15</c:v>
                </c:pt>
                <c:pt idx="9">
                  <c:v>2.2839110080000001E-16</c:v>
                </c:pt>
                <c:pt idx="10">
                  <c:v>4.7144181870000002E-17</c:v>
                </c:pt>
                <c:pt idx="11">
                  <c:v>4.2920780240000002E-15</c:v>
                </c:pt>
                <c:pt idx="12">
                  <c:v>3.9813840200000001E-15</c:v>
                </c:pt>
                <c:pt idx="13">
                  <c:v>3.3363251519999998E-15</c:v>
                </c:pt>
                <c:pt idx="14">
                  <c:v>1.483032294E-14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752-4626-8DF1-5370099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4838447122761"/>
              <c:y val="0.1285631711573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7E-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tx1"/>
                    </a:solidFill>
                  </a:rPr>
                  <a:t>I</a:t>
                </a:r>
                <a:r>
                  <a:rPr lang="tr-TR" sz="1400" baseline="-25000">
                    <a:solidFill>
                      <a:schemeClr val="tx1"/>
                    </a:solidFill>
                  </a:rPr>
                  <a:t>OFF</a:t>
                </a:r>
                <a:r>
                  <a:rPr lang="tr-TR" sz="1400" baseline="0">
                    <a:solidFill>
                      <a:schemeClr val="tx1"/>
                    </a:solidFill>
                  </a:rPr>
                  <a:t> (A)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8749630358368164E-2"/>
              <c:y val="0.39129683903112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349999999999999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621467473729717"/>
          <c:y val="0.45941301950384933"/>
          <c:w val="0.18427804698758082"/>
          <c:h val="9.936088303792628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FinFET_v98C_FOM_NORMALIZED!$F$21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1F343B8-45FC-49EA-81B2-671A34145B0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A90-4B0F-84D4-05F7E1C56602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29407245-2F89-4317-A5D1-6E56B05E9AE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A90-4B0F-84D4-05F7E1C56602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A868DEFF-E3FF-4465-9A84-36A5E445F2D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A90-4B0F-84D4-05F7E1C56602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4756816A-DC5A-497B-83F5-99D71F2ACFB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A90-4B0F-84D4-05F7E1C56602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21D097B3-B466-4B5B-B7E0-5CB7B62DEE2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A90-4B0F-84D4-05F7E1C566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A90-4B0F-84D4-05F7E1C56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FinFET_v98C_FOM_NORMALIZED!$F$27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552ECF3-23BA-4F9D-A026-E088B528AA0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322-4D1B-B887-11BD98D9BC0F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01E3CBA5-591E-4F89-9BA8-44DF518EEF6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322-4D1B-B887-11BD98D9BC0F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E0DF9124-3965-450F-A775-C1566CF7E62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322-4D1B-B887-11BD98D9BC0F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2D309C2C-DCDA-486C-B025-3460ACDC971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322-4D1B-B887-11BD98D9BC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8304FEF-07FA-44FB-B635-0BD55C439EA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322-4D1B-B887-11BD98D9B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FinFET_v98C_FOM_NORMALIZED!$G$24:$K$24</c:f>
              <c:numCache>
                <c:formatCode>0.00E+00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322-4D1B-B887-11BD98D9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FinFET_v98C_FOM_NORMALIZED!$F$26</c:f>
              <c:strCache>
                <c:ptCount val="1"/>
                <c:pt idx="0">
                  <c:v>ION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1C71A5B-9077-4AAA-910E-0C90EDFAAFF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D39-4173-8AFC-6C394598E7F1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B2DCDDBB-7F03-4E59-B1F3-5F5490628A4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D39-4173-8AFC-6C394598E7F1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375327DD-3B26-4092-8843-1F3CED9E2B7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D39-4173-8AFC-6C394598E7F1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569D0524-7AEA-4361-8216-401900F93B9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D39-4173-8AFC-6C394598E7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C3248C3-20E6-4033-B54A-3609D6DF8E4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D39-4173-8AFC-6C394598E7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FinFET_v98C_FOM_NORMALIZED!$G$26:$K$26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D39-4173-8AFC-6C394598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FinFET_v98C_FOM_NORMALIZED!$F$18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16E8F22-837F-4625-8CF4-0F11895A5D7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4B6-4BF2-A79E-1B439B934FF2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C9A9AA35-2420-4ACE-8061-8BD7630FF1F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4B6-4BF2-A79E-1B439B934FF2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CB206EFE-99E6-4081-9422-C934E6D3351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4B6-4BF2-A79E-1B439B934FF2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5D9C0B71-CC99-4C24-B9B2-CD21EF23028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4B6-4BF2-A79E-1B439B934F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D1160B-0EF2-4E20-A614-8F188C9F7FD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4B6-4BF2-A79E-1B439B934F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74B6-4BF2-A79E-1B439B934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FinFET_v98C_FOM_NORMALIZED!$F$21</c:f>
              <c:strCache>
                <c:ptCount val="1"/>
                <c:pt idx="0">
                  <c:v>DIBL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BE4EE9D-85B1-471E-BA55-94FFBB128B8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537-464B-909B-4F75198CCB9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7D27D4-11C1-42F7-AC75-D55853C06D7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537-464B-909B-4F75198CCB93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72C2C528-A7E5-4583-900B-5589F64C157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537-464B-909B-4F75198CCB93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786C1CAE-D47E-4AA4-877F-C4D22D403FB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537-464B-909B-4F75198CCB93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E5CE94ED-8E74-4554-AD5C-9BF712E3B53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537-464B-909B-4F75198CC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FinFET_v98C_FOM_NORMALIZED!$G$21:$K$21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537-464B-909B-4F75198C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FinFET_v98C_FOM_NORMALIZED!$F$19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0A21BB0-70A8-4ADB-B294-9EA86185C37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764-4731-93A8-023D8FB1F39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C64895-3DD3-4737-BFAB-275C225BB06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764-4731-93A8-023D8FB1F39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3A2D74E-95AF-4486-AE48-637F70C3D4C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764-4731-93A8-023D8FB1F39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D52D2A-72DF-4063-AF2F-638C52A0FE5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764-4731-93A8-023D8FB1F39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86B10E-27BC-4564-A553-5FF1B925752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764-4731-93A8-023D8FB1F3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764-4731-93A8-023D8FB1F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FinFET_v98C_FOM_NORMALIZED!$E$19</c:f>
              <c:strCache>
                <c:ptCount val="1"/>
                <c:pt idx="0">
                  <c:v>SS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  <a:prstDash val="sys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F50A12F-3E85-477A-B9BE-23E5AFD74EB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2D3-44A5-86F3-52D5600C68AE}"/>
                </c:ext>
              </c:extLst>
            </c:dLbl>
            <c:dLbl>
              <c:idx val="1"/>
              <c:layout>
                <c:manualLayout>
                  <c:x val="1.1894185205033376E-2"/>
                  <c:y val="-4.7351937433413233E-2"/>
                </c:manualLayout>
              </c:layout>
              <c:tx>
                <c:rich>
                  <a:bodyPr/>
                  <a:lstStyle/>
                  <a:p>
                    <a:fld id="{BD6D6706-382A-4276-8BBD-96D5EB6F1C6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2D3-44A5-86F3-52D5600C68AE}"/>
                </c:ext>
              </c:extLst>
            </c:dLbl>
            <c:dLbl>
              <c:idx val="2"/>
              <c:layout>
                <c:manualLayout>
                  <c:x val="-2.7625703954335046E-2"/>
                  <c:y val="4.0990833536721324E-2"/>
                </c:manualLayout>
              </c:layout>
              <c:tx>
                <c:rich>
                  <a:bodyPr/>
                  <a:lstStyle/>
                  <a:p>
                    <a:fld id="{EDEC06AA-54A1-4509-8765-00B1157B081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2D3-44A5-86F3-52D5600C68AE}"/>
                </c:ext>
              </c:extLst>
            </c:dLbl>
            <c:dLbl>
              <c:idx val="3"/>
              <c:layout>
                <c:manualLayout>
                  <c:x val="-9.8034304602921587E-3"/>
                  <c:y val="-0.11954528610829629"/>
                </c:manualLayout>
              </c:layout>
              <c:tx>
                <c:rich>
                  <a:bodyPr/>
                  <a:lstStyle/>
                  <a:p>
                    <a:fld id="{330E61EA-26CC-4450-BA0E-55FADC42CF3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2D3-44A5-86F3-52D5600C68AE}"/>
                </c:ext>
              </c:extLst>
            </c:dLbl>
            <c:dLbl>
              <c:idx val="4"/>
              <c:layout>
                <c:manualLayout>
                  <c:x val="-2.4908774732837487E-2"/>
                  <c:y val="7.1998669226930379E-2"/>
                </c:manualLayout>
              </c:layout>
              <c:tx>
                <c:rich>
                  <a:bodyPr/>
                  <a:lstStyle/>
                  <a:p>
                    <a:fld id="{AA0C06E4-2DEB-4319-8EFC-AA24B1F9D2B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2D3-44A5-86F3-52D5600C68AE}"/>
                </c:ext>
              </c:extLst>
            </c:dLbl>
            <c:dLbl>
              <c:idx val="5"/>
              <c:layout>
                <c:manualLayout>
                  <c:x val="-1.8343507893436053E-2"/>
                  <c:y val="-7.9991215180443678E-2"/>
                </c:manualLayout>
              </c:layout>
              <c:tx>
                <c:rich>
                  <a:bodyPr/>
                  <a:lstStyle/>
                  <a:p>
                    <a:fld id="{E6EE8A83-76FC-4E41-8B1C-9263499DFDD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2D3-44A5-86F3-52D5600C68AE}"/>
                </c:ext>
              </c:extLst>
            </c:dLbl>
            <c:dLbl>
              <c:idx val="6"/>
              <c:layout>
                <c:manualLayout>
                  <c:x val="-1.1993631103068465E-2"/>
                  <c:y val="-6.6728269408469487E-2"/>
                </c:manualLayout>
              </c:layout>
              <c:tx>
                <c:rich>
                  <a:bodyPr/>
                  <a:lstStyle/>
                  <a:p>
                    <a:fld id="{9B8EC262-9313-42D9-B104-6588E7705E9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2D3-44A5-86F3-52D5600C68AE}"/>
                </c:ext>
              </c:extLst>
            </c:dLbl>
            <c:dLbl>
              <c:idx val="7"/>
              <c:layout>
                <c:manualLayout>
                  <c:x val="1.5985413374055769E-2"/>
                  <c:y val="-2.2222564103550255E-2"/>
                </c:manualLayout>
              </c:layout>
              <c:tx>
                <c:rich>
                  <a:bodyPr/>
                  <a:lstStyle/>
                  <a:p>
                    <a:fld id="{9D3A08A1-45CD-4F33-BA69-5578F33D8B3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2D3-44A5-86F3-52D5600C68AE}"/>
                </c:ext>
              </c:extLst>
            </c:dLbl>
            <c:dLbl>
              <c:idx val="8"/>
              <c:layout>
                <c:manualLayout>
                  <c:x val="-1.0498589675853858E-2"/>
                  <c:y val="7.0935122232767489E-2"/>
                </c:manualLayout>
              </c:layout>
              <c:tx>
                <c:rich>
                  <a:bodyPr/>
                  <a:lstStyle/>
                  <a:p>
                    <a:fld id="{8167193B-CC6D-44EA-A22D-AD62629827A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2D3-44A5-86F3-52D5600C68AE}"/>
                </c:ext>
              </c:extLst>
            </c:dLbl>
            <c:dLbl>
              <c:idx val="9"/>
              <c:layout>
                <c:manualLayout>
                  <c:x val="-1.4581368229908112E-2"/>
                  <c:y val="5.3941117137837807E-2"/>
                </c:manualLayout>
              </c:layout>
              <c:tx>
                <c:rich>
                  <a:bodyPr/>
                  <a:lstStyle/>
                  <a:p>
                    <a:fld id="{75071996-69AB-43A8-8493-5ABA9E4DE87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2D3-44A5-86F3-52D5600C68AE}"/>
                </c:ext>
              </c:extLst>
            </c:dLbl>
            <c:dLbl>
              <c:idx val="10"/>
              <c:layout>
                <c:manualLayout>
                  <c:x val="-1.2779398713270216E-2"/>
                  <c:y val="-8.9155587916205301E-2"/>
                </c:manualLayout>
              </c:layout>
              <c:tx>
                <c:rich>
                  <a:bodyPr/>
                  <a:lstStyle/>
                  <a:p>
                    <a:fld id="{B1EC15B6-4C0F-49E7-8E32-60AAEC0F8F3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2D3-44A5-86F3-52D5600C68AE}"/>
                </c:ext>
              </c:extLst>
            </c:dLbl>
            <c:dLbl>
              <c:idx val="11"/>
              <c:layout>
                <c:manualLayout>
                  <c:x val="-1.375536331249618E-2"/>
                  <c:y val="9.7183024820124392E-2"/>
                </c:manualLayout>
              </c:layout>
              <c:tx>
                <c:rich>
                  <a:bodyPr/>
                  <a:lstStyle/>
                  <a:p>
                    <a:fld id="{017F4486-3874-460E-B067-BFA1B172EDA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2D3-44A5-86F3-52D5600C68AE}"/>
                </c:ext>
              </c:extLst>
            </c:dLbl>
            <c:dLbl>
              <c:idx val="12"/>
              <c:layout>
                <c:manualLayout>
                  <c:x val="-2.003533791884906E-2"/>
                  <c:y val="5.6379034324066615E-2"/>
                </c:manualLayout>
              </c:layout>
              <c:tx>
                <c:rich>
                  <a:bodyPr/>
                  <a:lstStyle/>
                  <a:p>
                    <a:fld id="{7CDCCE82-3696-4D8C-B67F-2510B9BCE71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2D3-44A5-86F3-52D5600C68AE}"/>
                </c:ext>
              </c:extLst>
            </c:dLbl>
            <c:dLbl>
              <c:idx val="13"/>
              <c:layout>
                <c:manualLayout>
                  <c:x val="-4.1892070193956854E-2"/>
                  <c:y val="6.3426413614574947E-2"/>
                </c:manualLayout>
              </c:layout>
              <c:tx>
                <c:rich>
                  <a:bodyPr/>
                  <a:lstStyle/>
                  <a:p>
                    <a:fld id="{D51C0342-3C93-4AEC-93A0-12C3887CD76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2D3-44A5-86F3-52D5600C68A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934620D-1DC6-40C6-BD20-9ED62CB4C3D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2D3-44A5-86F3-52D5600C6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FinFET_v98C_FOM_NORMALIZED!$L$19:$Z$19</c:f>
              <c:numCache>
                <c:formatCode>General</c:formatCode>
                <c:ptCount val="15"/>
                <c:pt idx="0">
                  <c:v>89.6</c:v>
                </c:pt>
                <c:pt idx="1">
                  <c:v>82.6</c:v>
                </c:pt>
                <c:pt idx="2">
                  <c:v>78.900000000000006</c:v>
                </c:pt>
                <c:pt idx="3">
                  <c:v>81.099999999999994</c:v>
                </c:pt>
                <c:pt idx="4">
                  <c:v>76.8</c:v>
                </c:pt>
                <c:pt idx="5">
                  <c:v>80.3</c:v>
                </c:pt>
                <c:pt idx="6">
                  <c:v>81.7</c:v>
                </c:pt>
                <c:pt idx="7">
                  <c:v>82</c:v>
                </c:pt>
                <c:pt idx="8">
                  <c:v>79</c:v>
                </c:pt>
                <c:pt idx="9">
                  <c:v>76.2</c:v>
                </c:pt>
                <c:pt idx="10">
                  <c:v>77.099999999999994</c:v>
                </c:pt>
                <c:pt idx="11">
                  <c:v>79.8</c:v>
                </c:pt>
                <c:pt idx="12">
                  <c:v>78.3</c:v>
                </c:pt>
                <c:pt idx="13">
                  <c:v>77</c:v>
                </c:pt>
                <c:pt idx="1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2D3-44A5-86F3-52D5600C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FinFET_v98C_FOM_NORMALIZED!$F$19</c:f>
              <c:strCache>
                <c:ptCount val="1"/>
                <c:pt idx="0">
                  <c:v>SS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3641171246000693E-2"/>
                  <c:y val="-4.0873105572259469E-2"/>
                </c:manualLayout>
              </c:layout>
              <c:tx>
                <c:rich>
                  <a:bodyPr/>
                  <a:lstStyle/>
                  <a:p>
                    <a:fld id="{AB1E02A6-6B80-41F2-8DB6-9DBC0418D48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2D3-44A5-86F3-52D5600C68AE}"/>
                </c:ext>
              </c:extLst>
            </c:dLbl>
            <c:dLbl>
              <c:idx val="1"/>
              <c:layout>
                <c:manualLayout>
                  <c:x val="1.3167881790248725E-2"/>
                  <c:y val="-4.9451696267995941E-2"/>
                </c:manualLayout>
              </c:layout>
              <c:tx>
                <c:rich>
                  <a:bodyPr/>
                  <a:lstStyle/>
                  <a:p>
                    <a:fld id="{561AE947-FEA4-4E81-B3B8-01508376E7A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2D3-44A5-86F3-52D5600C68AE}"/>
                </c:ext>
              </c:extLst>
            </c:dLbl>
            <c:dLbl>
              <c:idx val="2"/>
              <c:layout>
                <c:manualLayout>
                  <c:x val="-6.9869649478826699E-3"/>
                  <c:y val="-7.3756361456831829E-2"/>
                </c:manualLayout>
              </c:layout>
              <c:tx>
                <c:rich>
                  <a:bodyPr/>
                  <a:lstStyle/>
                  <a:p>
                    <a:fld id="{A0FB4894-C12F-4642-842C-B3931E4F683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2D3-44A5-86F3-52D5600C68AE}"/>
                </c:ext>
              </c:extLst>
            </c:dLbl>
            <c:dLbl>
              <c:idx val="3"/>
              <c:layout>
                <c:manualLayout>
                  <c:x val="1.0829801039757999E-2"/>
                  <c:y val="-4.5647061585301026E-2"/>
                </c:manualLayout>
              </c:layout>
              <c:tx>
                <c:rich>
                  <a:bodyPr/>
                  <a:lstStyle/>
                  <a:p>
                    <a:fld id="{A532A9AC-B06F-41FA-9656-5338E2BBB39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2D3-44A5-86F3-52D5600C68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F957FE-1EF0-46CE-BF3D-3A6A9137178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2D3-44A5-86F3-52D5600C6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FinFET_v98C_FOM_NORMALIZED!$G$19:$K$19</c:f>
              <c:numCache>
                <c:formatCode>General</c:formatCode>
                <c:ptCount val="5"/>
                <c:pt idx="0">
                  <c:v>89.6</c:v>
                </c:pt>
                <c:pt idx="1">
                  <c:v>87.8</c:v>
                </c:pt>
                <c:pt idx="2">
                  <c:v>82.5</c:v>
                </c:pt>
                <c:pt idx="3">
                  <c:v>81.8</c:v>
                </c:pt>
                <c:pt idx="4">
                  <c:v>76.2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F2D3-44A5-86F3-52D5600C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At val="3.9"/>
        <c:crossBetween val="midCat"/>
        <c:minorUnit val="1"/>
      </c:valAx>
      <c:valAx>
        <c:axId val="363195216"/>
        <c:scaling>
          <c:orientation val="minMax"/>
          <c:max val="90"/>
          <c:min val="7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SS (mV/decade)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2737627967246"/>
              <c:y val="0.3632886878245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3499999999999996"/>
        <c:crossBetween val="midCat"/>
        <c:majorUnit val="5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80705470406246"/>
          <c:y val="0.14705776471921889"/>
          <c:w val="0.23186483319188161"/>
          <c:h val="0.186311484991868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FinFET_v9_Makale_Try_La2O3.in!$G$2</c:f>
              <c:strCache>
                <c:ptCount val="1"/>
                <c:pt idx="0">
                  <c:v>SS (mV/dec)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FinFET_v9_Makale_Try_La2O3.in!$D$3:$D$8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FinFET_v9_Makale_Try_La2O3.in!$G$3:$G$8</c:f>
              <c:numCache>
                <c:formatCode>General</c:formatCode>
                <c:ptCount val="6"/>
                <c:pt idx="0">
                  <c:v>63.8</c:v>
                </c:pt>
                <c:pt idx="1">
                  <c:v>61.1</c:v>
                </c:pt>
                <c:pt idx="2">
                  <c:v>59.7</c:v>
                </c:pt>
                <c:pt idx="3">
                  <c:v>59.8</c:v>
                </c:pt>
                <c:pt idx="4">
                  <c:v>59.7</c:v>
                </c:pt>
                <c:pt idx="5">
                  <c:v>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7-42BC-ADFD-3D080A33D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FinFET_v98C_FOM_NORMALIZED!$F$18</c:f>
              <c:strCache>
                <c:ptCount val="1"/>
                <c:pt idx="0">
                  <c:v>VTH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CFCE1CD-9C19-4142-BC0F-023167EE042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88D-4A82-9F75-DD98821877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8D43DD-683B-4DDD-BB84-6C8E3079351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8D-4A82-9F75-DD98821877A9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5CF93F29-36DE-43FA-B9E7-024324E76F4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88D-4A82-9F75-DD98821877A9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A46B64CA-CFE9-4B2B-B002-33ECBC1544B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88D-4A82-9F75-DD98821877A9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7965F892-1457-4F9C-B89C-E3DB65F35CB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88D-4A82-9F75-DD98821877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FinFET_v98C_FOM_NORMALIZED!$G$13:$K$13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FinFET_v98C_FOM_NORMALIZED!$G$18:$K$18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88D-4A82-9F75-DD9882187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FinFET_v98C_FOM_NORMALIZED!$E$27</c:f>
              <c:strCache>
                <c:ptCount val="1"/>
                <c:pt idx="0">
                  <c:v>ION/IOFF w/ FGM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6C5207-FAEB-46C0-9572-76F79A5FA84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579-4433-984D-BC7EB05EB73D}"/>
                </c:ext>
              </c:extLst>
            </c:dLbl>
            <c:dLbl>
              <c:idx val="1"/>
              <c:layout>
                <c:manualLayout>
                  <c:x val="-8.1818866285334989E-3"/>
                  <c:y val="-0.10440107311112189"/>
                </c:manualLayout>
              </c:layout>
              <c:tx>
                <c:rich>
                  <a:bodyPr/>
                  <a:lstStyle/>
                  <a:p>
                    <a:fld id="{D8C2202B-D69A-4058-B7F1-DE7474DDBBA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579-4433-984D-BC7EB05EB73D}"/>
                </c:ext>
              </c:extLst>
            </c:dLbl>
            <c:dLbl>
              <c:idx val="2"/>
              <c:layout>
                <c:manualLayout>
                  <c:x val="-5.053758778308666E-2"/>
                  <c:y val="-0.1164898111713179"/>
                </c:manualLayout>
              </c:layout>
              <c:tx>
                <c:rich>
                  <a:bodyPr/>
                  <a:lstStyle/>
                  <a:p>
                    <a:fld id="{6D9C3423-673D-42B1-9E1A-2D781047C10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579-4433-984D-BC7EB05EB73D}"/>
                </c:ext>
              </c:extLst>
            </c:dLbl>
            <c:dLbl>
              <c:idx val="3"/>
              <c:layout>
                <c:manualLayout>
                  <c:x val="3.3846447131309083E-2"/>
                  <c:y val="-5.2666218601758616E-2"/>
                </c:manualLayout>
              </c:layout>
              <c:tx>
                <c:rich>
                  <a:bodyPr/>
                  <a:lstStyle/>
                  <a:p>
                    <a:fld id="{3EB6E71F-95FD-4D77-8DE1-7BDABA1E37D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579-4433-984D-BC7EB05EB73D}"/>
                </c:ext>
              </c:extLst>
            </c:dLbl>
            <c:dLbl>
              <c:idx val="4"/>
              <c:layout>
                <c:manualLayout>
                  <c:x val="8.6046859575578515E-3"/>
                  <c:y val="-9.7747311842950504E-2"/>
                </c:manualLayout>
              </c:layout>
              <c:tx>
                <c:rich>
                  <a:bodyPr/>
                  <a:lstStyle/>
                  <a:p>
                    <a:fld id="{86872E45-FEA9-42D7-BEF3-9E29312B608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579-4433-984D-BC7EB05EB73D}"/>
                </c:ext>
              </c:extLst>
            </c:dLbl>
            <c:dLbl>
              <c:idx val="5"/>
              <c:layout>
                <c:manualLayout>
                  <c:x val="-1.3191263119364721E-2"/>
                  <c:y val="9.5793860395245303E-2"/>
                </c:manualLayout>
              </c:layout>
              <c:tx>
                <c:rich>
                  <a:bodyPr/>
                  <a:lstStyle/>
                  <a:p>
                    <a:fld id="{F4223581-7091-47B0-BCE1-1C001735F82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579-4433-984D-BC7EB05EB73D}"/>
                </c:ext>
              </c:extLst>
            </c:dLbl>
            <c:dLbl>
              <c:idx val="6"/>
              <c:layout>
                <c:manualLayout>
                  <c:x val="2.2389496929715743E-3"/>
                  <c:y val="-7.2036380639505751E-2"/>
                </c:manualLayout>
              </c:layout>
              <c:tx>
                <c:rich>
                  <a:bodyPr/>
                  <a:lstStyle/>
                  <a:p>
                    <a:fld id="{C60D7645-FE56-47D4-9A66-9108F335B8B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579-4433-984D-BC7EB05EB73D}"/>
                </c:ext>
              </c:extLst>
            </c:dLbl>
            <c:dLbl>
              <c:idx val="7"/>
              <c:layout>
                <c:manualLayout>
                  <c:x val="-1.9710367086337926E-2"/>
                  <c:y val="0.14042893383791763"/>
                </c:manualLayout>
              </c:layout>
              <c:tx>
                <c:rich>
                  <a:bodyPr/>
                  <a:lstStyle/>
                  <a:p>
                    <a:fld id="{4051F52F-5A97-4B0E-AB10-15EC7DD5BB2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579-4433-984D-BC7EB05EB73D}"/>
                </c:ext>
              </c:extLst>
            </c:dLbl>
            <c:dLbl>
              <c:idx val="8"/>
              <c:layout>
                <c:manualLayout>
                  <c:x val="-9.8192831563901316E-3"/>
                  <c:y val="0.10048013594400862"/>
                </c:manualLayout>
              </c:layout>
              <c:tx>
                <c:rich>
                  <a:bodyPr/>
                  <a:lstStyle/>
                  <a:p>
                    <a:fld id="{2EFF0AA8-1D7A-4CA9-8720-E195BAAC486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579-4433-984D-BC7EB05EB73D}"/>
                </c:ext>
              </c:extLst>
            </c:dLbl>
            <c:dLbl>
              <c:idx val="9"/>
              <c:layout>
                <c:manualLayout>
                  <c:x val="-2.2228160044627424E-2"/>
                  <c:y val="-1.3084610829598728E-2"/>
                </c:manualLayout>
              </c:layout>
              <c:tx>
                <c:rich>
                  <a:bodyPr/>
                  <a:lstStyle/>
                  <a:p>
                    <a:fld id="{26D43641-5420-47C4-B947-20E0920D424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579-4433-984D-BC7EB05EB73D}"/>
                </c:ext>
              </c:extLst>
            </c:dLbl>
            <c:dLbl>
              <c:idx val="10"/>
              <c:layout>
                <c:manualLayout>
                  <c:x val="-3.6403635956294934E-3"/>
                  <c:y val="-5.8461074994898887E-2"/>
                </c:manualLayout>
              </c:layout>
              <c:tx>
                <c:rich>
                  <a:bodyPr/>
                  <a:lstStyle/>
                  <a:p>
                    <a:fld id="{B3E3ED51-5D9D-4F3D-A12D-0B639DE9DA2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579-4433-984D-BC7EB05EB73D}"/>
                </c:ext>
              </c:extLst>
            </c:dLbl>
            <c:dLbl>
              <c:idx val="11"/>
              <c:layout>
                <c:manualLayout>
                  <c:x val="-3.7826826805269598E-3"/>
                  <c:y val="-0.10175736763493687"/>
                </c:manualLayout>
              </c:layout>
              <c:tx>
                <c:rich>
                  <a:bodyPr/>
                  <a:lstStyle/>
                  <a:p>
                    <a:fld id="{D5003D94-A257-4233-BD81-4AEC7A926FD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579-4433-984D-BC7EB05EB73D}"/>
                </c:ext>
              </c:extLst>
            </c:dLbl>
            <c:dLbl>
              <c:idx val="12"/>
              <c:layout>
                <c:manualLayout>
                  <c:x val="2.1053955663998945E-2"/>
                  <c:y val="0.11133576329530359"/>
                </c:manualLayout>
              </c:layout>
              <c:tx>
                <c:rich>
                  <a:bodyPr/>
                  <a:lstStyle/>
                  <a:p>
                    <a:fld id="{ABB54673-E48B-4866-9267-6914BFE6903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579-4433-984D-BC7EB05EB73D}"/>
                </c:ext>
              </c:extLst>
            </c:dLbl>
            <c:dLbl>
              <c:idx val="13"/>
              <c:layout>
                <c:manualLayout>
                  <c:x val="-4.0356409976947893E-2"/>
                  <c:y val="0.14755260811889895"/>
                </c:manualLayout>
              </c:layout>
              <c:tx>
                <c:rich>
                  <a:bodyPr/>
                  <a:lstStyle/>
                  <a:p>
                    <a:fld id="{1F5A3CBF-298E-41A1-AE7B-2F7514543BA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579-4433-984D-BC7EB05EB7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2C95024-4736-4E02-8CAC-0205A79D85C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579-4433-984D-BC7EB05EB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FinFET_v98C_FOM_NORMALIZED!$L$27:$Z$27</c:f>
              <c:numCache>
                <c:formatCode>0.00E+00</c:formatCode>
                <c:ptCount val="15"/>
                <c:pt idx="0">
                  <c:v>564668834.72951043</c:v>
                </c:pt>
                <c:pt idx="1">
                  <c:v>58139974859.132637</c:v>
                </c:pt>
                <c:pt idx="2">
                  <c:v>292157974778.79083</c:v>
                </c:pt>
                <c:pt idx="3">
                  <c:v>730602378491.17896</c:v>
                </c:pt>
                <c:pt idx="4">
                  <c:v>92519327614.039841</c:v>
                </c:pt>
                <c:pt idx="5">
                  <c:v>15434954846.038828</c:v>
                </c:pt>
                <c:pt idx="6">
                  <c:v>139148648743.94025</c:v>
                </c:pt>
                <c:pt idx="7">
                  <c:v>19063649635.66494</c:v>
                </c:pt>
                <c:pt idx="8">
                  <c:v>9826034620.661684</c:v>
                </c:pt>
                <c:pt idx="9">
                  <c:v>78512604769.581284</c:v>
                </c:pt>
                <c:pt idx="10">
                  <c:v>408707026524.11945</c:v>
                </c:pt>
                <c:pt idx="11">
                  <c:v>3307759810.1930499</c:v>
                </c:pt>
                <c:pt idx="12">
                  <c:v>3994408602.6647587</c:v>
                </c:pt>
                <c:pt idx="13">
                  <c:v>4416710598.8355417</c:v>
                </c:pt>
                <c:pt idx="14">
                  <c:v>925685239.32628536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579-4433-984D-BC7EB05E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FinFET_v98C_FOM_NORMALIZED!$F$27</c:f>
              <c:strCache>
                <c:ptCount val="1"/>
                <c:pt idx="0">
                  <c:v>ION/IOFF 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0623915966760605E-2"/>
                  <c:y val="4.4902250981662204E-3"/>
                </c:manualLayout>
              </c:layout>
              <c:tx>
                <c:rich>
                  <a:bodyPr/>
                  <a:lstStyle/>
                  <a:p>
                    <a:fld id="{6999E168-4066-4824-91B0-2C174342BDC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579-4433-984D-BC7EB05EB73D}"/>
                </c:ext>
              </c:extLst>
            </c:dLbl>
            <c:dLbl>
              <c:idx val="1"/>
              <c:layout>
                <c:manualLayout>
                  <c:x val="-5.7841499987694646E-2"/>
                  <c:y val="8.1679815791406256E-3"/>
                </c:manualLayout>
              </c:layout>
              <c:tx>
                <c:rich>
                  <a:bodyPr/>
                  <a:lstStyle/>
                  <a:p>
                    <a:fld id="{8B56E3A1-BACC-4323-83FC-5404C9C62A4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579-4433-984D-BC7EB05EB73D}"/>
                </c:ext>
              </c:extLst>
            </c:dLbl>
            <c:dLbl>
              <c:idx val="2"/>
              <c:layout>
                <c:manualLayout>
                  <c:x val="-2.7562323655802502E-2"/>
                  <c:y val="8.1316310885116594E-2"/>
                </c:manualLayout>
              </c:layout>
              <c:tx>
                <c:rich>
                  <a:bodyPr/>
                  <a:lstStyle/>
                  <a:p>
                    <a:fld id="{F98975B5-AE41-4AFF-A54D-4420713447E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579-4433-984D-BC7EB05EB73D}"/>
                </c:ext>
              </c:extLst>
            </c:dLbl>
            <c:dLbl>
              <c:idx val="3"/>
              <c:layout>
                <c:manualLayout>
                  <c:x val="4.7441638432711777E-3"/>
                  <c:y val="-0.14244280897654357"/>
                </c:manualLayout>
              </c:layout>
              <c:tx>
                <c:rich>
                  <a:bodyPr/>
                  <a:lstStyle/>
                  <a:p>
                    <a:fld id="{4CEC9A42-6B0C-4D47-A00D-715DCBA2F6E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579-4433-984D-BC7EB05EB7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A9AA8B5-4D8D-4F20-BBE2-46518687CBE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579-4433-984D-BC7EB05EB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FinFET_v98C_FOM_NORMALIZED!$G$27:$K$27</c:f>
              <c:numCache>
                <c:formatCode>0.00E+00</c:formatCode>
                <c:ptCount val="5"/>
                <c:pt idx="0">
                  <c:v>564668800</c:v>
                </c:pt>
                <c:pt idx="1">
                  <c:v>43737150000</c:v>
                </c:pt>
                <c:pt idx="2">
                  <c:v>15650025872.154766</c:v>
                </c:pt>
                <c:pt idx="3">
                  <c:v>9493568212.3226204</c:v>
                </c:pt>
                <c:pt idx="4">
                  <c:v>925685239.32628536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F579-4433-984D-BC7EB05E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solidFill>
                      <a:schemeClr val="tx1"/>
                    </a:solidFill>
                    <a:effectLst/>
                  </a:rPr>
                  <a:t>Effective </a:t>
                </a:r>
                <a:r>
                  <a:rPr lang="tr-TR" sz="1800" b="1" i="0" u="none" strike="noStrike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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>
                    <a:solidFill>
                      <a:schemeClr val="tx1"/>
                    </a:solidFill>
                  </a:rPr>
                  <a:t>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ON</a:t>
                </a:r>
                <a:r>
                  <a:rPr lang="tr-TR" sz="1600">
                    <a:solidFill>
                      <a:schemeClr val="tx1"/>
                    </a:solidFill>
                  </a:rPr>
                  <a:t>/I</a:t>
                </a:r>
                <a:r>
                  <a:rPr lang="tr-TR" sz="1600" baseline="-25000">
                    <a:solidFill>
                      <a:schemeClr val="tx1"/>
                    </a:solidFill>
                  </a:rPr>
                  <a:t>OFF</a:t>
                </a:r>
                <a:endParaRPr lang="en-US" sz="1600" baseline="-25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6737209825870442E-2"/>
              <c:y val="0.40106587390784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3499999999999996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32658049479266"/>
          <c:y val="0.15511749407659162"/>
          <c:w val="0.22591204370595122"/>
          <c:h val="0.20796830452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6948454305553"/>
          <c:y val="0.1345369796342365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FinFET_v98C_FOM_NORMALIZED!$E$28</c:f>
              <c:strCache>
                <c:ptCount val="1"/>
                <c:pt idx="0">
                  <c:v>Ig Leakage current w/ FGMs @Vg=0.75V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lgDash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lgDashDot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04A43D4-E023-43A3-A717-097C226AE80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89D-45A9-B5DD-A77836EE8317}"/>
                </c:ext>
              </c:extLst>
            </c:dLbl>
            <c:dLbl>
              <c:idx val="1"/>
              <c:layout>
                <c:manualLayout>
                  <c:x val="1.4838106551546134E-2"/>
                  <c:y val="-4.0193247581089706E-2"/>
                </c:manualLayout>
              </c:layout>
              <c:tx>
                <c:rich>
                  <a:bodyPr/>
                  <a:lstStyle/>
                  <a:p>
                    <a:fld id="{053C203F-108D-4DFC-BCC9-055046047E7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89D-45A9-B5DD-A77836EE8317}"/>
                </c:ext>
              </c:extLst>
            </c:dLbl>
            <c:dLbl>
              <c:idx val="2"/>
              <c:layout>
                <c:manualLayout>
                  <c:x val="-2.3157412142716487E-2"/>
                  <c:y val="-5.1421992318831274E-2"/>
                </c:manualLayout>
              </c:layout>
              <c:tx>
                <c:rich>
                  <a:bodyPr/>
                  <a:lstStyle/>
                  <a:p>
                    <a:fld id="{8ED37FE7-5C27-4C78-AE36-5ECDC611DA8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89D-45A9-B5DD-A77836EE8317}"/>
                </c:ext>
              </c:extLst>
            </c:dLbl>
            <c:dLbl>
              <c:idx val="3"/>
              <c:layout>
                <c:manualLayout>
                  <c:x val="-3.0708193703703202E-2"/>
                  <c:y val="2.6170848722871713E-3"/>
                </c:manualLayout>
              </c:layout>
              <c:tx>
                <c:rich>
                  <a:bodyPr/>
                  <a:lstStyle/>
                  <a:p>
                    <a:fld id="{BF6C8C07-684B-488C-A678-390DDDD47EA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89D-45A9-B5DD-A77836EE8317}"/>
                </c:ext>
              </c:extLst>
            </c:dLbl>
            <c:dLbl>
              <c:idx val="4"/>
              <c:layout>
                <c:manualLayout>
                  <c:x val="4.4135598610400961E-3"/>
                  <c:y val="-3.5701749685993101E-2"/>
                </c:manualLayout>
              </c:layout>
              <c:tx>
                <c:rich>
                  <a:bodyPr/>
                  <a:lstStyle/>
                  <a:p>
                    <a:fld id="{C48200CC-DB51-4EEC-B171-50A6F0A215D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89D-45A9-B5DD-A77836EE831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47594D4-B93F-43B4-8C49-913BB3AF2B6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89D-45A9-B5DD-A77836EE8317}"/>
                </c:ext>
              </c:extLst>
            </c:dLbl>
            <c:dLbl>
              <c:idx val="6"/>
              <c:layout>
                <c:manualLayout>
                  <c:x val="-1.1353634508347163E-2"/>
                  <c:y val="-4.8345304892846046E-2"/>
                </c:manualLayout>
              </c:layout>
              <c:tx>
                <c:rich>
                  <a:bodyPr/>
                  <a:lstStyle/>
                  <a:p>
                    <a:fld id="{B1C1BAB8-ED36-403F-BDEA-C35EF396D12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89D-45A9-B5DD-A77836EE8317}"/>
                </c:ext>
              </c:extLst>
            </c:dLbl>
            <c:dLbl>
              <c:idx val="7"/>
              <c:layout>
                <c:manualLayout>
                  <c:x val="-2.2920375479839258E-2"/>
                  <c:y val="8.542752216637875E-2"/>
                </c:manualLayout>
              </c:layout>
              <c:tx>
                <c:rich>
                  <a:bodyPr/>
                  <a:lstStyle/>
                  <a:p>
                    <a:fld id="{4784DFA0-DDEA-43C9-A5BF-BDCA5D93FF9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89D-45A9-B5DD-A77836EE8317}"/>
                </c:ext>
              </c:extLst>
            </c:dLbl>
            <c:dLbl>
              <c:idx val="8"/>
              <c:layout>
                <c:manualLayout>
                  <c:x val="-1.6405379806417957E-3"/>
                  <c:y val="6.0865455058584872E-2"/>
                </c:manualLayout>
              </c:layout>
              <c:tx>
                <c:rich>
                  <a:bodyPr/>
                  <a:lstStyle/>
                  <a:p>
                    <a:fld id="{8178234C-0B05-4270-8C2D-C733566E39E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89D-45A9-B5DD-A77836EE8317}"/>
                </c:ext>
              </c:extLst>
            </c:dLbl>
            <c:dLbl>
              <c:idx val="9"/>
              <c:layout>
                <c:manualLayout>
                  <c:x val="-3.5616596692980972E-2"/>
                  <c:y val="-1.5395918373080773E-2"/>
                </c:manualLayout>
              </c:layout>
              <c:tx>
                <c:rich>
                  <a:bodyPr/>
                  <a:lstStyle/>
                  <a:p>
                    <a:fld id="{EAE2C042-9DD5-45A8-8E5B-3F781C483DF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89D-45A9-B5DD-A77836EE8317}"/>
                </c:ext>
              </c:extLst>
            </c:dLbl>
            <c:dLbl>
              <c:idx val="10"/>
              <c:layout>
                <c:manualLayout>
                  <c:x val="-2.8757302353547533E-2"/>
                  <c:y val="-5.2306227025440015E-2"/>
                </c:manualLayout>
              </c:layout>
              <c:tx>
                <c:rich>
                  <a:bodyPr/>
                  <a:lstStyle/>
                  <a:p>
                    <a:fld id="{005869BF-D3AE-4CAD-A635-1751F2837EB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89D-45A9-B5DD-A77836EE8317}"/>
                </c:ext>
              </c:extLst>
            </c:dLbl>
            <c:dLbl>
              <c:idx val="11"/>
              <c:layout>
                <c:manualLayout>
                  <c:x val="-3.2952526098947103E-2"/>
                  <c:y val="5.9197321948147863E-2"/>
                </c:manualLayout>
              </c:layout>
              <c:tx>
                <c:rich>
                  <a:bodyPr/>
                  <a:lstStyle/>
                  <a:p>
                    <a:fld id="{E24B008D-27FA-4943-90BE-56C07F09AA4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89D-45A9-B5DD-A77836EE8317}"/>
                </c:ext>
              </c:extLst>
            </c:dLbl>
            <c:dLbl>
              <c:idx val="12"/>
              <c:layout>
                <c:manualLayout>
                  <c:x val="-4.0218609182170774E-2"/>
                  <c:y val="8.5958173701808874E-2"/>
                </c:manualLayout>
              </c:layout>
              <c:tx>
                <c:rich>
                  <a:bodyPr/>
                  <a:lstStyle/>
                  <a:p>
                    <a:fld id="{6AD88671-9E80-4B49-B6D4-81F17C564E8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89D-45A9-B5DD-A77836EE8317}"/>
                </c:ext>
              </c:extLst>
            </c:dLbl>
            <c:dLbl>
              <c:idx val="13"/>
              <c:layout>
                <c:manualLayout>
                  <c:x val="1.9186775824709677E-3"/>
                  <c:y val="8.5958173701808957E-2"/>
                </c:manualLayout>
              </c:layout>
              <c:tx>
                <c:rich>
                  <a:bodyPr/>
                  <a:lstStyle/>
                  <a:p>
                    <a:fld id="{01840F9B-CC27-43F6-B2E8-8ABA66FB746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89D-45A9-B5DD-A77836EE831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204A3D9-B688-48B7-870D-32E6872F68E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89D-45A9-B5DD-A77836EE83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FinFET_v98C_FOM_NORMALIZED!$L$14:$Z$14</c:f>
              <c:numCache>
                <c:formatCode>0.00</c:formatCode>
                <c:ptCount val="15"/>
                <c:pt idx="0">
                  <c:v>3.35</c:v>
                </c:pt>
                <c:pt idx="1">
                  <c:v>4.2590000000000003</c:v>
                </c:pt>
                <c:pt idx="2">
                  <c:v>9.4</c:v>
                </c:pt>
                <c:pt idx="3">
                  <c:v>9.57</c:v>
                </c:pt>
                <c:pt idx="4">
                  <c:v>10.57</c:v>
                </c:pt>
                <c:pt idx="5">
                  <c:v>12.3</c:v>
                </c:pt>
                <c:pt idx="6">
                  <c:v>14.16</c:v>
                </c:pt>
                <c:pt idx="7">
                  <c:v>14.55</c:v>
                </c:pt>
                <c:pt idx="8">
                  <c:v>16.388000000000002</c:v>
                </c:pt>
                <c:pt idx="9">
                  <c:v>18.981999999999999</c:v>
                </c:pt>
                <c:pt idx="10">
                  <c:v>19.28</c:v>
                </c:pt>
                <c:pt idx="11">
                  <c:v>27.016999999999999</c:v>
                </c:pt>
                <c:pt idx="12">
                  <c:v>33.869999999999997</c:v>
                </c:pt>
                <c:pt idx="13">
                  <c:v>52.93</c:v>
                </c:pt>
                <c:pt idx="14">
                  <c:v>77.09</c:v>
                </c:pt>
              </c:numCache>
            </c:numRef>
          </c:xVal>
          <c:yVal>
            <c:numRef>
              <c:f>FinFET_v98C_FOM_NORMALIZED!$L$28:$Z$28</c:f>
              <c:numCache>
                <c:formatCode>0.00E+00</c:formatCode>
                <c:ptCount val="15"/>
                <c:pt idx="0">
                  <c:v>1.0000000000000001E-9</c:v>
                </c:pt>
                <c:pt idx="1">
                  <c:v>5.4000000000000001E-11</c:v>
                </c:pt>
                <c:pt idx="2">
                  <c:v>1.6999999999999999E-11</c:v>
                </c:pt>
                <c:pt idx="3">
                  <c:v>4.9999999999999997E-12</c:v>
                </c:pt>
                <c:pt idx="4">
                  <c:v>6.0000000000000003E-12</c:v>
                </c:pt>
                <c:pt idx="5">
                  <c:v>1.1999999999999999E-12</c:v>
                </c:pt>
                <c:pt idx="6">
                  <c:v>2.4999999999999998E-12</c:v>
                </c:pt>
                <c:pt idx="7">
                  <c:v>9.9999999999999998E-13</c:v>
                </c:pt>
                <c:pt idx="8">
                  <c:v>1.7E-12</c:v>
                </c:pt>
                <c:pt idx="9">
                  <c:v>5.5000000000000004E-12</c:v>
                </c:pt>
                <c:pt idx="10">
                  <c:v>1.6999999999999999E-11</c:v>
                </c:pt>
                <c:pt idx="11">
                  <c:v>9E-13</c:v>
                </c:pt>
                <c:pt idx="12">
                  <c:v>4.9999999999999999E-13</c:v>
                </c:pt>
                <c:pt idx="13">
                  <c:v>1.4999999999999999E-13</c:v>
                </c:pt>
                <c:pt idx="14">
                  <c:v>9E-13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FinFET_v98C_FOM_NORMALIZED!$L$29:$Z$29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789D-45A9-B5DD-A77836EE8317}"/>
            </c:ext>
          </c:extLst>
        </c:ser>
        <c:ser>
          <c:idx val="0"/>
          <c:order val="0"/>
          <c:tx>
            <c:strRef>
              <c:f>FinFET_v98C_FOM_NORMALIZED!$F$28</c:f>
              <c:strCache>
                <c:ptCount val="1"/>
                <c:pt idx="0">
                  <c:v>Ig Leakage current w/ single dielectric @Vg=0.75V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ysDot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8432275814183686E-2"/>
                  <c:y val="-2.6941093405336528E-2"/>
                </c:manualLayout>
              </c:layout>
              <c:tx>
                <c:rich>
                  <a:bodyPr/>
                  <a:lstStyle/>
                  <a:p>
                    <a:fld id="{059050D4-A14A-4840-95D5-CD6199C4E64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89D-45A9-B5DD-A77836EE8317}"/>
                </c:ext>
              </c:extLst>
            </c:dLbl>
            <c:dLbl>
              <c:idx val="1"/>
              <c:layout>
                <c:manualLayout>
                  <c:x val="6.0350855091681746E-3"/>
                  <c:y val="-6.8938342224936555E-2"/>
                </c:manualLayout>
              </c:layout>
              <c:tx>
                <c:rich>
                  <a:bodyPr/>
                  <a:lstStyle/>
                  <a:p>
                    <a:fld id="{1D0D1425-4DA6-46A6-987B-658FDD5256F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89D-45A9-B5DD-A77836EE8317}"/>
                </c:ext>
              </c:extLst>
            </c:dLbl>
            <c:dLbl>
              <c:idx val="2"/>
              <c:layout>
                <c:manualLayout>
                  <c:x val="4.0630913434571963E-3"/>
                  <c:y val="-0.13867002781091675"/>
                </c:manualLayout>
              </c:layout>
              <c:tx>
                <c:rich>
                  <a:bodyPr/>
                  <a:lstStyle/>
                  <a:p>
                    <a:fld id="{4569BFE9-C66C-4820-80A3-72E4390729D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89D-45A9-B5DD-A77836EE8317}"/>
                </c:ext>
              </c:extLst>
            </c:dLbl>
            <c:dLbl>
              <c:idx val="3"/>
              <c:layout>
                <c:manualLayout>
                  <c:x val="2.842165567734882E-2"/>
                  <c:y val="-0.11630908854013942"/>
                </c:manualLayout>
              </c:layout>
              <c:tx>
                <c:rich>
                  <a:bodyPr/>
                  <a:lstStyle/>
                  <a:p>
                    <a:fld id="{9D6D95A3-C75C-47A0-B585-481B7DA6EA4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89D-45A9-B5DD-A77836EE8317}"/>
                </c:ext>
              </c:extLst>
            </c:dLbl>
            <c:dLbl>
              <c:idx val="4"/>
              <c:layout>
                <c:manualLayout>
                  <c:x val="-5.4833674784497181E-2"/>
                  <c:y val="-6.2862551279118564E-2"/>
                </c:manualLayout>
              </c:layout>
              <c:tx>
                <c:rich>
                  <a:bodyPr/>
                  <a:lstStyle/>
                  <a:p>
                    <a:fld id="{1B415790-2898-4358-84F6-7E675C52450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89D-45A9-B5DD-A77836EE83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FinFET_v98C_FOM_NORMALIZED!$G$14:$K$14</c:f>
              <c:numCache>
                <c:formatCode>0.00</c:formatCode>
                <c:ptCount val="5"/>
                <c:pt idx="0">
                  <c:v>3.35</c:v>
                </c:pt>
                <c:pt idx="1">
                  <c:v>9.9</c:v>
                </c:pt>
                <c:pt idx="2">
                  <c:v>20.43</c:v>
                </c:pt>
                <c:pt idx="3">
                  <c:v>24.48</c:v>
                </c:pt>
                <c:pt idx="4">
                  <c:v>77.09</c:v>
                </c:pt>
              </c:numCache>
            </c:numRef>
          </c:xVal>
          <c:yVal>
            <c:numRef>
              <c:f>FinFET_v98C_FOM_NORMALIZED!$G$28:$K$28</c:f>
              <c:numCache>
                <c:formatCode>0.00E+00</c:formatCode>
                <c:ptCount val="5"/>
                <c:pt idx="0">
                  <c:v>1.0000000000000001E-9</c:v>
                </c:pt>
                <c:pt idx="1">
                  <c:v>3.9999999999999998E-11</c:v>
                </c:pt>
                <c:pt idx="2">
                  <c:v>7.9999999999999998E-12</c:v>
                </c:pt>
                <c:pt idx="3">
                  <c:v>4.9999999999999997E-12</c:v>
                </c:pt>
                <c:pt idx="4">
                  <c:v>9E-13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FinFET_v98C_FOM_NORMALIZED!$G$29:$K$29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789D-45A9-B5DD-A77836EE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effectLst/>
                  </a:rPr>
                  <a:t>Effective </a:t>
                </a:r>
                <a:r>
                  <a:rPr lang="tr-TR" sz="1400" b="1" i="0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 b="1" baseline="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>
                    <a:solidFill>
                      <a:sysClr val="windowText" lastClr="000000"/>
                    </a:solidFill>
                  </a:defRPr>
                </a:pPr>
                <a:endParaRPr lang="en-US" sz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31396029934002"/>
              <c:y val="7.37121370400243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ajorUnit val="10"/>
        <c:minorUnit val="1"/>
      </c:valAx>
      <c:valAx>
        <c:axId val="363195216"/>
        <c:scaling>
          <c:logBase val="10"/>
          <c:orientation val="minMax"/>
          <c:max val="1.0000000000000005E-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>
                    <a:solidFill>
                      <a:schemeClr val="tx1"/>
                    </a:solidFill>
                  </a:rPr>
                  <a:t>Ig leakagae current (A)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4455052593977764E-2"/>
              <c:y val="0.3846732444060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At val="3.349999999999999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659350437751529"/>
          <c:y val="0.24897320157067235"/>
          <c:w val="0.32682160450316794"/>
          <c:h val="0.102973437564674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FinFET_v9_Makale_Try_SOI.in!$L$2</c:f>
              <c:strCache>
                <c:ptCount val="1"/>
                <c:pt idx="0">
                  <c:v>DIBL (mV/V)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FinFET_v9_Makale_Try_SOI.in!$D$3:$D$8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FinFET_v9_Makale_Try_SOI.in!$L$3:$L$8</c:f>
              <c:numCache>
                <c:formatCode>General</c:formatCode>
                <c:ptCount val="6"/>
                <c:pt idx="0">
                  <c:v>45.04</c:v>
                </c:pt>
                <c:pt idx="1">
                  <c:v>36.26</c:v>
                </c:pt>
                <c:pt idx="2">
                  <c:v>19.48</c:v>
                </c:pt>
                <c:pt idx="3">
                  <c:v>25.91</c:v>
                </c:pt>
                <c:pt idx="4">
                  <c:v>22.17</c:v>
                </c:pt>
                <c:pt idx="5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8-4FCF-97E7-708D80B2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FinFET_v9_Makale_Try_SOI.in!$M$2</c:f>
              <c:strCache>
                <c:ptCount val="1"/>
                <c:pt idx="0">
                  <c:v>Id_00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FinFET_v9_Makale_Try_SOI.in!$D$3:$D$8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FinFET_v9_Makale_Try_SOI.in!$M$3:$M$8</c:f>
              <c:numCache>
                <c:formatCode>0.00E+00</c:formatCode>
                <c:ptCount val="6"/>
                <c:pt idx="0">
                  <c:v>9.9999999999999998E-17</c:v>
                </c:pt>
                <c:pt idx="1">
                  <c:v>9.9999999999999998E-20</c:v>
                </c:pt>
                <c:pt idx="2">
                  <c:v>9.9999999999999991E-22</c:v>
                </c:pt>
                <c:pt idx="3">
                  <c:v>9.9999999999999991E-22</c:v>
                </c:pt>
                <c:pt idx="4">
                  <c:v>9.9999999999999991E-22</c:v>
                </c:pt>
                <c:pt idx="5">
                  <c:v>9.9999999999999996E-24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5-431F-9121-BAF202E25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ax val="1.0000000000000009E-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FinFET_v9_Makale_Try_SOI.in!$J$2</c:f>
              <c:strCache>
                <c:ptCount val="1"/>
                <c:pt idx="0">
                  <c:v>Vth (V)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FinFET_v9_Makale_Try_SOI.in!$D$3:$D$8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FinFET_v9_Makale_Try_SOI.in!$J$3:$J$8</c:f>
              <c:numCache>
                <c:formatCode>General</c:formatCode>
                <c:ptCount val="6"/>
                <c:pt idx="0">
                  <c:v>0.66200000000000003</c:v>
                </c:pt>
                <c:pt idx="1">
                  <c:v>0.83179999999999998</c:v>
                </c:pt>
                <c:pt idx="2">
                  <c:v>0.90590000000000004</c:v>
                </c:pt>
                <c:pt idx="3">
                  <c:v>0.95809999999999995</c:v>
                </c:pt>
                <c:pt idx="4">
                  <c:v>0.97550000000000003</c:v>
                </c:pt>
                <c:pt idx="5">
                  <c:v>1.0107999999999999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E-4FB3-B555-1AFDE97A0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FinFET_v9_Makale_Try_SOI.in!$O$2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FinFET_v9_Makale_Try_SOI.in!$D$3:$D$8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FinFET_v9_Makale_Try_SOI.in!$O$3:$O$8</c:f>
              <c:numCache>
                <c:formatCode>0.00E+00</c:formatCode>
                <c:ptCount val="6"/>
                <c:pt idx="0">
                  <c:v>1000000000</c:v>
                </c:pt>
                <c:pt idx="1">
                  <c:v>1000000000000</c:v>
                </c:pt>
                <c:pt idx="2">
                  <c:v>100000000000000</c:v>
                </c:pt>
                <c:pt idx="3">
                  <c:v>100000000000000</c:v>
                </c:pt>
                <c:pt idx="4">
                  <c:v>100000000000000</c:v>
                </c:pt>
                <c:pt idx="5">
                  <c:v>1E+16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5-467A-B52C-8FD3DCCC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FinFET_v9_Makale_Try_SOI.in!$P$2</c:f>
              <c:strCache>
                <c:ptCount val="1"/>
                <c:pt idx="0">
                  <c:v>Leakage Id (A)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FinFET_v9_Makale_Try_SOI.in!$D$3:$D$8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FinFET_v9_Makale_Try_SOI.in!$P$3:$P$8</c:f>
              <c:numCache>
                <c:formatCode>0.00E+00</c:formatCode>
                <c:ptCount val="6"/>
                <c:pt idx="0">
                  <c:v>3.33E-18</c:v>
                </c:pt>
                <c:pt idx="1">
                  <c:v>2.3549999999999999E-20</c:v>
                </c:pt>
                <c:pt idx="2">
                  <c:v>3.8420000000000001E-22</c:v>
                </c:pt>
                <c:pt idx="3">
                  <c:v>2.4E-22</c:v>
                </c:pt>
                <c:pt idx="4">
                  <c:v>1.5060000000000001E-22</c:v>
                </c:pt>
                <c:pt idx="5">
                  <c:v>3.697E-24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9-43AF-8EB3-4EAF7EC00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ax val="1.000000000000001E-1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FinFET_v9_Makale_Try_SOI.in!$Q$2</c:f>
              <c:strCache>
                <c:ptCount val="1"/>
                <c:pt idx="0">
                  <c:v>Max Id (A)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FinFET_v9_Makale_Try_SOI.in!$D$3:$D$8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FinFET_v9_Makale_Try_SOI.in!$Q$3:$Q$8</c:f>
              <c:numCache>
                <c:formatCode>0.00E+00</c:formatCode>
                <c:ptCount val="6"/>
                <c:pt idx="0">
                  <c:v>1.0900000000000001E-5</c:v>
                </c:pt>
                <c:pt idx="1">
                  <c:v>9.4469999999999995E-6</c:v>
                </c:pt>
                <c:pt idx="2">
                  <c:v>8.1651999999999993E-6</c:v>
                </c:pt>
                <c:pt idx="3">
                  <c:v>8.9099999999999994E-6</c:v>
                </c:pt>
                <c:pt idx="4">
                  <c:v>1.005E-5</c:v>
                </c:pt>
                <c:pt idx="5">
                  <c:v>8.1200000000000002E-6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2-4F9D-80BE-7F6BB419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FinFET_v9_Makale_Try_SOI.in!$K$2</c:f>
              <c:strCache>
                <c:ptCount val="1"/>
                <c:pt idx="0">
                  <c:v>SS (mV/dec)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FinFET_v9_Makale_Try_SOI.in!$D$3:$D$8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FinFET_v9_Makale_Try_SOI.in!$K$3:$K$8</c:f>
              <c:numCache>
                <c:formatCode>General</c:formatCode>
                <c:ptCount val="6"/>
                <c:pt idx="0">
                  <c:v>63.8</c:v>
                </c:pt>
                <c:pt idx="1">
                  <c:v>61.1</c:v>
                </c:pt>
                <c:pt idx="2">
                  <c:v>59.7</c:v>
                </c:pt>
                <c:pt idx="3">
                  <c:v>59.8</c:v>
                </c:pt>
                <c:pt idx="4">
                  <c:v>59.7</c:v>
                </c:pt>
                <c:pt idx="5">
                  <c:v>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1-402F-AE65-31C1D140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FinFET_v9_Makale_Try_SOI.in!$K$2</c:f>
              <c:strCache>
                <c:ptCount val="1"/>
                <c:pt idx="0">
                  <c:v>SS (mV/dec)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FinFET_v9_Makale_Try_SOI.in!$D$3:$D$8</c:f>
              <c:numCache>
                <c:formatCode>General</c:formatCode>
                <c:ptCount val="6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22</c:v>
                </c:pt>
                <c:pt idx="4">
                  <c:v>27</c:v>
                </c:pt>
                <c:pt idx="5">
                  <c:v>80</c:v>
                </c:pt>
              </c:numCache>
            </c:numRef>
          </c:xVal>
          <c:yVal>
            <c:numRef>
              <c:f>FinFET_v9_Makale_Try_SOI.in!$K$3:$K$8</c:f>
              <c:numCache>
                <c:formatCode>General</c:formatCode>
                <c:ptCount val="6"/>
                <c:pt idx="0">
                  <c:v>63.8</c:v>
                </c:pt>
                <c:pt idx="1">
                  <c:v>61.1</c:v>
                </c:pt>
                <c:pt idx="2">
                  <c:v>59.7</c:v>
                </c:pt>
                <c:pt idx="3">
                  <c:v>59.8</c:v>
                </c:pt>
                <c:pt idx="4">
                  <c:v>59.7</c:v>
                </c:pt>
                <c:pt idx="5">
                  <c:v>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5-4050-A1DB-D422C521B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Ion/Ioff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Sheet1!$H$3:$H$7</c:f>
              <c:numCache>
                <c:formatCode>0.00E+00</c:formatCode>
                <c:ptCount val="5"/>
                <c:pt idx="0">
                  <c:v>1E+16</c:v>
                </c:pt>
                <c:pt idx="1">
                  <c:v>1000000000000000</c:v>
                </c:pt>
                <c:pt idx="2">
                  <c:v>100000000000000</c:v>
                </c:pt>
                <c:pt idx="3">
                  <c:v>100000000000000</c:v>
                </c:pt>
                <c:pt idx="4">
                  <c:v>10000000000000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3-48A2-A93F-007CDA8BC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FinFET_v9_Makale_Try_SOI.in!$L$2</c:f>
              <c:strCache>
                <c:ptCount val="1"/>
                <c:pt idx="0">
                  <c:v>DIBL (mV/V)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FinFET_v9_Makale_Try_SOI.in!$E$15:$E$18</c:f>
              <c:numCache>
                <c:formatCode>0.00</c:formatCode>
                <c:ptCount val="4"/>
                <c:pt idx="0">
                  <c:v>31.966666666666669</c:v>
                </c:pt>
                <c:pt idx="1">
                  <c:v>43.300000000000004</c:v>
                </c:pt>
                <c:pt idx="2">
                  <c:v>33.31666666666667</c:v>
                </c:pt>
                <c:pt idx="3">
                  <c:v>19.283333333333335</c:v>
                </c:pt>
              </c:numCache>
            </c:numRef>
          </c:xVal>
          <c:yVal>
            <c:numRef>
              <c:f>FinFET_v9_Makale_Try_SOI.in!$L$15:$L$18</c:f>
              <c:numCache>
                <c:formatCode>General</c:formatCode>
                <c:ptCount val="4"/>
                <c:pt idx="0">
                  <c:v>13.13</c:v>
                </c:pt>
                <c:pt idx="1">
                  <c:v>10.87</c:v>
                </c:pt>
                <c:pt idx="2">
                  <c:v>15.91</c:v>
                </c:pt>
                <c:pt idx="3">
                  <c:v>26.09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9-47AF-ABE8-9D7D2526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FinFET_v9_Makale_Try_SOI.in!$Q$2</c:f>
              <c:strCache>
                <c:ptCount val="1"/>
                <c:pt idx="0">
                  <c:v>Max Id (A)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FinFET_v9_Makale_Try_SOI.in!$E$15:$E$18</c:f>
              <c:numCache>
                <c:formatCode>0.00</c:formatCode>
                <c:ptCount val="4"/>
                <c:pt idx="0">
                  <c:v>31.966666666666669</c:v>
                </c:pt>
                <c:pt idx="1">
                  <c:v>43.300000000000004</c:v>
                </c:pt>
                <c:pt idx="2">
                  <c:v>33.31666666666667</c:v>
                </c:pt>
                <c:pt idx="3">
                  <c:v>19.283333333333335</c:v>
                </c:pt>
              </c:numCache>
            </c:numRef>
          </c:xVal>
          <c:yVal>
            <c:numRef>
              <c:f>FinFET_v9_Makale_Try_SOI.in!$Q$15:$Q$18</c:f>
              <c:numCache>
                <c:formatCode>0.00E+00</c:formatCode>
                <c:ptCount val="4"/>
                <c:pt idx="0">
                  <c:v>4.8550000000000001E-5</c:v>
                </c:pt>
                <c:pt idx="1">
                  <c:v>2.02E-5</c:v>
                </c:pt>
                <c:pt idx="2">
                  <c:v>1.8099999999999999E-5</c:v>
                </c:pt>
                <c:pt idx="3">
                  <c:v>2.249E-5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F-4ADC-BE70-76372A2B8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FinFET_v9_Makale_Try_SOI.in!$P$2</c:f>
              <c:strCache>
                <c:ptCount val="1"/>
                <c:pt idx="0">
                  <c:v>Leakage Id (A)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FinFET_v9_Makale_Try_SOI.in!$E$15:$E$18</c:f>
              <c:numCache>
                <c:formatCode>0.00</c:formatCode>
                <c:ptCount val="4"/>
                <c:pt idx="0">
                  <c:v>31.966666666666669</c:v>
                </c:pt>
                <c:pt idx="1">
                  <c:v>43.300000000000004</c:v>
                </c:pt>
                <c:pt idx="2">
                  <c:v>33.31666666666667</c:v>
                </c:pt>
                <c:pt idx="3">
                  <c:v>19.283333333333335</c:v>
                </c:pt>
              </c:numCache>
            </c:numRef>
          </c:xVal>
          <c:yVal>
            <c:numRef>
              <c:f>FinFET_v9_Makale_Try_SOI.in!$P$15:$P$18</c:f>
              <c:numCache>
                <c:formatCode>0.00E+00</c:formatCode>
                <c:ptCount val="4"/>
                <c:pt idx="0">
                  <c:v>4.8300000000000003E-20</c:v>
                </c:pt>
                <c:pt idx="1">
                  <c:v>4.7939999999999998E-20</c:v>
                </c:pt>
                <c:pt idx="2">
                  <c:v>1.37E-20</c:v>
                </c:pt>
                <c:pt idx="3">
                  <c:v>1.5690000000000001E-18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0-4AAE-9E54-3CB5904AB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FinFET_v9_Makale_Try_SOI.in!$J$2</c:f>
              <c:strCache>
                <c:ptCount val="1"/>
                <c:pt idx="0">
                  <c:v>Vth (V)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FinFET_v9_Makale_Try_SOI.in!$E$15:$E$18</c:f>
              <c:numCache>
                <c:formatCode>0.00</c:formatCode>
                <c:ptCount val="4"/>
                <c:pt idx="0">
                  <c:v>31.966666666666669</c:v>
                </c:pt>
                <c:pt idx="1">
                  <c:v>43.300000000000004</c:v>
                </c:pt>
                <c:pt idx="2">
                  <c:v>33.31666666666667</c:v>
                </c:pt>
                <c:pt idx="3">
                  <c:v>19.283333333333335</c:v>
                </c:pt>
              </c:numCache>
            </c:numRef>
          </c:xVal>
          <c:yVal>
            <c:numRef>
              <c:f>FinFET_v9_Makale_Try_SOI.in!$J$15:$J$18</c:f>
              <c:numCache>
                <c:formatCode>General</c:formatCode>
                <c:ptCount val="4"/>
                <c:pt idx="0">
                  <c:v>0.7833</c:v>
                </c:pt>
                <c:pt idx="1">
                  <c:v>0.80300000000000005</c:v>
                </c:pt>
                <c:pt idx="2">
                  <c:v>0.84219999999999995</c:v>
                </c:pt>
                <c:pt idx="3">
                  <c:v>0.71809999999999996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8-4D71-B19D-984C0114A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'FinFET_v92 ve FinFET_v94.in'!$O$2</c:f>
              <c:strCache>
                <c:ptCount val="1"/>
                <c:pt idx="0">
                  <c:v>SS (mV/dec)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FinFET_v94.in'!$O$3:$O$9</c:f>
              <c:numCache>
                <c:formatCode>General</c:formatCode>
                <c:ptCount val="7"/>
                <c:pt idx="0">
                  <c:v>71.3</c:v>
                </c:pt>
                <c:pt idx="1">
                  <c:v>64.400000000000006</c:v>
                </c:pt>
                <c:pt idx="2">
                  <c:v>60.4</c:v>
                </c:pt>
                <c:pt idx="3">
                  <c:v>60.4</c:v>
                </c:pt>
                <c:pt idx="4">
                  <c:v>58.1</c:v>
                </c:pt>
                <c:pt idx="5">
                  <c:v>57.9</c:v>
                </c:pt>
                <c:pt idx="6">
                  <c:v>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D-488D-A893-5A9B7C25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'FinFET_v92 ve FinFET_v94.in'!$P$2</c:f>
              <c:strCache>
                <c:ptCount val="1"/>
                <c:pt idx="0">
                  <c:v>DIBL 
w/ Single 
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FinFET_v94.in'!$P$3:$P$9</c:f>
              <c:numCache>
                <c:formatCode>General</c:formatCode>
                <c:ptCount val="7"/>
                <c:pt idx="0">
                  <c:v>57.74</c:v>
                </c:pt>
                <c:pt idx="1">
                  <c:v>38.61</c:v>
                </c:pt>
                <c:pt idx="2">
                  <c:v>31.57</c:v>
                </c:pt>
                <c:pt idx="3">
                  <c:v>31.57</c:v>
                </c:pt>
                <c:pt idx="4">
                  <c:v>19.829999999999998</c:v>
                </c:pt>
                <c:pt idx="5">
                  <c:v>26.35</c:v>
                </c:pt>
                <c:pt idx="6">
                  <c:v>20.87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1-42F9-A879-06E8153C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'FinFET_v92 ve FinFET_v94.in'!$U$2</c:f>
              <c:strCache>
                <c:ptCount val="1"/>
                <c:pt idx="0">
                  <c:v>Max Id (A) 
w/ Single Dielectric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FinFET_v94.in'!$U$3:$U$9</c:f>
              <c:numCache>
                <c:formatCode>0.00E+00</c:formatCode>
                <c:ptCount val="7"/>
                <c:pt idx="0">
                  <c:v>1.5650000000000001E-5</c:v>
                </c:pt>
                <c:pt idx="1">
                  <c:v>1.2799999999999999E-5</c:v>
                </c:pt>
                <c:pt idx="2">
                  <c:v>8.8170000000000005E-6</c:v>
                </c:pt>
                <c:pt idx="3">
                  <c:v>8.8170000000000005E-6</c:v>
                </c:pt>
                <c:pt idx="4">
                  <c:v>6.1727999999999996E-6</c:v>
                </c:pt>
                <c:pt idx="5">
                  <c:v>1.06E-5</c:v>
                </c:pt>
                <c:pt idx="6">
                  <c:v>6.1700000000000002E-6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6B-46C1-B4AD-DB6A3412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Ioff (A)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'FinFET_v92 ve FinFET_v94.in'!$T$2</c:f>
              <c:strCache>
                <c:ptCount val="1"/>
                <c:pt idx="0">
                  <c:v>Leakage Id (A)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FinFET_v94.in'!$T$3:$T$9</c:f>
              <c:numCache>
                <c:formatCode>0.00E+00</c:formatCode>
                <c:ptCount val="7"/>
                <c:pt idx="0">
                  <c:v>1.505E-15</c:v>
                </c:pt>
                <c:pt idx="1">
                  <c:v>5.6499999999999998E-19</c:v>
                </c:pt>
                <c:pt idx="2">
                  <c:v>1.283E-20</c:v>
                </c:pt>
                <c:pt idx="3">
                  <c:v>1.283E-20</c:v>
                </c:pt>
                <c:pt idx="4">
                  <c:v>4.6599999999999996E-22</c:v>
                </c:pt>
                <c:pt idx="5">
                  <c:v>3.3900000000000001E-22</c:v>
                </c:pt>
                <c:pt idx="6">
                  <c:v>4.8600000000000002E-24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A-4B37-B620-3E45B7DAE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8E-1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'FinFET_v92 ve FinFET_v94.in'!$N$2</c:f>
              <c:strCache>
                <c:ptCount val="1"/>
                <c:pt idx="0">
                  <c:v>Vth (V)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FinFET_v94.in'!$N$3:$N$9</c:f>
              <c:numCache>
                <c:formatCode>General</c:formatCode>
                <c:ptCount val="7"/>
                <c:pt idx="0">
                  <c:v>0.51790000000000003</c:v>
                </c:pt>
                <c:pt idx="1">
                  <c:v>0.748</c:v>
                </c:pt>
                <c:pt idx="2">
                  <c:v>0.85229999999999995</c:v>
                </c:pt>
                <c:pt idx="3">
                  <c:v>0.85229999999999995</c:v>
                </c:pt>
                <c:pt idx="4">
                  <c:v>0.92500000000000004</c:v>
                </c:pt>
                <c:pt idx="5">
                  <c:v>0.94210000000000005</c:v>
                </c:pt>
                <c:pt idx="6">
                  <c:v>1.0034000000000001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3-4F71-B6E1-B28AEA26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'FinFET_v92 ve FinFET_v94.in'!$S$2</c:f>
              <c:strCache>
                <c:ptCount val="1"/>
                <c:pt idx="0">
                  <c:v>Ion/Ioff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FinFET_v94.in'!$S$3:$S$9</c:f>
              <c:numCache>
                <c:formatCode>0.00E+00</c:formatCode>
                <c:ptCount val="7"/>
                <c:pt idx="0">
                  <c:v>10000000</c:v>
                </c:pt>
                <c:pt idx="1">
                  <c:v>100000000000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100000000000000</c:v>
                </c:pt>
                <c:pt idx="5">
                  <c:v>100000000000000</c:v>
                </c:pt>
                <c:pt idx="6">
                  <c:v>1000000000000000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5-4DF1-9275-781B05941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Imax/Idleakage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Sheet1!$K$3:$K$7</c:f>
              <c:numCache>
                <c:formatCode>0.00E+00</c:formatCode>
                <c:ptCount val="5"/>
                <c:pt idx="0" formatCode="General">
                  <c:v>3.642E+17</c:v>
                </c:pt>
                <c:pt idx="1">
                  <c:v>1.13E+17</c:v>
                </c:pt>
                <c:pt idx="2">
                  <c:v>8246000000000000</c:v>
                </c:pt>
                <c:pt idx="3">
                  <c:v>8560000000000000</c:v>
                </c:pt>
                <c:pt idx="4">
                  <c:v>3440000000000000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E-4026-8943-3017C7E44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Ioff (A)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'FinFET_v92 ve FinFET_v94.in'!$T$2</c:f>
              <c:strCache>
                <c:ptCount val="1"/>
                <c:pt idx="0">
                  <c:v>Leakage Id (A) 
w/ Single Dielectric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FinFET_v94.in'!$E$10:$E$13</c:f>
              <c:numCache>
                <c:formatCode>0.00</c:formatCode>
                <c:ptCount val="4"/>
                <c:pt idx="0">
                  <c:v>31.966666666666669</c:v>
                </c:pt>
                <c:pt idx="1">
                  <c:v>43.300000000000004</c:v>
                </c:pt>
                <c:pt idx="2">
                  <c:v>19.283333333333335</c:v>
                </c:pt>
                <c:pt idx="3">
                  <c:v>25.633333333333336</c:v>
                </c:pt>
              </c:numCache>
            </c:numRef>
          </c:xVal>
          <c:yVal>
            <c:numRef>
              <c:f>'FinFET_v92 ve FinFET_v94.in'!$T$10:$T$13</c:f>
              <c:numCache>
                <c:formatCode>0.00E+00</c:formatCode>
                <c:ptCount val="4"/>
                <c:pt idx="0">
                  <c:v>2.24E-20</c:v>
                </c:pt>
                <c:pt idx="1">
                  <c:v>2.5699999999999999E-20</c:v>
                </c:pt>
                <c:pt idx="2">
                  <c:v>1.01E-21</c:v>
                </c:pt>
                <c:pt idx="3">
                  <c:v>8.3500000000000002E-25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B-4785-9ABD-F9863493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'FinFET_v92 ve FinFET_v94.in'!$N$2</c:f>
              <c:strCache>
                <c:ptCount val="1"/>
                <c:pt idx="0">
                  <c:v>Vth (V)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FinFET_v94.in'!$E$61:$E$66</c:f>
              <c:numCache>
                <c:formatCode>0.00</c:formatCode>
                <c:ptCount val="6"/>
                <c:pt idx="0">
                  <c:v>9.9333333333333336</c:v>
                </c:pt>
                <c:pt idx="1">
                  <c:v>12.950000000000001</c:v>
                </c:pt>
                <c:pt idx="2">
                  <c:v>19.283333333333335</c:v>
                </c:pt>
                <c:pt idx="3">
                  <c:v>25.633333333333336</c:v>
                </c:pt>
                <c:pt idx="4">
                  <c:v>31.966666666666669</c:v>
                </c:pt>
                <c:pt idx="5">
                  <c:v>43.300000000000004</c:v>
                </c:pt>
              </c:numCache>
            </c:numRef>
          </c:xVal>
          <c:yVal>
            <c:numRef>
              <c:f>'FinFET_v92 ve FinFET_v94.in'!$N$59:$N$65</c:f>
              <c:numCache>
                <c:formatCode>0.00000</c:formatCode>
                <c:ptCount val="7"/>
                <c:pt idx="0">
                  <c:v>0.51790000000000003</c:v>
                </c:pt>
                <c:pt idx="1">
                  <c:v>0.73240000000000005</c:v>
                </c:pt>
                <c:pt idx="2">
                  <c:v>0.73240000000000005</c:v>
                </c:pt>
                <c:pt idx="3">
                  <c:v>0.86750000000000005</c:v>
                </c:pt>
                <c:pt idx="4">
                  <c:v>0.88070000000000004</c:v>
                </c:pt>
                <c:pt idx="5">
                  <c:v>0.78900000000000003</c:v>
                </c:pt>
                <c:pt idx="6">
                  <c:v>0.80730000000000002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8-4E77-B6F9-3023DBA7C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'FinFET_v92 ve FinFET_v94.in'!$S$2</c:f>
              <c:strCache>
                <c:ptCount val="1"/>
                <c:pt idx="0">
                  <c:v>Ion/Ioff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FinFET_v94.in'!$E$3:$E$11</c:f>
              <c:numCache>
                <c:formatCode>General</c:formatCode>
                <c:ptCount val="9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7" formatCode="0.00">
                  <c:v>31.966666666666669</c:v>
                </c:pt>
                <c:pt idx="8" formatCode="0.00">
                  <c:v>43.300000000000004</c:v>
                </c:pt>
              </c:numCache>
            </c:numRef>
          </c:xVal>
          <c:yVal>
            <c:numRef>
              <c:f>'FinFET_v92 ve FinFET_v94.in'!$S$3:$S$11</c:f>
              <c:numCache>
                <c:formatCode>0.00E+00</c:formatCode>
                <c:ptCount val="9"/>
                <c:pt idx="0">
                  <c:v>10000000</c:v>
                </c:pt>
                <c:pt idx="1">
                  <c:v>100000000000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100000000000000</c:v>
                </c:pt>
                <c:pt idx="5">
                  <c:v>100000000000000</c:v>
                </c:pt>
                <c:pt idx="6">
                  <c:v>1000000000000000</c:v>
                </c:pt>
                <c:pt idx="7">
                  <c:v>1000000000000</c:v>
                </c:pt>
                <c:pt idx="8">
                  <c:v>1000000000000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E-4F15-908A-FFA28B6EB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'FinFET_v92 ve FinFET_v94.in'!$O$2</c:f>
              <c:strCache>
                <c:ptCount val="1"/>
                <c:pt idx="0">
                  <c:v>SS (mV/dec)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'FinFET_v92 ve FinFET_v94.in'!$E$60:$E$66</c:f>
              <c:numCache>
                <c:formatCode>0.00</c:formatCode>
                <c:ptCount val="7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</c:numCache>
            </c:numRef>
          </c:xVal>
          <c:yVal>
            <c:numRef>
              <c:f>'FinFET_v92 ve FinFET_v94.in'!$O$59:$O$65</c:f>
              <c:numCache>
                <c:formatCode>0.00</c:formatCode>
                <c:ptCount val="7"/>
                <c:pt idx="0">
                  <c:v>71.3</c:v>
                </c:pt>
                <c:pt idx="1">
                  <c:v>63</c:v>
                </c:pt>
                <c:pt idx="2">
                  <c:v>63</c:v>
                </c:pt>
                <c:pt idx="3">
                  <c:v>59</c:v>
                </c:pt>
                <c:pt idx="4">
                  <c:v>59.2</c:v>
                </c:pt>
                <c:pt idx="5">
                  <c:v>60.7</c:v>
                </c:pt>
                <c:pt idx="6">
                  <c:v>59.7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3-47B9-A1BE-B852116B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DIBL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'FinFET_v92 ve FinFET_v94.in'!$P$57</c:f>
              <c:strCache>
                <c:ptCount val="1"/>
                <c:pt idx="0">
                  <c:v>DIBL
/w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3.56718192627824E-2"/>
                  <c:y val="-3.3630069641335615E-2"/>
                </c:manualLayout>
              </c:layout>
              <c:tx>
                <c:rich>
                  <a:bodyPr/>
                  <a:lstStyle/>
                  <a:p>
                    <a:fld id="{C4F46B55-31EE-43E1-9388-2101B8E7E9D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D66-4BE8-B4FD-8AF455033AA8}"/>
                </c:ext>
              </c:extLst>
            </c:dLbl>
            <c:dLbl>
              <c:idx val="1"/>
              <c:layout>
                <c:manualLayout>
                  <c:x val="-8.0856123662306781E-2"/>
                  <c:y val="2.5869284339488934E-3"/>
                </c:manualLayout>
              </c:layout>
              <c:tx>
                <c:rich>
                  <a:bodyPr/>
                  <a:lstStyle/>
                  <a:p>
                    <a:fld id="{7C678A5D-73E2-489B-8ABE-403D41342DC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D66-4BE8-B4FD-8AF455033AA8}"/>
                </c:ext>
              </c:extLst>
            </c:dLbl>
            <c:dLbl>
              <c:idx val="2"/>
              <c:layout>
                <c:manualLayout>
                  <c:x val="-9.2746730083234238E-2"/>
                  <c:y val="9.312942362216016E-2"/>
                </c:manualLayout>
              </c:layout>
              <c:tx>
                <c:rich>
                  <a:bodyPr/>
                  <a:lstStyle/>
                  <a:p>
                    <a:fld id="{A86A9A61-A47B-40DD-B460-50F09AA3132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D66-4BE8-B4FD-8AF455033AA8}"/>
                </c:ext>
              </c:extLst>
            </c:dLbl>
            <c:dLbl>
              <c:idx val="3"/>
              <c:layout>
                <c:manualLayout>
                  <c:x val="-6.6587395957193818E-2"/>
                  <c:y val="5.1738568678977769E-2"/>
                </c:manualLayout>
              </c:layout>
              <c:tx>
                <c:rich>
                  <a:bodyPr/>
                  <a:lstStyle/>
                  <a:p>
                    <a:fld id="{8E305F28-3CA5-464D-9D07-9D7EB220F4B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D66-4BE8-B4FD-8AF455033AA8}"/>
                </c:ext>
              </c:extLst>
            </c:dLbl>
            <c:dLbl>
              <c:idx val="4"/>
              <c:layout>
                <c:manualLayout>
                  <c:x val="-4.3598386557785468E-17"/>
                  <c:y val="-7.2433996150569113E-2"/>
                </c:manualLayout>
              </c:layout>
              <c:tx>
                <c:rich>
                  <a:bodyPr/>
                  <a:lstStyle/>
                  <a:p>
                    <a:fld id="{A3115EED-8B8D-4459-98F4-793902C62D4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4D66-4BE8-B4FD-8AF455033AA8}"/>
                </c:ext>
              </c:extLst>
            </c:dLbl>
            <c:dLbl>
              <c:idx val="5"/>
              <c:layout>
                <c:manualLayout>
                  <c:x val="-2.6159334126040427E-2"/>
                  <c:y val="5.6912425546875554E-2"/>
                </c:manualLayout>
              </c:layout>
              <c:tx>
                <c:rich>
                  <a:bodyPr/>
                  <a:lstStyle/>
                  <a:p>
                    <a:fld id="{CE3901FD-D237-4ECB-A5BE-0D20878C782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4D66-4BE8-B4FD-8AF455033AA8}"/>
                </c:ext>
              </c:extLst>
            </c:dLbl>
            <c:dLbl>
              <c:idx val="6"/>
              <c:layout>
                <c:manualLayout>
                  <c:x val="0"/>
                  <c:y val="-3.4401351883531411E-2"/>
                </c:manualLayout>
              </c:layout>
              <c:tx>
                <c:rich>
                  <a:bodyPr/>
                  <a:lstStyle/>
                  <a:p>
                    <a:fld id="{E1596815-7CD4-41AC-9B59-9E18EA083AD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D66-4BE8-B4FD-8AF455033AA8}"/>
                </c:ext>
              </c:extLst>
            </c:dLbl>
            <c:dLbl>
              <c:idx val="7"/>
              <c:layout>
                <c:manualLayout>
                  <c:x val="-7.826086469385557E-2"/>
                  <c:y val="-3.9693867557920849E-2"/>
                </c:manualLayout>
              </c:layout>
              <c:tx>
                <c:rich>
                  <a:bodyPr/>
                  <a:lstStyle/>
                  <a:p>
                    <a:fld id="{F21EDECD-4CCB-4C99-85E3-7A190B83515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D66-4BE8-B4FD-8AF455033AA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3E61DAD-1CC4-4EF4-B642-1036B1EC40B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D66-4BE8-B4FD-8AF455033A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'FinFET_v92 ve FinFET_v94.in'!$E$60:$E$68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'FinFET_v92 ve FinFET_v94.in'!$P$59:$P$67</c:f>
              <c:numCache>
                <c:formatCode>0.00</c:formatCode>
                <c:ptCount val="9"/>
                <c:pt idx="0">
                  <c:v>57.74</c:v>
                </c:pt>
                <c:pt idx="1">
                  <c:v>22.78</c:v>
                </c:pt>
                <c:pt idx="2">
                  <c:v>22.78</c:v>
                </c:pt>
                <c:pt idx="3">
                  <c:v>12.35</c:v>
                </c:pt>
                <c:pt idx="4">
                  <c:v>11.91</c:v>
                </c:pt>
                <c:pt idx="5">
                  <c:v>12.09</c:v>
                </c:pt>
                <c:pt idx="6">
                  <c:v>11.91</c:v>
                </c:pt>
                <c:pt idx="7">
                  <c:v>7.39</c:v>
                </c:pt>
                <c:pt idx="8">
                  <c:v>20.87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'FinFET_v92 ve FinFET_v94.in'!$A$103:$A$111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D66-4BE8-B4FD-8AF455033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'FinFET_v92 ve FinFET_v94.in'!$P$2</c:f>
              <c:strCache>
                <c:ptCount val="1"/>
                <c:pt idx="0">
                  <c:v>DIBL 
w/ Single 
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D66-4BE8-B4FD-8AF455033AA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4D66-4BE8-B4FD-8AF455033AA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4D66-4BE8-B4FD-8AF455033AA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4D66-4BE8-B4FD-8AF455033AA8}"/>
                </c:ext>
              </c:extLst>
            </c:dLbl>
            <c:dLbl>
              <c:idx val="4"/>
              <c:layout>
                <c:manualLayout>
                  <c:x val="-2.7757613741330248E-2"/>
                  <c:y val="-0.17168922648543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D66-4BE8-B4FD-8AF455033AA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4D66-4BE8-B4FD-8AF455033AA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4D66-4BE8-B4FD-8AF455033AA8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FinFET_v94.in'!$P$3:$P$9</c:f>
              <c:numCache>
                <c:formatCode>General</c:formatCode>
                <c:ptCount val="7"/>
                <c:pt idx="0">
                  <c:v>57.74</c:v>
                </c:pt>
                <c:pt idx="1">
                  <c:v>38.61</c:v>
                </c:pt>
                <c:pt idx="2">
                  <c:v>31.57</c:v>
                </c:pt>
                <c:pt idx="3">
                  <c:v>31.57</c:v>
                </c:pt>
                <c:pt idx="4">
                  <c:v>19.829999999999998</c:v>
                </c:pt>
                <c:pt idx="5">
                  <c:v>26.35</c:v>
                </c:pt>
                <c:pt idx="6">
                  <c:v>20.87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6-4BE8-B4FD-8AF455033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I</a:t>
            </a:r>
            <a:r>
              <a:rPr lang="tr-TR" baseline="-25000">
                <a:solidFill>
                  <a:srgbClr val="0070C0"/>
                </a:solidFill>
              </a:rPr>
              <a:t>OFF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</a:t>
            </a:r>
            <a:r>
              <a:rPr lang="tr-TR" baseline="0"/>
              <a:t>)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</a:t>
            </a:r>
            <a:r>
              <a:rPr lang="tr-TR" baseline="-25000">
                <a:solidFill>
                  <a:schemeClr val="accent2"/>
                </a:solidFill>
              </a:rPr>
              <a:t>OFF</a:t>
            </a:r>
            <a:r>
              <a:rPr lang="tr-TR" baseline="0">
                <a:solidFill>
                  <a:schemeClr val="accent2"/>
                </a:solidFill>
              </a:rPr>
              <a:t>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'FinFET_v92 ve FinFET_v94.in'!$T$57</c:f>
              <c:strCache>
                <c:ptCount val="1"/>
                <c:pt idx="0">
                  <c:v>Leakage Id (A) 
w/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0"/>
                  <c:y val="-6.545429506961141E-2"/>
                </c:manualLayout>
              </c:layout>
              <c:tx>
                <c:rich>
                  <a:bodyPr/>
                  <a:lstStyle/>
                  <a:p>
                    <a:fld id="{33426873-C7C7-4249-AB0E-98FC048A51C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793-4FCC-A2FC-F20E525ACCF1}"/>
                </c:ext>
              </c:extLst>
            </c:dLbl>
            <c:dLbl>
              <c:idx val="1"/>
              <c:layout>
                <c:manualLayout>
                  <c:x val="3.4735954776521994E-3"/>
                  <c:y val="-5.7599779661258045E-2"/>
                </c:manualLayout>
              </c:layout>
              <c:tx>
                <c:rich>
                  <a:bodyPr/>
                  <a:lstStyle/>
                  <a:p>
                    <a:fld id="{DC77353B-A010-41FE-AE2A-83306DDDFC7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793-4FCC-A2FC-F20E525ACCF1}"/>
                </c:ext>
              </c:extLst>
            </c:dLbl>
            <c:dLbl>
              <c:idx val="2"/>
              <c:layout>
                <c:manualLayout>
                  <c:x val="1.9104775127087099E-2"/>
                  <c:y val="-2.0945374422275655E-2"/>
                </c:manualLayout>
              </c:layout>
              <c:tx>
                <c:rich>
                  <a:bodyPr/>
                  <a:lstStyle/>
                  <a:p>
                    <a:fld id="{87007EE7-9731-4222-85F9-20DD2694EF5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793-4FCC-A2FC-F20E525ACCF1}"/>
                </c:ext>
              </c:extLst>
            </c:dLbl>
            <c:dLbl>
              <c:idx val="3"/>
              <c:layout>
                <c:manualLayout>
                  <c:x val="-2.9525561560043698E-2"/>
                  <c:y val="4.9745264252904674E-2"/>
                </c:manualLayout>
              </c:layout>
              <c:tx>
                <c:rich>
                  <a:bodyPr/>
                  <a:lstStyle/>
                  <a:p>
                    <a:fld id="{68B7FB0D-C902-4D99-B49B-3DE48645772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793-4FCC-A2FC-F20E525ACCF1}"/>
                </c:ext>
              </c:extLst>
            </c:dLbl>
            <c:dLbl>
              <c:idx val="4"/>
              <c:layout>
                <c:manualLayout>
                  <c:x val="2.0841572865913198E-2"/>
                  <c:y val="2.8799889830629023E-2"/>
                </c:manualLayout>
              </c:layout>
              <c:tx>
                <c:rich>
                  <a:bodyPr/>
                  <a:lstStyle/>
                  <a:p>
                    <a:fld id="{A1BF9127-D1AE-499E-BF6E-542240E0602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793-4FCC-A2FC-F20E525ACCF1}"/>
                </c:ext>
              </c:extLst>
            </c:dLbl>
            <c:dLbl>
              <c:idx val="5"/>
              <c:layout>
                <c:manualLayout>
                  <c:x val="-2.0841572865913198E-2"/>
                  <c:y val="-4.9745264252904674E-2"/>
                </c:manualLayout>
              </c:layout>
              <c:tx>
                <c:rich>
                  <a:bodyPr/>
                  <a:lstStyle/>
                  <a:p>
                    <a:fld id="{A0AF5D6F-9F91-4F46-95F3-B9DB952FA79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793-4FCC-A2FC-F20E525ACCF1}"/>
                </c:ext>
              </c:extLst>
            </c:dLbl>
            <c:dLbl>
              <c:idx val="6"/>
              <c:layout>
                <c:manualLayout>
                  <c:x val="-5.2103932164782995E-3"/>
                  <c:y val="-5.4981607858473593E-2"/>
                </c:manualLayout>
              </c:layout>
              <c:tx>
                <c:rich>
                  <a:bodyPr/>
                  <a:lstStyle/>
                  <a:p>
                    <a:fld id="{2FD56DA5-37AA-443B-B997-23CE8B39026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793-4FCC-A2FC-F20E525ACCF1}"/>
                </c:ext>
              </c:extLst>
            </c:dLbl>
            <c:dLbl>
              <c:idx val="7"/>
              <c:layout>
                <c:manualLayout>
                  <c:x val="-6.9471909553043987E-3"/>
                  <c:y val="-6.2836123266826957E-2"/>
                </c:manualLayout>
              </c:layout>
              <c:tx>
                <c:rich>
                  <a:bodyPr/>
                  <a:lstStyle/>
                  <a:p>
                    <a:fld id="{950FA067-147E-4CD5-B400-EA79B1AEAFB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793-4FCC-A2FC-F20E525ACCF1}"/>
                </c:ext>
              </c:extLst>
            </c:dLbl>
            <c:dLbl>
              <c:idx val="8"/>
              <c:layout>
                <c:manualLayout>
                  <c:x val="1.3908679933484623E-2"/>
                  <c:y val="2.0803059523982589E-2"/>
                </c:manualLayout>
              </c:layout>
              <c:tx>
                <c:rich>
                  <a:bodyPr/>
                  <a:lstStyle/>
                  <a:p>
                    <a:fld id="{C9F6C3F7-BD5B-433A-AC37-6BAD59827FF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793-4FCC-A2FC-F20E525A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'FinFET_v92 ve FinFET_v94.in'!$E$60:$E$68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'FinFET_v92 ve FinFET_v94.in'!$T$59:$T$67</c:f>
              <c:numCache>
                <c:formatCode>0.00E+00</c:formatCode>
                <c:ptCount val="9"/>
                <c:pt idx="0">
                  <c:v>1.505E-15</c:v>
                </c:pt>
                <c:pt idx="1">
                  <c:v>1.0869E-18</c:v>
                </c:pt>
                <c:pt idx="2">
                  <c:v>1.086E-18</c:v>
                </c:pt>
                <c:pt idx="3">
                  <c:v>1.01E-21</c:v>
                </c:pt>
                <c:pt idx="4">
                  <c:v>8.3500000000000002E-25</c:v>
                </c:pt>
                <c:pt idx="5">
                  <c:v>2.24E-20</c:v>
                </c:pt>
                <c:pt idx="6">
                  <c:v>2.5699999999999999E-20</c:v>
                </c:pt>
                <c:pt idx="7">
                  <c:v>4.1599999999999999E-32</c:v>
                </c:pt>
                <c:pt idx="8">
                  <c:v>4.8600000000000002E-24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'FinFET_v92 ve FinFET_v94.in'!$A$103:$A$111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F793-4FCC-A2FC-F20E525A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'FinFET_v92 ve FinFET_v94.in'!$T$2</c:f>
              <c:strCache>
                <c:ptCount val="1"/>
                <c:pt idx="0">
                  <c:v>Leakage Id (A)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FinFET_v94.in'!$T$3:$T$9</c:f>
              <c:numCache>
                <c:formatCode>0.00E+00</c:formatCode>
                <c:ptCount val="7"/>
                <c:pt idx="0">
                  <c:v>1.505E-15</c:v>
                </c:pt>
                <c:pt idx="1">
                  <c:v>5.6499999999999998E-19</c:v>
                </c:pt>
                <c:pt idx="2">
                  <c:v>1.283E-20</c:v>
                </c:pt>
                <c:pt idx="3">
                  <c:v>1.283E-20</c:v>
                </c:pt>
                <c:pt idx="4">
                  <c:v>4.6599999999999996E-22</c:v>
                </c:pt>
                <c:pt idx="5">
                  <c:v>3.3900000000000001E-22</c:v>
                </c:pt>
                <c:pt idx="6">
                  <c:v>4.8600000000000002E-24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793-4FCC-A2FC-F20E525A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</a:t>
                </a:r>
                <a:r>
                  <a:rPr lang="tr-TR" sz="1800" b="1" i="0" baseline="0">
                    <a:effectLst/>
                  </a:rPr>
                  <a:t> </a:t>
                </a:r>
                <a:r>
                  <a:rPr lang="tr-TR" sz="1800" b="1" i="0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4806293925385"/>
              <c:y val="0.78891583631245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log (</a:t>
                </a:r>
                <a:r>
                  <a:rPr lang="tr-TR" sz="1400" b="1" i="0" u="none" strike="noStrike" baseline="0">
                    <a:effectLst/>
                  </a:rPr>
                  <a:t>I</a:t>
                </a:r>
                <a:r>
                  <a:rPr lang="tr-TR" sz="1400" b="1" i="0" u="none" strike="noStrike" baseline="-25000">
                    <a:effectLst/>
                  </a:rPr>
                  <a:t>OFF</a:t>
                </a:r>
                <a:r>
                  <a:rPr lang="tr-TR" sz="1400" baseline="0"/>
                  <a:t> 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I</a:t>
            </a:r>
            <a:r>
              <a:rPr lang="tr-TR" baseline="-25000">
                <a:solidFill>
                  <a:srgbClr val="0070C0"/>
                </a:solidFill>
              </a:rPr>
              <a:t>ON,max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I</a:t>
            </a:r>
            <a:r>
              <a:rPr lang="tr-TR" sz="1400" b="1" i="0" u="none" strike="noStrike" cap="none" baseline="-25000">
                <a:solidFill>
                  <a:schemeClr val="accent2"/>
                </a:solidFill>
                <a:effectLst/>
              </a:rPr>
              <a:t>ON,max</a:t>
            </a: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 </a:t>
            </a:r>
            <a:r>
              <a:rPr lang="tr-TR" baseline="0">
                <a:solidFill>
                  <a:schemeClr val="accent2"/>
                </a:solidFill>
              </a:rPr>
              <a:t>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'FinFET_v92 ve FinFET_v94.in'!$U$57</c:f>
              <c:strCache>
                <c:ptCount val="1"/>
                <c:pt idx="0">
                  <c:v>Max Id (A) 
w/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B1EBBFD-574B-46D6-B121-CB10760C1C1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A3F-4269-9562-890C8CD8981A}"/>
                </c:ext>
              </c:extLst>
            </c:dLbl>
            <c:dLbl>
              <c:idx val="1"/>
              <c:layout>
                <c:manualLayout>
                  <c:x val="-5.2064785538179382E-3"/>
                  <c:y val="-5.1798646831727607E-2"/>
                </c:manualLayout>
              </c:layout>
              <c:tx>
                <c:rich>
                  <a:bodyPr/>
                  <a:lstStyle/>
                  <a:p>
                    <a:fld id="{6662A52E-BCF7-4DDC-B708-292B9AA7C7A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A3F-4269-9562-890C8CD8981A}"/>
                </c:ext>
              </c:extLst>
            </c:dLbl>
            <c:dLbl>
              <c:idx val="2"/>
              <c:layout>
                <c:manualLayout>
                  <c:x val="1.214844995890845E-2"/>
                  <c:y val="-2.3309391074277423E-2"/>
                </c:manualLayout>
              </c:layout>
              <c:tx>
                <c:rich>
                  <a:bodyPr/>
                  <a:lstStyle/>
                  <a:p>
                    <a:fld id="{8D111023-9C97-48E7-BC82-91D5B172E52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A3F-4269-9562-890C8CD8981A}"/>
                </c:ext>
              </c:extLst>
            </c:dLbl>
            <c:dLbl>
              <c:idx val="3"/>
              <c:layout>
                <c:manualLayout>
                  <c:x val="1.214844995890845E-2"/>
                  <c:y val="-3.1079188099036564E-2"/>
                </c:manualLayout>
              </c:layout>
              <c:tx>
                <c:rich>
                  <a:bodyPr/>
                  <a:lstStyle/>
                  <a:p>
                    <a:fld id="{E317E398-509B-48D6-901F-80FFC9C78F6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A3F-4269-9562-890C8CD8981A}"/>
                </c:ext>
              </c:extLst>
            </c:dLbl>
            <c:dLbl>
              <c:idx val="4"/>
              <c:layout>
                <c:manualLayout>
                  <c:x val="-1.3883942810181148E-2"/>
                  <c:y val="4.4028849806968466E-2"/>
                </c:manualLayout>
              </c:layout>
              <c:tx>
                <c:rich>
                  <a:bodyPr/>
                  <a:lstStyle/>
                  <a:p>
                    <a:fld id="{3A252DAA-35D4-4D48-8FA0-9B567B3BB46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A3F-4269-9562-890C8CD8981A}"/>
                </c:ext>
              </c:extLst>
            </c:dLbl>
            <c:dLbl>
              <c:idx val="5"/>
              <c:layout>
                <c:manualLayout>
                  <c:x val="-1.214844995890845E-2"/>
                  <c:y val="4.6618782148554846E-2"/>
                </c:manualLayout>
              </c:layout>
              <c:tx>
                <c:rich>
                  <a:bodyPr/>
                  <a:lstStyle/>
                  <a:p>
                    <a:fld id="{E8D591D4-2979-4BD2-BB25-67A64859186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A3F-4269-9562-890C8CD8981A}"/>
                </c:ext>
              </c:extLst>
            </c:dLbl>
            <c:dLbl>
              <c:idx val="6"/>
              <c:layout>
                <c:manualLayout>
                  <c:x val="-1.3883942810181083E-2"/>
                  <c:y val="4.1438917465382086E-2"/>
                </c:manualLayout>
              </c:layout>
              <c:tx>
                <c:rich>
                  <a:bodyPr/>
                  <a:lstStyle/>
                  <a:p>
                    <a:fld id="{5A2F0E71-8E3D-4E44-8E90-699D76E569A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A3F-4269-9562-890C8CD8981A}"/>
                </c:ext>
              </c:extLst>
            </c:dLbl>
            <c:dLbl>
              <c:idx val="7"/>
              <c:layout>
                <c:manualLayout>
                  <c:x val="-6.9419714050905417E-3"/>
                  <c:y val="-3.3669120440622896E-2"/>
                </c:manualLayout>
              </c:layout>
              <c:tx>
                <c:rich>
                  <a:bodyPr/>
                  <a:lstStyle/>
                  <a:p>
                    <a:fld id="{B48679E7-97A6-4070-898B-F56445C3D4E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A3F-4269-9562-890C8CD8981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1464A6F-112D-4CC2-8081-67AC3380393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A3F-4269-9562-890C8CD89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'FinFET_v92 ve FinFET_v94.in'!$E$60:$E$68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'FinFET_v92 ve FinFET_v94.in'!$U$59:$U$67</c:f>
              <c:numCache>
                <c:formatCode>0.00E+00</c:formatCode>
                <c:ptCount val="9"/>
                <c:pt idx="0">
                  <c:v>1.5650000000000001E-5</c:v>
                </c:pt>
                <c:pt idx="1">
                  <c:v>2.12E-5</c:v>
                </c:pt>
                <c:pt idx="2">
                  <c:v>2.12E-5</c:v>
                </c:pt>
                <c:pt idx="3">
                  <c:v>1.6200000000000001E-5</c:v>
                </c:pt>
                <c:pt idx="4">
                  <c:v>8.9579999999999996E-6</c:v>
                </c:pt>
                <c:pt idx="5">
                  <c:v>8.1699999999999997E-6</c:v>
                </c:pt>
                <c:pt idx="6">
                  <c:v>5.1399999999999999E-6</c:v>
                </c:pt>
                <c:pt idx="7">
                  <c:v>8.7099999999999996E-6</c:v>
                </c:pt>
                <c:pt idx="8">
                  <c:v>6.1700000000000002E-6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'FinFET_v92 ve FinFET_v94.in'!$A$103:$A$111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EA3F-4269-9562-890C8CD8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'FinFET_v92 ve FinFET_v94.in'!$U$2</c:f>
              <c:strCache>
                <c:ptCount val="1"/>
                <c:pt idx="0">
                  <c:v>Max Id (A) 
w/ Single Dielectric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FinFET_v94.in'!$U$3:$U$9</c:f>
              <c:numCache>
                <c:formatCode>0.00E+00</c:formatCode>
                <c:ptCount val="7"/>
                <c:pt idx="0">
                  <c:v>1.5650000000000001E-5</c:v>
                </c:pt>
                <c:pt idx="1">
                  <c:v>1.2799999999999999E-5</c:v>
                </c:pt>
                <c:pt idx="2">
                  <c:v>8.8170000000000005E-6</c:v>
                </c:pt>
                <c:pt idx="3">
                  <c:v>8.8170000000000005E-6</c:v>
                </c:pt>
                <c:pt idx="4">
                  <c:v>6.1727999999999996E-6</c:v>
                </c:pt>
                <c:pt idx="5">
                  <c:v>1.06E-5</c:v>
                </c:pt>
                <c:pt idx="6">
                  <c:v>6.1700000000000002E-6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A3F-4269-9562-890C8CD8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800"/>
                  <a:t>log ( I</a:t>
                </a:r>
                <a:r>
                  <a:rPr lang="tr-TR" sz="1800" baseline="-25000"/>
                  <a:t>ON</a:t>
                </a:r>
                <a:r>
                  <a:rPr lang="tr-TR" sz="1800"/>
                  <a:t>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1533124098458105E-2"/>
              <c:y val="0.49920993903568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32863023515"/>
          <c:y val="0.1309892054474538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'FinFET_v92 ve FinFET_v94.in'!$N$57</c:f>
              <c:strCache>
                <c:ptCount val="1"/>
                <c:pt idx="0">
                  <c:v>Vth (V) 
w/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3012AC6-5DE6-46D2-B0BE-6F437B9A51F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DA0-483C-A3EF-97841EA2BA3B}"/>
                </c:ext>
              </c:extLst>
            </c:dLbl>
            <c:dLbl>
              <c:idx val="1"/>
              <c:layout>
                <c:manualLayout>
                  <c:x val="-3.1752137314538618E-17"/>
                  <c:y val="8.3506037133063399E-2"/>
                </c:manualLayout>
              </c:layout>
              <c:tx>
                <c:rich>
                  <a:bodyPr/>
                  <a:lstStyle/>
                  <a:p>
                    <a:fld id="{A88C0335-8EFE-4A9F-A304-434BD64BB0B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DA0-483C-A3EF-97841EA2BA3B}"/>
                </c:ext>
              </c:extLst>
            </c:dLbl>
            <c:dLbl>
              <c:idx val="2"/>
              <c:layout>
                <c:manualLayout>
                  <c:x val="2.5979321551040501E-2"/>
                  <c:y val="0"/>
                </c:manualLayout>
              </c:layout>
              <c:tx>
                <c:rich>
                  <a:bodyPr/>
                  <a:lstStyle/>
                  <a:p>
                    <a:fld id="{1655B591-01F8-4609-B868-3C00BF1F184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DA0-483C-A3EF-97841EA2BA3B}"/>
                </c:ext>
              </c:extLst>
            </c:dLbl>
            <c:dLbl>
              <c:idx val="3"/>
              <c:layout>
                <c:manualLayout>
                  <c:x val="1.3855638160554934E-2"/>
                  <c:y val="4.4362582226939937E-2"/>
                </c:manualLayout>
              </c:layout>
              <c:tx>
                <c:rich>
                  <a:bodyPr/>
                  <a:lstStyle/>
                  <a:p>
                    <a:fld id="{7634FEAC-881D-412F-9A0D-FE993D5C046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DA0-483C-A3EF-97841EA2BA3B}"/>
                </c:ext>
              </c:extLst>
            </c:dLbl>
            <c:dLbl>
              <c:idx val="4"/>
              <c:layout>
                <c:manualLayout>
                  <c:x val="2.0783457240832401E-2"/>
                  <c:y val="-1.5657381962449455E-2"/>
                </c:manualLayout>
              </c:layout>
              <c:tx>
                <c:rich>
                  <a:bodyPr/>
                  <a:lstStyle/>
                  <a:p>
                    <a:fld id="{A2259CF8-9CED-418E-AF77-2F3F3891B9F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DA0-483C-A3EF-97841EA2BA3B}"/>
                </c:ext>
              </c:extLst>
            </c:dLbl>
            <c:dLbl>
              <c:idx val="5"/>
              <c:layout>
                <c:manualLayout>
                  <c:x val="0"/>
                  <c:y val="7.3067782491430561E-2"/>
                </c:manualLayout>
              </c:layout>
              <c:tx>
                <c:rich>
                  <a:bodyPr/>
                  <a:lstStyle/>
                  <a:p>
                    <a:fld id="{1F6DABAC-2DC0-4724-AEE1-B8055527416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DA0-483C-A3EF-97841EA2BA3B}"/>
                </c:ext>
              </c:extLst>
            </c:dLbl>
            <c:dLbl>
              <c:idx val="6"/>
              <c:layout>
                <c:manualLayout>
                  <c:x val="2.2515412010901705E-2"/>
                  <c:y val="3.9143454906123518E-2"/>
                </c:manualLayout>
              </c:layout>
              <c:tx>
                <c:rich>
                  <a:bodyPr/>
                  <a:lstStyle/>
                  <a:p>
                    <a:fld id="{8DCBF08B-C7B9-42E6-A34C-19BC5A17F09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DA0-483C-A3EF-97841EA2BA3B}"/>
                </c:ext>
              </c:extLst>
            </c:dLbl>
            <c:dLbl>
              <c:idx val="7"/>
              <c:layout>
                <c:manualLayout>
                  <c:x val="0"/>
                  <c:y val="6.2629527849797625E-2"/>
                </c:manualLayout>
              </c:layout>
              <c:tx>
                <c:rich>
                  <a:bodyPr/>
                  <a:lstStyle/>
                  <a:p>
                    <a:fld id="{AE82B9CE-D96F-41C8-A6DB-FFF04CF8D00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DA0-483C-A3EF-97841EA2BA3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62A7B8F-471A-4055-B86D-665B1E99FA9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A0-483C-A3EF-97841EA2BA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'FinFET_v92 ve FinFET_v94.in'!$E$60:$E$68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'FinFET_v92 ve FinFET_v94.in'!$N$59:$N$67</c:f>
              <c:numCache>
                <c:formatCode>0.00000</c:formatCode>
                <c:ptCount val="9"/>
                <c:pt idx="0">
                  <c:v>0.51790000000000003</c:v>
                </c:pt>
                <c:pt idx="1">
                  <c:v>0.73240000000000005</c:v>
                </c:pt>
                <c:pt idx="2">
                  <c:v>0.73240000000000005</c:v>
                </c:pt>
                <c:pt idx="3">
                  <c:v>0.86750000000000005</c:v>
                </c:pt>
                <c:pt idx="4">
                  <c:v>0.88070000000000004</c:v>
                </c:pt>
                <c:pt idx="5">
                  <c:v>0.78900000000000003</c:v>
                </c:pt>
                <c:pt idx="6">
                  <c:v>0.80730000000000002</c:v>
                </c:pt>
                <c:pt idx="7">
                  <c:v>0.99099999999999999</c:v>
                </c:pt>
                <c:pt idx="8">
                  <c:v>1.0034000000000001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'FinFET_v92 ve FinFET_v94.in'!$A$103:$A$111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BDA0-483C-A3EF-97841EA2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'FinFET_v92 ve FinFET_v94.in'!$N$2</c:f>
              <c:strCache>
                <c:ptCount val="1"/>
                <c:pt idx="0">
                  <c:v>Vth (V)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FinFET_v94.in'!$N$3:$N$9</c:f>
              <c:numCache>
                <c:formatCode>General</c:formatCode>
                <c:ptCount val="7"/>
                <c:pt idx="0">
                  <c:v>0.51790000000000003</c:v>
                </c:pt>
                <c:pt idx="1">
                  <c:v>0.748</c:v>
                </c:pt>
                <c:pt idx="2">
                  <c:v>0.85229999999999995</c:v>
                </c:pt>
                <c:pt idx="3">
                  <c:v>0.85229999999999995</c:v>
                </c:pt>
                <c:pt idx="4">
                  <c:v>0.92500000000000004</c:v>
                </c:pt>
                <c:pt idx="5">
                  <c:v>0.94210000000000005</c:v>
                </c:pt>
                <c:pt idx="6">
                  <c:v>1.0034000000000001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A0-483C-A3EF-97841EA2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Threshold Voltage </a:t>
                </a:r>
                <a:r>
                  <a:rPr lang="tr-TR" sz="1050" baseline="0"/>
                  <a:t> - Vth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3269314709733745E-2"/>
              <c:y val="0.28050300091847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cap="none" baseline="0">
                <a:solidFill>
                  <a:srgbClr val="0070C0"/>
                </a:solidFill>
                <a:effectLst/>
              </a:rPr>
              <a:t>I</a:t>
            </a:r>
            <a:r>
              <a:rPr lang="tr-TR" sz="1400" b="1" i="0" u="none" strike="noStrike" cap="none" baseline="-25000">
                <a:solidFill>
                  <a:srgbClr val="0070C0"/>
                </a:solidFill>
                <a:effectLst/>
              </a:rPr>
              <a:t>ON </a:t>
            </a:r>
            <a:r>
              <a:rPr lang="tr-TR" baseline="0">
                <a:solidFill>
                  <a:srgbClr val="0070C0"/>
                </a:solidFill>
              </a:rPr>
              <a:t>/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</a:rPr>
              <a:t>I</a:t>
            </a:r>
            <a:r>
              <a:rPr lang="tr-TR" sz="1400" b="1" i="0" u="none" strike="noStrike" cap="none" baseline="-25000">
                <a:solidFill>
                  <a:srgbClr val="0070C0"/>
                </a:solidFill>
                <a:effectLst/>
              </a:rPr>
              <a:t>OFF </a:t>
            </a:r>
            <a:r>
              <a:rPr lang="tr-TR" baseline="0">
                <a:solidFill>
                  <a:srgbClr val="0070C0"/>
                </a:solidFill>
              </a:rPr>
              <a:t> w/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I</a:t>
            </a:r>
            <a:r>
              <a:rPr lang="tr-TR" sz="1400" b="1" i="0" u="none" strike="noStrike" cap="none" baseline="-25000">
                <a:solidFill>
                  <a:schemeClr val="accent2"/>
                </a:solidFill>
                <a:effectLst/>
              </a:rPr>
              <a:t>ON </a:t>
            </a: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/I</a:t>
            </a:r>
            <a:r>
              <a:rPr lang="tr-TR" sz="1400" b="1" i="0" u="none" strike="noStrike" cap="none" baseline="-25000">
                <a:solidFill>
                  <a:schemeClr val="accent2"/>
                </a:solidFill>
                <a:effectLst/>
              </a:rPr>
              <a:t>OFF </a:t>
            </a: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 </a:t>
            </a:r>
            <a:r>
              <a:rPr lang="tr-TR" baseline="0">
                <a:solidFill>
                  <a:schemeClr val="accent2"/>
                </a:solidFill>
              </a:rPr>
              <a:t>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32863023515"/>
          <c:y val="0.1309892054474538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'FinFET_v92 ve FinFET_v94.in'!$S$57</c:f>
              <c:strCache>
                <c:ptCount val="1"/>
                <c:pt idx="0">
                  <c:v>Ion/Ioff 
w/ FGMs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3.4557790217070526E-2"/>
                  <c:y val="-8.6276622272236106E-2"/>
                </c:manualLayout>
              </c:layout>
              <c:tx>
                <c:rich>
                  <a:bodyPr/>
                  <a:lstStyle/>
                  <a:p>
                    <a:fld id="{A2718BA6-889D-47F6-8DEE-42F9DF13138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E38-44DB-A175-D3D3333D1F16}"/>
                </c:ext>
              </c:extLst>
            </c:dLbl>
            <c:dLbl>
              <c:idx val="1"/>
              <c:layout>
                <c:manualLayout>
                  <c:x val="3.8013569238777599E-2"/>
                  <c:y val="-5.0750954277786874E-3"/>
                </c:manualLayout>
              </c:layout>
              <c:tx>
                <c:rich>
                  <a:bodyPr/>
                  <a:lstStyle/>
                  <a:p>
                    <a:fld id="{6EB5F955-A003-49EA-9302-2FBF9236903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E38-44DB-A175-D3D3333D1F16}"/>
                </c:ext>
              </c:extLst>
            </c:dLbl>
            <c:dLbl>
              <c:idx val="2"/>
              <c:layout>
                <c:manualLayout>
                  <c:x val="2.246256364109582E-2"/>
                  <c:y val="0"/>
                </c:manualLayout>
              </c:layout>
              <c:tx>
                <c:rich>
                  <a:bodyPr/>
                  <a:lstStyle/>
                  <a:p>
                    <a:fld id="{7C0FCE1D-B50E-41FC-8FC9-05B76E0BCE0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E38-44DB-A175-D3D3333D1F16}"/>
                </c:ext>
              </c:extLst>
            </c:dLbl>
            <c:dLbl>
              <c:idx val="3"/>
              <c:layout>
                <c:manualLayout>
                  <c:x val="2.4190453151949381E-2"/>
                  <c:y val="2.791302485278218E-2"/>
                </c:manualLayout>
              </c:layout>
              <c:tx>
                <c:rich>
                  <a:bodyPr/>
                  <a:lstStyle/>
                  <a:p>
                    <a:fld id="{38FB8425-E5E1-49BC-8579-68E00FD67D3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E38-44DB-A175-D3D3333D1F16}"/>
                </c:ext>
              </c:extLst>
            </c:dLbl>
            <c:dLbl>
              <c:idx val="4"/>
              <c:layout>
                <c:manualLayout>
                  <c:x val="5.183668532560518E-3"/>
                  <c:y val="-5.5826049705564589E-2"/>
                </c:manualLayout>
              </c:layout>
              <c:tx>
                <c:rich>
                  <a:bodyPr/>
                  <a:lstStyle/>
                  <a:p>
                    <a:fld id="{C4688DC2-5502-4337-A642-2C11396730D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E38-44DB-A175-D3D3333D1F16}"/>
                </c:ext>
              </c:extLst>
            </c:dLbl>
            <c:dLbl>
              <c:idx val="5"/>
              <c:layout>
                <c:manualLayout>
                  <c:x val="0"/>
                  <c:y val="6.0901145133343139E-2"/>
                </c:manualLayout>
              </c:layout>
              <c:tx>
                <c:rich>
                  <a:bodyPr/>
                  <a:lstStyle/>
                  <a:p>
                    <a:fld id="{4CCABF98-3F17-44F4-BAB2-7AF97507E3D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E38-44DB-A175-D3D3333D1F16}"/>
                </c:ext>
              </c:extLst>
            </c:dLbl>
            <c:dLbl>
              <c:idx val="6"/>
              <c:layout>
                <c:manualLayout>
                  <c:x val="3.1102011195363551E-2"/>
                  <c:y val="3.8063215708339461E-2"/>
                </c:manualLayout>
              </c:layout>
              <c:tx>
                <c:rich>
                  <a:bodyPr/>
                  <a:lstStyle/>
                  <a:p>
                    <a:fld id="{EB1F5AFE-57DB-4647-8E07-FFAD64FB0B9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E38-44DB-A175-D3D3333D1F16}"/>
                </c:ext>
              </c:extLst>
            </c:dLbl>
            <c:dLbl>
              <c:idx val="7"/>
              <c:layout>
                <c:manualLayout>
                  <c:x val="-1.209522657597469E-2"/>
                  <c:y val="6.8513788275011034E-2"/>
                </c:manualLayout>
              </c:layout>
              <c:tx>
                <c:rich>
                  <a:bodyPr/>
                  <a:lstStyle/>
                  <a:p>
                    <a:fld id="{2129E7D7-A087-40A1-A246-91B3E44FB24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E38-44DB-A175-D3D3333D1F16}"/>
                </c:ext>
              </c:extLst>
            </c:dLbl>
            <c:dLbl>
              <c:idx val="8"/>
              <c:layout>
                <c:manualLayout>
                  <c:x val="1.209522657597469E-2"/>
                  <c:y val="7.105133598890033E-2"/>
                </c:manualLayout>
              </c:layout>
              <c:tx>
                <c:rich>
                  <a:bodyPr/>
                  <a:lstStyle/>
                  <a:p>
                    <a:fld id="{31541E9E-A73B-426F-836E-791C3F5CBC4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E38-44DB-A175-D3D3333D1F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'FinFET_v92 ve FinFET_v94.in'!$E$60:$E$68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'FinFET_v92 ve FinFET_v94.in'!$S$59:$S$67</c:f>
              <c:numCache>
                <c:formatCode>0.00E+00</c:formatCode>
                <c:ptCount val="9"/>
                <c:pt idx="0">
                  <c:v>10000000</c:v>
                </c:pt>
                <c:pt idx="1">
                  <c:v>10000000</c:v>
                </c:pt>
                <c:pt idx="2">
                  <c:v>10000000000</c:v>
                </c:pt>
                <c:pt idx="3">
                  <c:v>10000000000000</c:v>
                </c:pt>
                <c:pt idx="4">
                  <c:v>100000000000000</c:v>
                </c:pt>
                <c:pt idx="5">
                  <c:v>1000000000000</c:v>
                </c:pt>
                <c:pt idx="6">
                  <c:v>1000000000000</c:v>
                </c:pt>
                <c:pt idx="7">
                  <c:v>1E+22</c:v>
                </c:pt>
                <c:pt idx="8">
                  <c:v>1000000000000000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'FinFET_v92 ve FinFET_v94.in'!$A$103:$A$111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9E38-44DB-A175-D3D3333D1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'FinFET_v92 ve FinFET_v94.in'!$S$2</c:f>
              <c:strCache>
                <c:ptCount val="1"/>
                <c:pt idx="0">
                  <c:v>Ion/Ioff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FinFET_v94.in'!$S$3:$S$9</c:f>
              <c:numCache>
                <c:formatCode>0.00E+00</c:formatCode>
                <c:ptCount val="7"/>
                <c:pt idx="0">
                  <c:v>10000000</c:v>
                </c:pt>
                <c:pt idx="1">
                  <c:v>100000000000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100000000000000</c:v>
                </c:pt>
                <c:pt idx="5">
                  <c:v>100000000000000</c:v>
                </c:pt>
                <c:pt idx="6">
                  <c:v>1000000000000000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38-44DB-A175-D3D3333D1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/>
                  <a:t>ION /IOFF ratio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2877622394311552E-2"/>
              <c:y val="0.28050301813236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SS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SS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32863023515"/>
          <c:y val="0.1309892054474538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'FinFET_v92 ve FinFET_v94.in'!$O$57</c:f>
              <c:strCache>
                <c:ptCount val="1"/>
                <c:pt idx="0">
                  <c:v>SS (mV/dec) 
w/ FGMs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385E9A5-7B72-4AAD-92E5-FEFB82F389D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05D-4C7D-8387-3AB59A8C00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DB2F27-0D52-4F37-AD56-5FC677A10D5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05D-4C7D-8387-3AB59A8C00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64848F1-FA46-431C-8A30-CD49127ABB4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05D-4C7D-8387-3AB59A8C00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D4211F-2FA9-4273-A489-6938C53AF58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05D-4C7D-8387-3AB59A8C00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41929BD-4781-4437-A292-2F75B0F38C1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05D-4C7D-8387-3AB59A8C00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11D069A-3563-45B9-8F73-3F0EE1AE025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05D-4C7D-8387-3AB59A8C00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CFB2B55-8183-4936-B75E-A40D151C51C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05D-4C7D-8387-3AB59A8C00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DB05503-715D-4753-9545-E28FA5DB14F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05D-4C7D-8387-3AB59A8C00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35D0F3A-A400-49C3-83A4-F28B196703C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05D-4C7D-8387-3AB59A8C00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'FinFET_v92 ve FinFET_v94.in'!$E$60:$E$68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'FinFET_v92 ve FinFET_v94.in'!$O$59:$O$67</c:f>
              <c:numCache>
                <c:formatCode>0.00</c:formatCode>
                <c:ptCount val="9"/>
                <c:pt idx="0">
                  <c:v>71.3</c:v>
                </c:pt>
                <c:pt idx="1">
                  <c:v>63</c:v>
                </c:pt>
                <c:pt idx="2">
                  <c:v>63</c:v>
                </c:pt>
                <c:pt idx="3">
                  <c:v>59</c:v>
                </c:pt>
                <c:pt idx="4">
                  <c:v>59.2</c:v>
                </c:pt>
                <c:pt idx="5">
                  <c:v>60.7</c:v>
                </c:pt>
                <c:pt idx="6">
                  <c:v>59.7</c:v>
                </c:pt>
                <c:pt idx="7">
                  <c:v>57.8</c:v>
                </c:pt>
                <c:pt idx="8">
                  <c:v>58.9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'FinFET_v92 ve FinFET_v94.in'!$A$103:$A$111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005D-4C7D-8387-3AB59A8C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'FinFET_v92 ve FinFET_v94.in'!$O$2</c:f>
              <c:strCache>
                <c:ptCount val="1"/>
                <c:pt idx="0">
                  <c:v>SS (mV/dec)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'FinFET_v92 ve FinFET_v94.in'!$D$3:$D$9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'FinFET_v92 ve FinFET_v94.in'!$O$3:$O$9</c:f>
              <c:numCache>
                <c:formatCode>General</c:formatCode>
                <c:ptCount val="7"/>
                <c:pt idx="0">
                  <c:v>71.3</c:v>
                </c:pt>
                <c:pt idx="1">
                  <c:v>64.400000000000006</c:v>
                </c:pt>
                <c:pt idx="2">
                  <c:v>60.4</c:v>
                </c:pt>
                <c:pt idx="3">
                  <c:v>60.4</c:v>
                </c:pt>
                <c:pt idx="4">
                  <c:v>58.1</c:v>
                </c:pt>
                <c:pt idx="5">
                  <c:v>57.9</c:v>
                </c:pt>
                <c:pt idx="6">
                  <c:v>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5D-4C7D-8387-3AB59A8C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Subthreshold slope</a:t>
                </a:r>
                <a:r>
                  <a:rPr lang="tr-TR" sz="1400" baseline="0"/>
                  <a:t> (mV /dec)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3269322180946442E-2"/>
              <c:y val="0.22031408840193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Leakage 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xVal>
          <c:yVal>
            <c:numRef>
              <c:f>Sheet1!$I$3:$I$7</c:f>
              <c:numCache>
                <c:formatCode>0.00E+00</c:formatCode>
                <c:ptCount val="5"/>
                <c:pt idx="0">
                  <c:v>9.2299999999999999E-24</c:v>
                </c:pt>
                <c:pt idx="1">
                  <c:v>2.3620000000000001E-23</c:v>
                </c:pt>
                <c:pt idx="2">
                  <c:v>4.4600000000000002E-22</c:v>
                </c:pt>
                <c:pt idx="3">
                  <c:v>4.4099999999999998E-22</c:v>
                </c:pt>
                <c:pt idx="4">
                  <c:v>1.09E-21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1-4025-A713-AEA03651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'FinFET_v94.in Sapp-HfO2-TiO2'!$O$2</c:f>
              <c:strCache>
                <c:ptCount val="1"/>
                <c:pt idx="0">
                  <c:v>SS (mV/dec)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Sapp-HfO2-TiO2'!$O$3:$O$9</c:f>
              <c:numCache>
                <c:formatCode>General</c:formatCode>
                <c:ptCount val="7"/>
                <c:pt idx="0">
                  <c:v>71.3</c:v>
                </c:pt>
                <c:pt idx="1">
                  <c:v>64.400000000000006</c:v>
                </c:pt>
                <c:pt idx="2">
                  <c:v>60.4</c:v>
                </c:pt>
                <c:pt idx="3">
                  <c:v>60.4</c:v>
                </c:pt>
                <c:pt idx="4">
                  <c:v>58.1</c:v>
                </c:pt>
                <c:pt idx="5">
                  <c:v>57.9</c:v>
                </c:pt>
                <c:pt idx="6">
                  <c:v>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1-49F4-A9CC-F0909B88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'FinFET_v94.in Sapp-HfO2-TiO2'!$P$2</c:f>
              <c:strCache>
                <c:ptCount val="1"/>
                <c:pt idx="0">
                  <c:v>DIBL 
w/ Single 
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Sapp-HfO2-TiO2'!$P$3:$P$9</c:f>
              <c:numCache>
                <c:formatCode>General</c:formatCode>
                <c:ptCount val="7"/>
                <c:pt idx="0">
                  <c:v>57.74</c:v>
                </c:pt>
                <c:pt idx="1">
                  <c:v>38.61</c:v>
                </c:pt>
                <c:pt idx="2">
                  <c:v>31.57</c:v>
                </c:pt>
                <c:pt idx="3">
                  <c:v>31.57</c:v>
                </c:pt>
                <c:pt idx="4">
                  <c:v>19.829999999999998</c:v>
                </c:pt>
                <c:pt idx="5">
                  <c:v>26.35</c:v>
                </c:pt>
                <c:pt idx="6">
                  <c:v>20.87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7B-40F4-BDE9-6423A1A9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'FinFET_v94.in Sapp-HfO2-TiO2'!$U$2</c:f>
              <c:strCache>
                <c:ptCount val="1"/>
                <c:pt idx="0">
                  <c:v>Max Id (A) 
w/ Single Dielectric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Sapp-HfO2-TiO2'!$U$3:$U$9</c:f>
              <c:numCache>
                <c:formatCode>0.00E+00</c:formatCode>
                <c:ptCount val="7"/>
                <c:pt idx="0">
                  <c:v>1.5650000000000001E-5</c:v>
                </c:pt>
                <c:pt idx="1">
                  <c:v>1.2799999999999999E-5</c:v>
                </c:pt>
                <c:pt idx="2">
                  <c:v>8.8170000000000005E-6</c:v>
                </c:pt>
                <c:pt idx="3">
                  <c:v>8.8170000000000005E-6</c:v>
                </c:pt>
                <c:pt idx="4">
                  <c:v>6.1727999999999996E-6</c:v>
                </c:pt>
                <c:pt idx="5">
                  <c:v>1.06E-5</c:v>
                </c:pt>
                <c:pt idx="6">
                  <c:v>6.1700000000000002E-6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2-419E-B40A-23E0CEEF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Ioff (A)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'FinFET_v94.in Sapp-HfO2-TiO2'!$T$2</c:f>
              <c:strCache>
                <c:ptCount val="1"/>
                <c:pt idx="0">
                  <c:v>Leakage Id (A)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Sapp-HfO2-TiO2'!$T$3:$T$9</c:f>
              <c:numCache>
                <c:formatCode>0.00E+00</c:formatCode>
                <c:ptCount val="7"/>
                <c:pt idx="0">
                  <c:v>1.505E-15</c:v>
                </c:pt>
                <c:pt idx="1">
                  <c:v>5.6499999999999998E-19</c:v>
                </c:pt>
                <c:pt idx="2">
                  <c:v>1.283E-20</c:v>
                </c:pt>
                <c:pt idx="3">
                  <c:v>1.283E-20</c:v>
                </c:pt>
                <c:pt idx="4">
                  <c:v>4.6599999999999996E-22</c:v>
                </c:pt>
                <c:pt idx="5">
                  <c:v>3.3900000000000001E-22</c:v>
                </c:pt>
                <c:pt idx="6">
                  <c:v>4.8600000000000002E-24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3-433D-8609-05103705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8E-1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'FinFET_v94.in Sapp-HfO2-TiO2'!$N$2</c:f>
              <c:strCache>
                <c:ptCount val="1"/>
                <c:pt idx="0">
                  <c:v>Vth (V)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Sapp-HfO2-TiO2'!$N$3:$N$9</c:f>
              <c:numCache>
                <c:formatCode>General</c:formatCode>
                <c:ptCount val="7"/>
                <c:pt idx="0">
                  <c:v>0.51790000000000003</c:v>
                </c:pt>
                <c:pt idx="1">
                  <c:v>0.748</c:v>
                </c:pt>
                <c:pt idx="2">
                  <c:v>0.85229999999999995</c:v>
                </c:pt>
                <c:pt idx="3">
                  <c:v>0.85229999999999995</c:v>
                </c:pt>
                <c:pt idx="4">
                  <c:v>0.92500000000000004</c:v>
                </c:pt>
                <c:pt idx="5">
                  <c:v>0.94210000000000005</c:v>
                </c:pt>
                <c:pt idx="6">
                  <c:v>1.0034000000000001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6-4C4F-AFD7-4E1AF9E2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'FinFET_v94.in Sapp-HfO2-TiO2'!$S$2</c:f>
              <c:strCache>
                <c:ptCount val="1"/>
                <c:pt idx="0">
                  <c:v>Ion/Ioff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Sapp-HfO2-TiO2'!$S$3:$S$9</c:f>
              <c:numCache>
                <c:formatCode>0.00E+00</c:formatCode>
                <c:ptCount val="7"/>
                <c:pt idx="0">
                  <c:v>10000000</c:v>
                </c:pt>
                <c:pt idx="1">
                  <c:v>100000000000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100000000000000</c:v>
                </c:pt>
                <c:pt idx="5">
                  <c:v>100000000000000</c:v>
                </c:pt>
                <c:pt idx="6">
                  <c:v>1000000000000000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6-49E9-8E4E-E9FF3CBF3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Ioff (A)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'FinFET_v94.in Sapp-HfO2-TiO2'!$T$2</c:f>
              <c:strCache>
                <c:ptCount val="1"/>
                <c:pt idx="0">
                  <c:v>Leakage Id (A) 
w/ Single Dielectric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Sapp-HfO2-TiO2'!$E$10:$E$13</c:f>
              <c:numCache>
                <c:formatCode>0.00</c:formatCode>
                <c:ptCount val="4"/>
                <c:pt idx="0">
                  <c:v>31.966666666666669</c:v>
                </c:pt>
                <c:pt idx="1">
                  <c:v>43.300000000000004</c:v>
                </c:pt>
                <c:pt idx="2">
                  <c:v>19.283333333333335</c:v>
                </c:pt>
                <c:pt idx="3">
                  <c:v>25.633333333333336</c:v>
                </c:pt>
              </c:numCache>
            </c:numRef>
          </c:xVal>
          <c:yVal>
            <c:numRef>
              <c:f>'FinFET_v94.in Sapp-HfO2-TiO2'!$T$10:$T$13</c:f>
              <c:numCache>
                <c:formatCode>0.00E+00</c:formatCode>
                <c:ptCount val="4"/>
                <c:pt idx="0">
                  <c:v>2.24E-20</c:v>
                </c:pt>
                <c:pt idx="1">
                  <c:v>2.5699999999999999E-20</c:v>
                </c:pt>
                <c:pt idx="2">
                  <c:v>1.01E-21</c:v>
                </c:pt>
                <c:pt idx="3">
                  <c:v>8.3500000000000002E-25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2-43F5-B8F8-937DB6FA9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'FinFET_v94.in Sapp-HfO2-TiO2'!$N$2</c:f>
              <c:strCache>
                <c:ptCount val="1"/>
                <c:pt idx="0">
                  <c:v>Vth (V)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Sapp-HfO2-TiO2'!$E$74:$E$79</c:f>
              <c:numCache>
                <c:formatCode>0.00</c:formatCode>
                <c:ptCount val="6"/>
                <c:pt idx="0">
                  <c:v>9.9333333333333336</c:v>
                </c:pt>
                <c:pt idx="1">
                  <c:v>12.950000000000001</c:v>
                </c:pt>
                <c:pt idx="2">
                  <c:v>19.283333333333335</c:v>
                </c:pt>
                <c:pt idx="3">
                  <c:v>25.633333333333336</c:v>
                </c:pt>
                <c:pt idx="4">
                  <c:v>31.966666666666669</c:v>
                </c:pt>
                <c:pt idx="5">
                  <c:v>43.300000000000004</c:v>
                </c:pt>
              </c:numCache>
            </c:numRef>
          </c:xVal>
          <c:yVal>
            <c:numRef>
              <c:f>'FinFET_v94.in Sapp-HfO2-TiO2'!$N$72:$N$78</c:f>
              <c:numCache>
                <c:formatCode>0.00000</c:formatCode>
                <c:ptCount val="7"/>
                <c:pt idx="0">
                  <c:v>0.51790000000000003</c:v>
                </c:pt>
                <c:pt idx="1">
                  <c:v>0.73240000000000005</c:v>
                </c:pt>
                <c:pt idx="2">
                  <c:v>0.73240000000000005</c:v>
                </c:pt>
                <c:pt idx="3">
                  <c:v>0.86750000000000005</c:v>
                </c:pt>
                <c:pt idx="4">
                  <c:v>0.88070000000000004</c:v>
                </c:pt>
                <c:pt idx="5">
                  <c:v>0.78900000000000003</c:v>
                </c:pt>
                <c:pt idx="6">
                  <c:v>0.80730000000000002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C-4D32-9ECF-57DFB95A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'FinFET_v94.in Sapp-HfO2-TiO2'!$S$2</c:f>
              <c:strCache>
                <c:ptCount val="1"/>
                <c:pt idx="0">
                  <c:v>Ion/Ioff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Sapp-HfO2-TiO2'!$E$3:$E$11</c:f>
              <c:numCache>
                <c:formatCode>General</c:formatCode>
                <c:ptCount val="9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7" formatCode="0.00">
                  <c:v>31.966666666666669</c:v>
                </c:pt>
                <c:pt idx="8" formatCode="0.00">
                  <c:v>43.300000000000004</c:v>
                </c:pt>
              </c:numCache>
            </c:numRef>
          </c:xVal>
          <c:yVal>
            <c:numRef>
              <c:f>'FinFET_v94.in Sapp-HfO2-TiO2'!$S$3:$S$11</c:f>
              <c:numCache>
                <c:formatCode>0.00E+00</c:formatCode>
                <c:ptCount val="9"/>
                <c:pt idx="0">
                  <c:v>10000000</c:v>
                </c:pt>
                <c:pt idx="1">
                  <c:v>100000000000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100000000000000</c:v>
                </c:pt>
                <c:pt idx="5">
                  <c:v>100000000000000</c:v>
                </c:pt>
                <c:pt idx="6">
                  <c:v>1000000000000000</c:v>
                </c:pt>
                <c:pt idx="7">
                  <c:v>1000000000000</c:v>
                </c:pt>
                <c:pt idx="8">
                  <c:v>1000000000000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9-4EF1-974A-4436C722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'FinFET_v94.in Sapp-HfO2-TiO2'!$O$2</c:f>
              <c:strCache>
                <c:ptCount val="1"/>
                <c:pt idx="0">
                  <c:v>SS (mV/dec)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'FinFET_v94.in Sapp-HfO2-TiO2'!$E$73:$E$79</c:f>
              <c:numCache>
                <c:formatCode>0.00</c:formatCode>
                <c:ptCount val="7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</c:numCache>
            </c:numRef>
          </c:xVal>
          <c:yVal>
            <c:numRef>
              <c:f>'FinFET_v94.in Sapp-HfO2-TiO2'!$O$72:$O$78</c:f>
              <c:numCache>
                <c:formatCode>0.00</c:formatCode>
                <c:ptCount val="7"/>
                <c:pt idx="0">
                  <c:v>71.3</c:v>
                </c:pt>
                <c:pt idx="1">
                  <c:v>63</c:v>
                </c:pt>
                <c:pt idx="2">
                  <c:v>63</c:v>
                </c:pt>
                <c:pt idx="3">
                  <c:v>59</c:v>
                </c:pt>
                <c:pt idx="4">
                  <c:v>59.2</c:v>
                </c:pt>
                <c:pt idx="5">
                  <c:v>60.7</c:v>
                </c:pt>
                <c:pt idx="6">
                  <c:v>59.7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A-46E6-8309-A4AB099A7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Max 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Sheet1!$J$3:$J$7</c:f>
              <c:numCache>
                <c:formatCode>0.00E+00</c:formatCode>
                <c:ptCount val="5"/>
                <c:pt idx="0">
                  <c:v>3.3639999999999999E-6</c:v>
                </c:pt>
                <c:pt idx="1">
                  <c:v>2.6900000000000001E-6</c:v>
                </c:pt>
                <c:pt idx="2">
                  <c:v>3.6789999999999998E-6</c:v>
                </c:pt>
                <c:pt idx="3">
                  <c:v>3.54E-6</c:v>
                </c:pt>
                <c:pt idx="4">
                  <c:v>3.7570000000000002E-6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7-4FB0-B27A-4901C892B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DIBL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'FinFET_v94.in Sapp-HfO2-TiO2'!$P$70</c:f>
              <c:strCache>
                <c:ptCount val="1"/>
                <c:pt idx="0">
                  <c:v>DIBL
/w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3.56718192627824E-2"/>
                  <c:y val="-3.3630069641335615E-2"/>
                </c:manualLayout>
              </c:layout>
              <c:tx>
                <c:rich>
                  <a:bodyPr/>
                  <a:lstStyle/>
                  <a:p>
                    <a:fld id="{BC1B6D81-9BCA-4031-90B5-1B097AF9E9F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96C-44BD-929F-90E4A044D08D}"/>
                </c:ext>
              </c:extLst>
            </c:dLbl>
            <c:dLbl>
              <c:idx val="1"/>
              <c:layout>
                <c:manualLayout>
                  <c:x val="-8.0856123662306781E-2"/>
                  <c:y val="2.5869284339488934E-3"/>
                </c:manualLayout>
              </c:layout>
              <c:tx>
                <c:rich>
                  <a:bodyPr/>
                  <a:lstStyle/>
                  <a:p>
                    <a:fld id="{A91028EF-059C-4F28-8E56-27521C69D95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96C-44BD-929F-90E4A044D08D}"/>
                </c:ext>
              </c:extLst>
            </c:dLbl>
            <c:dLbl>
              <c:idx val="2"/>
              <c:layout>
                <c:manualLayout>
                  <c:x val="-9.2746730083234238E-2"/>
                  <c:y val="9.312942362216016E-2"/>
                </c:manualLayout>
              </c:layout>
              <c:tx>
                <c:rich>
                  <a:bodyPr/>
                  <a:lstStyle/>
                  <a:p>
                    <a:fld id="{8C317960-771B-477C-8D66-432FC26D573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96C-44BD-929F-90E4A044D08D}"/>
                </c:ext>
              </c:extLst>
            </c:dLbl>
            <c:dLbl>
              <c:idx val="3"/>
              <c:layout>
                <c:manualLayout>
                  <c:x val="-6.6587395957193818E-2"/>
                  <c:y val="5.1738568678977769E-2"/>
                </c:manualLayout>
              </c:layout>
              <c:tx>
                <c:rich>
                  <a:bodyPr/>
                  <a:lstStyle/>
                  <a:p>
                    <a:fld id="{98FB498F-CAB8-45C8-A954-C1B28EECB9A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96C-44BD-929F-90E4A044D08D}"/>
                </c:ext>
              </c:extLst>
            </c:dLbl>
            <c:dLbl>
              <c:idx val="4"/>
              <c:layout>
                <c:manualLayout>
                  <c:x val="-4.3598386557785468E-17"/>
                  <c:y val="-7.2433996150569113E-2"/>
                </c:manualLayout>
              </c:layout>
              <c:tx>
                <c:rich>
                  <a:bodyPr/>
                  <a:lstStyle/>
                  <a:p>
                    <a:fld id="{A53F8B5B-96E6-404E-9E78-0095C7C5AB4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96C-44BD-929F-90E4A044D08D}"/>
                </c:ext>
              </c:extLst>
            </c:dLbl>
            <c:dLbl>
              <c:idx val="5"/>
              <c:layout>
                <c:manualLayout>
                  <c:x val="-2.6159334126040427E-2"/>
                  <c:y val="5.6912425546875554E-2"/>
                </c:manualLayout>
              </c:layout>
              <c:tx>
                <c:rich>
                  <a:bodyPr/>
                  <a:lstStyle/>
                  <a:p>
                    <a:fld id="{AB153E97-7BE6-4EAB-88A1-BEA469CEE77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96C-44BD-929F-90E4A044D08D}"/>
                </c:ext>
              </c:extLst>
            </c:dLbl>
            <c:dLbl>
              <c:idx val="6"/>
              <c:layout>
                <c:manualLayout>
                  <c:x val="0"/>
                  <c:y val="-3.4401351883531411E-2"/>
                </c:manualLayout>
              </c:layout>
              <c:tx>
                <c:rich>
                  <a:bodyPr/>
                  <a:lstStyle/>
                  <a:p>
                    <a:fld id="{737AC545-DD60-4016-9E8E-C194D3234FD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96C-44BD-929F-90E4A044D08D}"/>
                </c:ext>
              </c:extLst>
            </c:dLbl>
            <c:dLbl>
              <c:idx val="7"/>
              <c:layout>
                <c:manualLayout>
                  <c:x val="-7.826086469385557E-2"/>
                  <c:y val="-3.9693867557920849E-2"/>
                </c:manualLayout>
              </c:layout>
              <c:tx>
                <c:rich>
                  <a:bodyPr/>
                  <a:lstStyle/>
                  <a:p>
                    <a:fld id="{4975B91E-1848-4CF9-B989-FF0CDB762CC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96C-44BD-929F-90E4A044D08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2375DB4-0558-4C98-98D0-2A7DAE6A871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96C-44BD-929F-90E4A044D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'FinFET_v94.in Sapp-HfO2-TiO2'!$E$73:$E$81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'FinFET_v94.in Sapp-HfO2-TiO2'!$P$72:$P$80</c:f>
              <c:numCache>
                <c:formatCode>0.00</c:formatCode>
                <c:ptCount val="9"/>
                <c:pt idx="0">
                  <c:v>57.74</c:v>
                </c:pt>
                <c:pt idx="1">
                  <c:v>22.78</c:v>
                </c:pt>
                <c:pt idx="2">
                  <c:v>22.78</c:v>
                </c:pt>
                <c:pt idx="3">
                  <c:v>12.35</c:v>
                </c:pt>
                <c:pt idx="4">
                  <c:v>11.91</c:v>
                </c:pt>
                <c:pt idx="5">
                  <c:v>12.09</c:v>
                </c:pt>
                <c:pt idx="6">
                  <c:v>11.91</c:v>
                </c:pt>
                <c:pt idx="7">
                  <c:v>7.39</c:v>
                </c:pt>
                <c:pt idx="8">
                  <c:v>20.87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'FinFET_v94.in Sapp-HfO2-TiO2'!$A$116:$A$124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996C-44BD-929F-90E4A044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'FinFET_v94.in Sapp-HfO2-TiO2'!$P$2</c:f>
              <c:strCache>
                <c:ptCount val="1"/>
                <c:pt idx="0">
                  <c:v>DIBL 
w/ Single 
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6C-44BD-929F-90E4A044D0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96C-44BD-929F-90E4A044D0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96C-44BD-929F-90E4A044D0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96C-44BD-929F-90E4A044D08D}"/>
                </c:ext>
              </c:extLst>
            </c:dLbl>
            <c:dLbl>
              <c:idx val="4"/>
              <c:layout>
                <c:manualLayout>
                  <c:x val="-2.7757613741330248E-2"/>
                  <c:y val="-0.17168922648543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96C-44BD-929F-90E4A044D08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96C-44BD-929F-90E4A044D08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996C-44BD-929F-90E4A044D08D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Sapp-HfO2-TiO2'!$P$3:$P$9</c:f>
              <c:numCache>
                <c:formatCode>General</c:formatCode>
                <c:ptCount val="7"/>
                <c:pt idx="0">
                  <c:v>57.74</c:v>
                </c:pt>
                <c:pt idx="1">
                  <c:v>38.61</c:v>
                </c:pt>
                <c:pt idx="2">
                  <c:v>31.57</c:v>
                </c:pt>
                <c:pt idx="3">
                  <c:v>31.57</c:v>
                </c:pt>
                <c:pt idx="4">
                  <c:v>19.829999999999998</c:v>
                </c:pt>
                <c:pt idx="5">
                  <c:v>26.35</c:v>
                </c:pt>
                <c:pt idx="6">
                  <c:v>20.87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96C-44BD-929F-90E4A044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I</a:t>
            </a:r>
            <a:r>
              <a:rPr lang="tr-TR" baseline="-25000">
                <a:solidFill>
                  <a:srgbClr val="0070C0"/>
                </a:solidFill>
              </a:rPr>
              <a:t>OFF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</a:t>
            </a:r>
            <a:r>
              <a:rPr lang="tr-TR" baseline="0"/>
              <a:t>)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</a:t>
            </a:r>
            <a:r>
              <a:rPr lang="tr-TR" baseline="-25000">
                <a:solidFill>
                  <a:schemeClr val="accent2"/>
                </a:solidFill>
              </a:rPr>
              <a:t>OFF</a:t>
            </a:r>
            <a:r>
              <a:rPr lang="tr-TR" baseline="0">
                <a:solidFill>
                  <a:schemeClr val="accent2"/>
                </a:solidFill>
              </a:rPr>
              <a:t>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'FinFET_v94.in Sapp-HfO2-TiO2'!$T$70</c:f>
              <c:strCache>
                <c:ptCount val="1"/>
                <c:pt idx="0">
                  <c:v>Leakage Id (A) 
w/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0"/>
                  <c:y val="-6.545429506961141E-2"/>
                </c:manualLayout>
              </c:layout>
              <c:tx>
                <c:rich>
                  <a:bodyPr/>
                  <a:lstStyle/>
                  <a:p>
                    <a:fld id="{D52E0FB0-B014-4D74-A935-A20805FEF4E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EE6-429B-90E0-D6EEC205E4EF}"/>
                </c:ext>
              </c:extLst>
            </c:dLbl>
            <c:dLbl>
              <c:idx val="1"/>
              <c:layout>
                <c:manualLayout>
                  <c:x val="3.4735954776521994E-3"/>
                  <c:y val="-5.7599779661258045E-2"/>
                </c:manualLayout>
              </c:layout>
              <c:tx>
                <c:rich>
                  <a:bodyPr/>
                  <a:lstStyle/>
                  <a:p>
                    <a:fld id="{1D2C2A5D-AF2A-456E-A16D-A3CC9CCE7C4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EE6-429B-90E0-D6EEC205E4EF}"/>
                </c:ext>
              </c:extLst>
            </c:dLbl>
            <c:dLbl>
              <c:idx val="2"/>
              <c:layout>
                <c:manualLayout>
                  <c:x val="1.9104775127087099E-2"/>
                  <c:y val="-2.0945374422275655E-2"/>
                </c:manualLayout>
              </c:layout>
              <c:tx>
                <c:rich>
                  <a:bodyPr/>
                  <a:lstStyle/>
                  <a:p>
                    <a:fld id="{A97CBD46-D2FA-41E7-A46E-DF3E7F7226F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EE6-429B-90E0-D6EEC205E4EF}"/>
                </c:ext>
              </c:extLst>
            </c:dLbl>
            <c:dLbl>
              <c:idx val="3"/>
              <c:layout>
                <c:manualLayout>
                  <c:x val="-2.9525561560043698E-2"/>
                  <c:y val="4.9745264252904674E-2"/>
                </c:manualLayout>
              </c:layout>
              <c:tx>
                <c:rich>
                  <a:bodyPr/>
                  <a:lstStyle/>
                  <a:p>
                    <a:fld id="{83104868-4BAB-4824-87E5-E0E48565194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EE6-429B-90E0-D6EEC205E4EF}"/>
                </c:ext>
              </c:extLst>
            </c:dLbl>
            <c:dLbl>
              <c:idx val="4"/>
              <c:layout>
                <c:manualLayout>
                  <c:x val="2.0841572865913198E-2"/>
                  <c:y val="2.8799889830629023E-2"/>
                </c:manualLayout>
              </c:layout>
              <c:tx>
                <c:rich>
                  <a:bodyPr/>
                  <a:lstStyle/>
                  <a:p>
                    <a:fld id="{3B62469C-4C33-4152-91AE-8B98117FBEB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EE6-429B-90E0-D6EEC205E4EF}"/>
                </c:ext>
              </c:extLst>
            </c:dLbl>
            <c:dLbl>
              <c:idx val="5"/>
              <c:layout>
                <c:manualLayout>
                  <c:x val="-2.0841572865913198E-2"/>
                  <c:y val="-4.9745264252904674E-2"/>
                </c:manualLayout>
              </c:layout>
              <c:tx>
                <c:rich>
                  <a:bodyPr/>
                  <a:lstStyle/>
                  <a:p>
                    <a:fld id="{CFAFD5C8-FBEF-48A8-8123-91D9D41DDEE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EE6-429B-90E0-D6EEC205E4EF}"/>
                </c:ext>
              </c:extLst>
            </c:dLbl>
            <c:dLbl>
              <c:idx val="6"/>
              <c:layout>
                <c:manualLayout>
                  <c:x val="-5.2103932164782995E-3"/>
                  <c:y val="-5.4981607858473593E-2"/>
                </c:manualLayout>
              </c:layout>
              <c:tx>
                <c:rich>
                  <a:bodyPr/>
                  <a:lstStyle/>
                  <a:p>
                    <a:fld id="{EA1BA245-29F6-4F58-919B-3136D872341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EE6-429B-90E0-D6EEC205E4EF}"/>
                </c:ext>
              </c:extLst>
            </c:dLbl>
            <c:dLbl>
              <c:idx val="7"/>
              <c:layout>
                <c:manualLayout>
                  <c:x val="-6.9471909553043987E-3"/>
                  <c:y val="-6.2836123266826957E-2"/>
                </c:manualLayout>
              </c:layout>
              <c:tx>
                <c:rich>
                  <a:bodyPr/>
                  <a:lstStyle/>
                  <a:p>
                    <a:fld id="{60B04E31-9D85-47A2-B407-38C15C2FD37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EE6-429B-90E0-D6EEC205E4EF}"/>
                </c:ext>
              </c:extLst>
            </c:dLbl>
            <c:dLbl>
              <c:idx val="8"/>
              <c:layout>
                <c:manualLayout>
                  <c:x val="1.3908679933484623E-2"/>
                  <c:y val="2.0803059523982589E-2"/>
                </c:manualLayout>
              </c:layout>
              <c:tx>
                <c:rich>
                  <a:bodyPr/>
                  <a:lstStyle/>
                  <a:p>
                    <a:fld id="{0BC19B5B-160D-403E-B89B-137B452F2A0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EE6-429B-90E0-D6EEC205E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'FinFET_v94.in Sapp-HfO2-TiO2'!$E$73:$E$81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'FinFET_v94.in Sapp-HfO2-TiO2'!$T$72:$T$80</c:f>
              <c:numCache>
                <c:formatCode>0.00E+00</c:formatCode>
                <c:ptCount val="9"/>
                <c:pt idx="0">
                  <c:v>1.505E-15</c:v>
                </c:pt>
                <c:pt idx="1">
                  <c:v>1.0869E-18</c:v>
                </c:pt>
                <c:pt idx="2">
                  <c:v>1.086E-18</c:v>
                </c:pt>
                <c:pt idx="3">
                  <c:v>1.01E-21</c:v>
                </c:pt>
                <c:pt idx="4">
                  <c:v>8.3500000000000002E-25</c:v>
                </c:pt>
                <c:pt idx="5">
                  <c:v>2.24E-20</c:v>
                </c:pt>
                <c:pt idx="6">
                  <c:v>2.5699999999999999E-20</c:v>
                </c:pt>
                <c:pt idx="7">
                  <c:v>4.1599999999999999E-32</c:v>
                </c:pt>
                <c:pt idx="8">
                  <c:v>4.8600000000000002E-24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'FinFET_v94.in Sapp-HfO2-TiO2'!$A$116:$A$124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AEE6-429B-90E0-D6EEC205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'FinFET_v94.in Sapp-HfO2-TiO2'!$T$2</c:f>
              <c:strCache>
                <c:ptCount val="1"/>
                <c:pt idx="0">
                  <c:v>Leakage Id (A)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Sapp-HfO2-TiO2'!$T$3:$T$9</c:f>
              <c:numCache>
                <c:formatCode>0.00E+00</c:formatCode>
                <c:ptCount val="7"/>
                <c:pt idx="0">
                  <c:v>1.505E-15</c:v>
                </c:pt>
                <c:pt idx="1">
                  <c:v>5.6499999999999998E-19</c:v>
                </c:pt>
                <c:pt idx="2">
                  <c:v>1.283E-20</c:v>
                </c:pt>
                <c:pt idx="3">
                  <c:v>1.283E-20</c:v>
                </c:pt>
                <c:pt idx="4">
                  <c:v>4.6599999999999996E-22</c:v>
                </c:pt>
                <c:pt idx="5">
                  <c:v>3.3900000000000001E-22</c:v>
                </c:pt>
                <c:pt idx="6">
                  <c:v>4.8600000000000002E-24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EE6-429B-90E0-D6EEC205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</a:t>
                </a:r>
                <a:r>
                  <a:rPr lang="tr-TR" sz="1800" b="1" i="0" baseline="0">
                    <a:effectLst/>
                  </a:rPr>
                  <a:t> </a:t>
                </a:r>
                <a:r>
                  <a:rPr lang="tr-TR" sz="1800" b="1" i="0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4806293925385"/>
              <c:y val="0.78891583631245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log (</a:t>
                </a:r>
                <a:r>
                  <a:rPr lang="tr-TR" sz="1400" b="1" i="0" u="none" strike="noStrike" baseline="0">
                    <a:effectLst/>
                  </a:rPr>
                  <a:t>I</a:t>
                </a:r>
                <a:r>
                  <a:rPr lang="tr-TR" sz="1400" b="1" i="0" u="none" strike="noStrike" baseline="-25000">
                    <a:effectLst/>
                  </a:rPr>
                  <a:t>OFF</a:t>
                </a:r>
                <a:r>
                  <a:rPr lang="tr-TR" sz="1400" baseline="0"/>
                  <a:t> 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I</a:t>
            </a:r>
            <a:r>
              <a:rPr lang="tr-TR" baseline="-25000">
                <a:solidFill>
                  <a:srgbClr val="0070C0"/>
                </a:solidFill>
              </a:rPr>
              <a:t>ON,max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I</a:t>
            </a:r>
            <a:r>
              <a:rPr lang="tr-TR" sz="1400" b="1" i="0" u="none" strike="noStrike" cap="none" baseline="-25000">
                <a:solidFill>
                  <a:schemeClr val="accent2"/>
                </a:solidFill>
                <a:effectLst/>
              </a:rPr>
              <a:t>ON,max</a:t>
            </a: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 </a:t>
            </a:r>
            <a:r>
              <a:rPr lang="tr-TR" baseline="0">
                <a:solidFill>
                  <a:schemeClr val="accent2"/>
                </a:solidFill>
              </a:rPr>
              <a:t>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'FinFET_v94.in Sapp-HfO2-TiO2'!$U$70</c:f>
              <c:strCache>
                <c:ptCount val="1"/>
                <c:pt idx="0">
                  <c:v>Max Id (A) 
w/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D2F55FF-D3E5-4C2E-9A7D-9FCCC3A3C1A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460-413E-AB17-0FB88A524385}"/>
                </c:ext>
              </c:extLst>
            </c:dLbl>
            <c:dLbl>
              <c:idx val="1"/>
              <c:layout>
                <c:manualLayout>
                  <c:x val="-5.2064785538179382E-3"/>
                  <c:y val="-5.1798646831727607E-2"/>
                </c:manualLayout>
              </c:layout>
              <c:tx>
                <c:rich>
                  <a:bodyPr/>
                  <a:lstStyle/>
                  <a:p>
                    <a:fld id="{F5740D8C-294D-469E-BC01-68207640C6F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60-413E-AB17-0FB88A524385}"/>
                </c:ext>
              </c:extLst>
            </c:dLbl>
            <c:dLbl>
              <c:idx val="2"/>
              <c:layout>
                <c:manualLayout>
                  <c:x val="1.214844995890845E-2"/>
                  <c:y val="-2.3309391074277423E-2"/>
                </c:manualLayout>
              </c:layout>
              <c:tx>
                <c:rich>
                  <a:bodyPr/>
                  <a:lstStyle/>
                  <a:p>
                    <a:fld id="{733F9349-33A0-4F43-AA5B-27C0618E2FB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60-413E-AB17-0FB88A524385}"/>
                </c:ext>
              </c:extLst>
            </c:dLbl>
            <c:dLbl>
              <c:idx val="3"/>
              <c:layout>
                <c:manualLayout>
                  <c:x val="1.214844995890845E-2"/>
                  <c:y val="-3.1079188099036564E-2"/>
                </c:manualLayout>
              </c:layout>
              <c:tx>
                <c:rich>
                  <a:bodyPr/>
                  <a:lstStyle/>
                  <a:p>
                    <a:fld id="{B8C5FC5F-1812-43C3-BE47-241213FC14A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460-413E-AB17-0FB88A524385}"/>
                </c:ext>
              </c:extLst>
            </c:dLbl>
            <c:dLbl>
              <c:idx val="4"/>
              <c:layout>
                <c:manualLayout>
                  <c:x val="-1.3883942810181148E-2"/>
                  <c:y val="4.4028849806968466E-2"/>
                </c:manualLayout>
              </c:layout>
              <c:tx>
                <c:rich>
                  <a:bodyPr/>
                  <a:lstStyle/>
                  <a:p>
                    <a:fld id="{F16862F9-1C8C-4A03-A796-9DADC815B19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460-413E-AB17-0FB88A524385}"/>
                </c:ext>
              </c:extLst>
            </c:dLbl>
            <c:dLbl>
              <c:idx val="5"/>
              <c:layout>
                <c:manualLayout>
                  <c:x val="-1.214844995890845E-2"/>
                  <c:y val="4.6618782148554846E-2"/>
                </c:manualLayout>
              </c:layout>
              <c:tx>
                <c:rich>
                  <a:bodyPr/>
                  <a:lstStyle/>
                  <a:p>
                    <a:fld id="{458DA15F-4FB7-46D3-8DCB-96657918CF1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460-413E-AB17-0FB88A524385}"/>
                </c:ext>
              </c:extLst>
            </c:dLbl>
            <c:dLbl>
              <c:idx val="6"/>
              <c:layout>
                <c:manualLayout>
                  <c:x val="-1.3883942810181083E-2"/>
                  <c:y val="4.1438917465382086E-2"/>
                </c:manualLayout>
              </c:layout>
              <c:tx>
                <c:rich>
                  <a:bodyPr/>
                  <a:lstStyle/>
                  <a:p>
                    <a:fld id="{207D5CD7-C409-4B86-B0C0-215C52DAEE1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460-413E-AB17-0FB88A524385}"/>
                </c:ext>
              </c:extLst>
            </c:dLbl>
            <c:dLbl>
              <c:idx val="7"/>
              <c:layout>
                <c:manualLayout>
                  <c:x val="-6.9419714050905417E-3"/>
                  <c:y val="-3.3669120440622896E-2"/>
                </c:manualLayout>
              </c:layout>
              <c:tx>
                <c:rich>
                  <a:bodyPr/>
                  <a:lstStyle/>
                  <a:p>
                    <a:fld id="{BD1F19D3-1A9E-403E-A1FE-ADA9E2B2FC7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460-413E-AB17-0FB88A52438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96B23A5-D16D-4DD6-82B9-DDA39823FF7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460-413E-AB17-0FB88A5243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'FinFET_v94.in Sapp-HfO2-TiO2'!$E$73:$E$81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'FinFET_v94.in Sapp-HfO2-TiO2'!$U$72:$U$80</c:f>
              <c:numCache>
                <c:formatCode>0.00E+00</c:formatCode>
                <c:ptCount val="9"/>
                <c:pt idx="0">
                  <c:v>1.5650000000000001E-5</c:v>
                </c:pt>
                <c:pt idx="1">
                  <c:v>2.12E-5</c:v>
                </c:pt>
                <c:pt idx="2">
                  <c:v>2.12E-5</c:v>
                </c:pt>
                <c:pt idx="3">
                  <c:v>1.6200000000000001E-5</c:v>
                </c:pt>
                <c:pt idx="4">
                  <c:v>8.9579999999999996E-6</c:v>
                </c:pt>
                <c:pt idx="5">
                  <c:v>8.1699999999999997E-6</c:v>
                </c:pt>
                <c:pt idx="6">
                  <c:v>5.1399999999999999E-6</c:v>
                </c:pt>
                <c:pt idx="7">
                  <c:v>8.7099999999999996E-6</c:v>
                </c:pt>
                <c:pt idx="8">
                  <c:v>6.1700000000000002E-6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'FinFET_v94.in Sapp-HfO2-TiO2'!$A$116:$A$124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E460-413E-AB17-0FB88A52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'FinFET_v94.in Sapp-HfO2-TiO2'!$U$2</c:f>
              <c:strCache>
                <c:ptCount val="1"/>
                <c:pt idx="0">
                  <c:v>Max Id (A) 
w/ Single Dielectric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Sapp-HfO2-TiO2'!$U$3:$U$9</c:f>
              <c:numCache>
                <c:formatCode>0.00E+00</c:formatCode>
                <c:ptCount val="7"/>
                <c:pt idx="0">
                  <c:v>1.5650000000000001E-5</c:v>
                </c:pt>
                <c:pt idx="1">
                  <c:v>1.2799999999999999E-5</c:v>
                </c:pt>
                <c:pt idx="2">
                  <c:v>8.8170000000000005E-6</c:v>
                </c:pt>
                <c:pt idx="3">
                  <c:v>8.8170000000000005E-6</c:v>
                </c:pt>
                <c:pt idx="4">
                  <c:v>6.1727999999999996E-6</c:v>
                </c:pt>
                <c:pt idx="5">
                  <c:v>1.06E-5</c:v>
                </c:pt>
                <c:pt idx="6">
                  <c:v>6.1700000000000002E-6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460-413E-AB17-0FB88A52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800"/>
                  <a:t>log ( I</a:t>
                </a:r>
                <a:r>
                  <a:rPr lang="tr-TR" sz="1800" baseline="-25000"/>
                  <a:t>ON</a:t>
                </a:r>
                <a:r>
                  <a:rPr lang="tr-TR" sz="1800"/>
                  <a:t>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1533124098458105E-2"/>
              <c:y val="0.49920993903568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32863023515"/>
          <c:y val="0.1309892054474538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'FinFET_v94.in Sapp-HfO2-TiO2'!$N$70</c:f>
              <c:strCache>
                <c:ptCount val="1"/>
                <c:pt idx="0">
                  <c:v>Vth (V) 
w/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63AD682-CB89-4A78-BC60-68590BA4D54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C8C-4946-B871-1FC163F46B2C}"/>
                </c:ext>
              </c:extLst>
            </c:dLbl>
            <c:dLbl>
              <c:idx val="1"/>
              <c:layout>
                <c:manualLayout>
                  <c:x val="-3.1752137314538618E-17"/>
                  <c:y val="8.3506037133063399E-2"/>
                </c:manualLayout>
              </c:layout>
              <c:tx>
                <c:rich>
                  <a:bodyPr/>
                  <a:lstStyle/>
                  <a:p>
                    <a:fld id="{B6907E1E-8CA3-4241-AB4C-F8C42BCDAD8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8C-4946-B871-1FC163F46B2C}"/>
                </c:ext>
              </c:extLst>
            </c:dLbl>
            <c:dLbl>
              <c:idx val="2"/>
              <c:layout>
                <c:manualLayout>
                  <c:x val="2.5979321551040501E-2"/>
                  <c:y val="0"/>
                </c:manualLayout>
              </c:layout>
              <c:tx>
                <c:rich>
                  <a:bodyPr/>
                  <a:lstStyle/>
                  <a:p>
                    <a:fld id="{2A9703A9-DA1C-4105-8B0C-2C4BC5A5216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C8C-4946-B871-1FC163F46B2C}"/>
                </c:ext>
              </c:extLst>
            </c:dLbl>
            <c:dLbl>
              <c:idx val="3"/>
              <c:layout>
                <c:manualLayout>
                  <c:x val="1.3855638160554934E-2"/>
                  <c:y val="4.4362582226939937E-2"/>
                </c:manualLayout>
              </c:layout>
              <c:tx>
                <c:rich>
                  <a:bodyPr/>
                  <a:lstStyle/>
                  <a:p>
                    <a:fld id="{03515A56-208D-42FE-B86A-5085914FD93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C8C-4946-B871-1FC163F46B2C}"/>
                </c:ext>
              </c:extLst>
            </c:dLbl>
            <c:dLbl>
              <c:idx val="4"/>
              <c:layout>
                <c:manualLayout>
                  <c:x val="2.0783457240832401E-2"/>
                  <c:y val="-1.5657381962449455E-2"/>
                </c:manualLayout>
              </c:layout>
              <c:tx>
                <c:rich>
                  <a:bodyPr/>
                  <a:lstStyle/>
                  <a:p>
                    <a:fld id="{31443A03-BDED-4B64-B3C2-C04A7D84FB1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C8C-4946-B871-1FC163F46B2C}"/>
                </c:ext>
              </c:extLst>
            </c:dLbl>
            <c:dLbl>
              <c:idx val="5"/>
              <c:layout>
                <c:manualLayout>
                  <c:x val="0"/>
                  <c:y val="7.3067782491430561E-2"/>
                </c:manualLayout>
              </c:layout>
              <c:tx>
                <c:rich>
                  <a:bodyPr/>
                  <a:lstStyle/>
                  <a:p>
                    <a:fld id="{E7DA7E36-75F6-4E83-BADD-D2ACE5A8615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C8C-4946-B871-1FC163F46B2C}"/>
                </c:ext>
              </c:extLst>
            </c:dLbl>
            <c:dLbl>
              <c:idx val="6"/>
              <c:layout>
                <c:manualLayout>
                  <c:x val="2.2515412010901705E-2"/>
                  <c:y val="3.9143454906123518E-2"/>
                </c:manualLayout>
              </c:layout>
              <c:tx>
                <c:rich>
                  <a:bodyPr/>
                  <a:lstStyle/>
                  <a:p>
                    <a:fld id="{53B35452-348F-4AC4-B3A3-1965066CBAB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C8C-4946-B871-1FC163F46B2C}"/>
                </c:ext>
              </c:extLst>
            </c:dLbl>
            <c:dLbl>
              <c:idx val="7"/>
              <c:layout>
                <c:manualLayout>
                  <c:x val="0"/>
                  <c:y val="6.2629527849797625E-2"/>
                </c:manualLayout>
              </c:layout>
              <c:tx>
                <c:rich>
                  <a:bodyPr/>
                  <a:lstStyle/>
                  <a:p>
                    <a:fld id="{109DA5A2-C333-4A67-9C2E-AAB0D841A30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C8C-4946-B871-1FC163F46B2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A1FAF79-F4BB-4384-877E-D028EBCDDA6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C8C-4946-B871-1FC163F46B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'FinFET_v94.in Sapp-HfO2-TiO2'!$E$73:$E$81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'FinFET_v94.in Sapp-HfO2-TiO2'!$N$72:$N$80</c:f>
              <c:numCache>
                <c:formatCode>0.00000</c:formatCode>
                <c:ptCount val="9"/>
                <c:pt idx="0">
                  <c:v>0.51790000000000003</c:v>
                </c:pt>
                <c:pt idx="1">
                  <c:v>0.73240000000000005</c:v>
                </c:pt>
                <c:pt idx="2">
                  <c:v>0.73240000000000005</c:v>
                </c:pt>
                <c:pt idx="3">
                  <c:v>0.86750000000000005</c:v>
                </c:pt>
                <c:pt idx="4">
                  <c:v>0.88070000000000004</c:v>
                </c:pt>
                <c:pt idx="5">
                  <c:v>0.78900000000000003</c:v>
                </c:pt>
                <c:pt idx="6">
                  <c:v>0.80730000000000002</c:v>
                </c:pt>
                <c:pt idx="7">
                  <c:v>0.99099999999999999</c:v>
                </c:pt>
                <c:pt idx="8">
                  <c:v>1.0034000000000001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'FinFET_v94.in Sapp-HfO2-TiO2'!$A$116:$A$124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BC8C-4946-B871-1FC163F4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'FinFET_v94.in Sapp-HfO2-TiO2'!$N$2</c:f>
              <c:strCache>
                <c:ptCount val="1"/>
                <c:pt idx="0">
                  <c:v>Vth (V)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Sapp-HfO2-TiO2'!$N$3:$N$9</c:f>
              <c:numCache>
                <c:formatCode>General</c:formatCode>
                <c:ptCount val="7"/>
                <c:pt idx="0">
                  <c:v>0.51790000000000003</c:v>
                </c:pt>
                <c:pt idx="1">
                  <c:v>0.748</c:v>
                </c:pt>
                <c:pt idx="2">
                  <c:v>0.85229999999999995</c:v>
                </c:pt>
                <c:pt idx="3">
                  <c:v>0.85229999999999995</c:v>
                </c:pt>
                <c:pt idx="4">
                  <c:v>0.92500000000000004</c:v>
                </c:pt>
                <c:pt idx="5">
                  <c:v>0.94210000000000005</c:v>
                </c:pt>
                <c:pt idx="6">
                  <c:v>1.0034000000000001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C8C-4946-B871-1FC163F4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Threshold Voltage </a:t>
                </a:r>
                <a:r>
                  <a:rPr lang="tr-TR" sz="1050" baseline="0"/>
                  <a:t> - Vth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3269314709733745E-2"/>
              <c:y val="0.28050300091847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cap="none" baseline="0">
                <a:solidFill>
                  <a:srgbClr val="0070C0"/>
                </a:solidFill>
                <a:effectLst/>
              </a:rPr>
              <a:t>I</a:t>
            </a:r>
            <a:r>
              <a:rPr lang="tr-TR" sz="1400" b="1" i="0" u="none" strike="noStrike" cap="none" baseline="-25000">
                <a:solidFill>
                  <a:srgbClr val="0070C0"/>
                </a:solidFill>
                <a:effectLst/>
              </a:rPr>
              <a:t>ON </a:t>
            </a:r>
            <a:r>
              <a:rPr lang="tr-TR" baseline="0">
                <a:solidFill>
                  <a:srgbClr val="0070C0"/>
                </a:solidFill>
              </a:rPr>
              <a:t>/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</a:rPr>
              <a:t>I</a:t>
            </a:r>
            <a:r>
              <a:rPr lang="tr-TR" sz="1400" b="1" i="0" u="none" strike="noStrike" cap="none" baseline="-25000">
                <a:solidFill>
                  <a:srgbClr val="0070C0"/>
                </a:solidFill>
                <a:effectLst/>
              </a:rPr>
              <a:t>OFF </a:t>
            </a:r>
            <a:r>
              <a:rPr lang="tr-TR" baseline="0">
                <a:solidFill>
                  <a:srgbClr val="0070C0"/>
                </a:solidFill>
              </a:rPr>
              <a:t> w/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I</a:t>
            </a:r>
            <a:r>
              <a:rPr lang="tr-TR" sz="1400" b="1" i="0" u="none" strike="noStrike" cap="none" baseline="-25000">
                <a:solidFill>
                  <a:schemeClr val="accent2"/>
                </a:solidFill>
                <a:effectLst/>
              </a:rPr>
              <a:t>ON </a:t>
            </a: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/I</a:t>
            </a:r>
            <a:r>
              <a:rPr lang="tr-TR" sz="1400" b="1" i="0" u="none" strike="noStrike" cap="none" baseline="-25000">
                <a:solidFill>
                  <a:schemeClr val="accent2"/>
                </a:solidFill>
                <a:effectLst/>
              </a:rPr>
              <a:t>OFF </a:t>
            </a:r>
            <a:r>
              <a:rPr lang="tr-TR" sz="1400" b="1" i="0" u="none" strike="noStrike" cap="none" baseline="0">
                <a:solidFill>
                  <a:schemeClr val="accent2"/>
                </a:solidFill>
                <a:effectLst/>
              </a:rPr>
              <a:t> </a:t>
            </a:r>
            <a:r>
              <a:rPr lang="tr-TR" baseline="0">
                <a:solidFill>
                  <a:schemeClr val="accent2"/>
                </a:solidFill>
              </a:rPr>
              <a:t>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32863023515"/>
          <c:y val="0.1309892054474538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'FinFET_v94.in Sapp-HfO2-TiO2'!$S$70</c:f>
              <c:strCache>
                <c:ptCount val="1"/>
                <c:pt idx="0">
                  <c:v>Ion/Ioff 
w/ FGMs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3.4557790217070526E-2"/>
                  <c:y val="-8.6276622272236106E-2"/>
                </c:manualLayout>
              </c:layout>
              <c:tx>
                <c:rich>
                  <a:bodyPr/>
                  <a:lstStyle/>
                  <a:p>
                    <a:fld id="{1F418781-7E25-4E77-8A09-E032B70BF6C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07-4D30-9EDE-1EBA5CBFBA69}"/>
                </c:ext>
              </c:extLst>
            </c:dLbl>
            <c:dLbl>
              <c:idx val="1"/>
              <c:layout>
                <c:manualLayout>
                  <c:x val="3.8013569238777599E-2"/>
                  <c:y val="-5.0750954277786874E-3"/>
                </c:manualLayout>
              </c:layout>
              <c:tx>
                <c:rich>
                  <a:bodyPr/>
                  <a:lstStyle/>
                  <a:p>
                    <a:fld id="{C4E96BB5-7331-423C-BD10-8C1344D138B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007-4D30-9EDE-1EBA5CBFBA69}"/>
                </c:ext>
              </c:extLst>
            </c:dLbl>
            <c:dLbl>
              <c:idx val="2"/>
              <c:layout>
                <c:manualLayout>
                  <c:x val="2.246256364109582E-2"/>
                  <c:y val="0"/>
                </c:manualLayout>
              </c:layout>
              <c:tx>
                <c:rich>
                  <a:bodyPr/>
                  <a:lstStyle/>
                  <a:p>
                    <a:fld id="{9B4B0239-39C5-40AD-983F-2CA7E97A421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007-4D30-9EDE-1EBA5CBFBA69}"/>
                </c:ext>
              </c:extLst>
            </c:dLbl>
            <c:dLbl>
              <c:idx val="3"/>
              <c:layout>
                <c:manualLayout>
                  <c:x val="2.4190453151949381E-2"/>
                  <c:y val="2.791302485278218E-2"/>
                </c:manualLayout>
              </c:layout>
              <c:tx>
                <c:rich>
                  <a:bodyPr/>
                  <a:lstStyle/>
                  <a:p>
                    <a:fld id="{F7EC951C-4CF6-4A53-B1DF-3277AD6823B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007-4D30-9EDE-1EBA5CBFBA69}"/>
                </c:ext>
              </c:extLst>
            </c:dLbl>
            <c:dLbl>
              <c:idx val="4"/>
              <c:layout>
                <c:manualLayout>
                  <c:x val="5.183668532560518E-3"/>
                  <c:y val="-5.5826049705564589E-2"/>
                </c:manualLayout>
              </c:layout>
              <c:tx>
                <c:rich>
                  <a:bodyPr/>
                  <a:lstStyle/>
                  <a:p>
                    <a:fld id="{E7994021-8A31-4204-9DC0-0357881F533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007-4D30-9EDE-1EBA5CBFBA69}"/>
                </c:ext>
              </c:extLst>
            </c:dLbl>
            <c:dLbl>
              <c:idx val="5"/>
              <c:layout>
                <c:manualLayout>
                  <c:x val="0"/>
                  <c:y val="6.0901145133343139E-2"/>
                </c:manualLayout>
              </c:layout>
              <c:tx>
                <c:rich>
                  <a:bodyPr/>
                  <a:lstStyle/>
                  <a:p>
                    <a:fld id="{B3EC0EE0-BA86-4089-BD3E-050962730B6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007-4D30-9EDE-1EBA5CBFBA69}"/>
                </c:ext>
              </c:extLst>
            </c:dLbl>
            <c:dLbl>
              <c:idx val="6"/>
              <c:layout>
                <c:manualLayout>
                  <c:x val="3.1102011195363551E-2"/>
                  <c:y val="3.8063215708339461E-2"/>
                </c:manualLayout>
              </c:layout>
              <c:tx>
                <c:rich>
                  <a:bodyPr/>
                  <a:lstStyle/>
                  <a:p>
                    <a:fld id="{43DB37E2-6B9F-4F7E-9787-D81C6D6C9A7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007-4D30-9EDE-1EBA5CBFBA69}"/>
                </c:ext>
              </c:extLst>
            </c:dLbl>
            <c:dLbl>
              <c:idx val="7"/>
              <c:layout>
                <c:manualLayout>
                  <c:x val="-1.209522657597469E-2"/>
                  <c:y val="6.8513788275011034E-2"/>
                </c:manualLayout>
              </c:layout>
              <c:tx>
                <c:rich>
                  <a:bodyPr/>
                  <a:lstStyle/>
                  <a:p>
                    <a:fld id="{EF5BDDC0-1899-41AD-A136-FB43016EEED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007-4D30-9EDE-1EBA5CBFBA69}"/>
                </c:ext>
              </c:extLst>
            </c:dLbl>
            <c:dLbl>
              <c:idx val="8"/>
              <c:layout>
                <c:manualLayout>
                  <c:x val="1.209522657597469E-2"/>
                  <c:y val="7.105133598890033E-2"/>
                </c:manualLayout>
              </c:layout>
              <c:tx>
                <c:rich>
                  <a:bodyPr/>
                  <a:lstStyle/>
                  <a:p>
                    <a:fld id="{92B6BE49-B41E-48E8-A76B-E164E044824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007-4D30-9EDE-1EBA5CBFBA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'FinFET_v94.in Sapp-HfO2-TiO2'!$E$73:$E$81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'FinFET_v94.in Sapp-HfO2-TiO2'!$S$72:$S$80</c:f>
              <c:numCache>
                <c:formatCode>0.00E+00</c:formatCode>
                <c:ptCount val="9"/>
                <c:pt idx="0">
                  <c:v>10000000</c:v>
                </c:pt>
                <c:pt idx="1">
                  <c:v>10000000</c:v>
                </c:pt>
                <c:pt idx="2">
                  <c:v>10000000000</c:v>
                </c:pt>
                <c:pt idx="3">
                  <c:v>10000000000000</c:v>
                </c:pt>
                <c:pt idx="4">
                  <c:v>100000000000000</c:v>
                </c:pt>
                <c:pt idx="5">
                  <c:v>1000000000000</c:v>
                </c:pt>
                <c:pt idx="6">
                  <c:v>1000000000000</c:v>
                </c:pt>
                <c:pt idx="7">
                  <c:v>1E+22</c:v>
                </c:pt>
                <c:pt idx="8">
                  <c:v>1000000000000000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'FinFET_v94.in Sapp-HfO2-TiO2'!$A$116:$A$124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0007-4D30-9EDE-1EBA5CBF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'FinFET_v94.in Sapp-HfO2-TiO2'!$S$2</c:f>
              <c:strCache>
                <c:ptCount val="1"/>
                <c:pt idx="0">
                  <c:v>Ion/Ioff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Sapp-HfO2-TiO2'!$S$3:$S$9</c:f>
              <c:numCache>
                <c:formatCode>0.00E+00</c:formatCode>
                <c:ptCount val="7"/>
                <c:pt idx="0">
                  <c:v>10000000</c:v>
                </c:pt>
                <c:pt idx="1">
                  <c:v>100000000000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100000000000000</c:v>
                </c:pt>
                <c:pt idx="5">
                  <c:v>100000000000000</c:v>
                </c:pt>
                <c:pt idx="6">
                  <c:v>1000000000000000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07-4D30-9EDE-1EBA5CBF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/>
                  <a:t>ION /IOFF ratio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2877622394311552E-2"/>
              <c:y val="0.28050301813236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SS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SS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32863023515"/>
          <c:y val="0.1309892054474538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'FinFET_v94.in Sapp-HfO2-TiO2'!$O$70</c:f>
              <c:strCache>
                <c:ptCount val="1"/>
                <c:pt idx="0">
                  <c:v>SS (mV/dec) 
w/ FGMs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A9BAE14-1DF6-43B5-B337-4F21C39A1F2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73D-45A9-90D1-C3728D6069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E30CFD-8F8D-47FC-AB5B-476940DE043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73D-45A9-90D1-C3728D6069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80FBEE-00DD-422B-A65B-BEC7F538D5F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73D-45A9-90D1-C3728D6069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02C6E20-1863-47CB-A8AA-24819B66FA4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73D-45A9-90D1-C3728D6069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AEF1C6D-20BD-49A2-87C8-F942F7548EE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73D-45A9-90D1-C3728D6069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5FDC6E9-FBFD-4232-A6BE-784F20E14D4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73D-45A9-90D1-C3728D6069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546B4D9-ADB8-41CE-B5BD-E84978E1803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73D-45A9-90D1-C3728D6069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B177674-900B-4F00-AEDE-0605DE80541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73D-45A9-90D1-C3728D6069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D287955-997B-4060-93AF-DD0FC869C26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73D-45A9-90D1-C3728D6069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'FinFET_v94.in Sapp-HfO2-TiO2'!$E$73:$E$81</c:f>
              <c:numCache>
                <c:formatCode>0.00</c:formatCode>
                <c:ptCount val="9"/>
                <c:pt idx="0">
                  <c:v>3.9</c:v>
                </c:pt>
                <c:pt idx="1">
                  <c:v>9.9333333333333336</c:v>
                </c:pt>
                <c:pt idx="2">
                  <c:v>12.950000000000001</c:v>
                </c:pt>
                <c:pt idx="3">
                  <c:v>19.283333333333335</c:v>
                </c:pt>
                <c:pt idx="4">
                  <c:v>25.633333333333336</c:v>
                </c:pt>
                <c:pt idx="5">
                  <c:v>31.966666666666669</c:v>
                </c:pt>
                <c:pt idx="6">
                  <c:v>43.300000000000004</c:v>
                </c:pt>
                <c:pt idx="7">
                  <c:v>70.333333333333329</c:v>
                </c:pt>
                <c:pt idx="8">
                  <c:v>80</c:v>
                </c:pt>
              </c:numCache>
            </c:numRef>
          </c:xVal>
          <c:yVal>
            <c:numRef>
              <c:f>'FinFET_v94.in Sapp-HfO2-TiO2'!$O$72:$O$80</c:f>
              <c:numCache>
                <c:formatCode>0.00</c:formatCode>
                <c:ptCount val="9"/>
                <c:pt idx="0">
                  <c:v>71.3</c:v>
                </c:pt>
                <c:pt idx="1">
                  <c:v>63</c:v>
                </c:pt>
                <c:pt idx="2">
                  <c:v>63</c:v>
                </c:pt>
                <c:pt idx="3">
                  <c:v>59</c:v>
                </c:pt>
                <c:pt idx="4">
                  <c:v>59.2</c:v>
                </c:pt>
                <c:pt idx="5">
                  <c:v>60.7</c:v>
                </c:pt>
                <c:pt idx="6">
                  <c:v>59.7</c:v>
                </c:pt>
                <c:pt idx="7">
                  <c:v>57.8</c:v>
                </c:pt>
                <c:pt idx="8">
                  <c:v>58.9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'FinFET_v94.in Sapp-HfO2-TiO2'!$A$116:$A$124</c15:f>
                <c15:dlblRangeCache>
                  <c:ptCount val="9"/>
                  <c:pt idx="0">
                    <c:v>SiO2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B73D-45A9-90D1-C3728D606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'FinFET_v94.in Sapp-HfO2-TiO2'!$O$2</c:f>
              <c:strCache>
                <c:ptCount val="1"/>
                <c:pt idx="0">
                  <c:v>SS (mV/dec)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Sapp-HfO2-TiO2'!$D$3:$D$9</c:f>
              <c:numCache>
                <c:formatCode>General</c:formatCode>
                <c:ptCount val="7"/>
                <c:pt idx="0">
                  <c:v>3.9</c:v>
                </c:pt>
                <c:pt idx="1">
                  <c:v>7.5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  <c:pt idx="6">
                  <c:v>80</c:v>
                </c:pt>
              </c:numCache>
            </c:numRef>
          </c:xVal>
          <c:yVal>
            <c:numRef>
              <c:f>'FinFET_v94.in Sapp-HfO2-TiO2'!$O$3:$O$9</c:f>
              <c:numCache>
                <c:formatCode>General</c:formatCode>
                <c:ptCount val="7"/>
                <c:pt idx="0">
                  <c:v>71.3</c:v>
                </c:pt>
                <c:pt idx="1">
                  <c:v>64.400000000000006</c:v>
                </c:pt>
                <c:pt idx="2">
                  <c:v>60.4</c:v>
                </c:pt>
                <c:pt idx="3">
                  <c:v>60.4</c:v>
                </c:pt>
                <c:pt idx="4">
                  <c:v>58.1</c:v>
                </c:pt>
                <c:pt idx="5">
                  <c:v>57.9</c:v>
                </c:pt>
                <c:pt idx="6">
                  <c:v>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73D-45A9-90D1-C3728D606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Subthreshold slope</a:t>
                </a:r>
                <a:r>
                  <a:rPr lang="tr-TR" sz="1400" baseline="0"/>
                  <a:t> (mV /dec)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3269322180946442E-2"/>
              <c:y val="0.22031408840193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=12-80)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DIBL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12-80)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'FinFET_v94.in Sapp-HfO2-TiO2'!$P$70</c:f>
              <c:strCache>
                <c:ptCount val="1"/>
                <c:pt idx="0">
                  <c:v>DIBL
/w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349566646131743E-2"/>
                  <c:y val="-5.2088919476887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AA-4DFD-9A96-03F8E3336A91}"/>
                </c:ext>
              </c:extLst>
            </c:dLbl>
            <c:dLbl>
              <c:idx val="1"/>
              <c:layout>
                <c:manualLayout>
                  <c:x val="2.5764454153424141E-2"/>
                  <c:y val="-7.2924487267642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AA-4DFD-9A96-03F8E3336A91}"/>
                </c:ext>
              </c:extLst>
            </c:dLbl>
            <c:dLbl>
              <c:idx val="2"/>
              <c:layout>
                <c:manualLayout>
                  <c:x val="9.8150301536853134E-3"/>
                  <c:y val="-6.7715595319954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AA-4DFD-9A96-03F8E3336A91}"/>
                </c:ext>
              </c:extLst>
            </c:dLbl>
            <c:dLbl>
              <c:idx val="3"/>
              <c:layout>
                <c:manualLayout>
                  <c:x val="-3.6806363076320263E-3"/>
                  <c:y val="-7.29244872676429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AA-4DFD-9A96-03F8E3336A91}"/>
                </c:ext>
              </c:extLst>
            </c:dLbl>
            <c:dLbl>
              <c:idx val="4"/>
              <c:layout>
                <c:manualLayout>
                  <c:x val="-2.5764454153424276E-2"/>
                  <c:y val="-6.2506703372265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AA-4DFD-9A96-03F8E3336A91}"/>
                </c:ext>
              </c:extLst>
            </c:dLbl>
            <c:dLbl>
              <c:idx val="5"/>
              <c:layout>
                <c:manualLayout>
                  <c:x val="-8.9970070400185487E-17"/>
                  <c:y val="-6.7715595319954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AA-4DFD-9A96-03F8E3336A91}"/>
                </c:ext>
              </c:extLst>
            </c:dLbl>
            <c:dLbl>
              <c:idx val="6"/>
              <c:layout>
                <c:manualLayout>
                  <c:x val="-8.9970070400185487E-17"/>
                  <c:y val="-7.5528933241487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AA-4DFD-9A96-03F8E3336A91}"/>
                </c:ext>
              </c:extLst>
            </c:dLbl>
            <c:dLbl>
              <c:idx val="7"/>
              <c:layout>
                <c:manualLayout>
                  <c:x val="0"/>
                  <c:y val="-7.0320041293798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AA-4DFD-9A96-03F8E3336A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'FinFET_v94.in Sapp-HfO2-TiO2'!$E$143:$E$150</c:f>
              <c:numCache>
                <c:formatCode>0.0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30</c:v>
                </c:pt>
                <c:pt idx="3">
                  <c:v>38</c:v>
                </c:pt>
                <c:pt idx="4">
                  <c:v>49.333333333333336</c:v>
                </c:pt>
                <c:pt idx="5">
                  <c:v>59</c:v>
                </c:pt>
                <c:pt idx="6">
                  <c:v>70.333333333333329</c:v>
                </c:pt>
                <c:pt idx="7">
                  <c:v>80</c:v>
                </c:pt>
              </c:numCache>
            </c:numRef>
          </c:xVal>
          <c:yVal>
            <c:numRef>
              <c:f>'FinFET_v94.in Sapp-HfO2-TiO2'!$P$143:$P$150</c:f>
              <c:numCache>
                <c:formatCode>General</c:formatCode>
                <c:ptCount val="8"/>
                <c:pt idx="0">
                  <c:v>15.83</c:v>
                </c:pt>
                <c:pt idx="1">
                  <c:v>8.35</c:v>
                </c:pt>
                <c:pt idx="2">
                  <c:v>7.3</c:v>
                </c:pt>
                <c:pt idx="3">
                  <c:v>6.87</c:v>
                </c:pt>
                <c:pt idx="4">
                  <c:v>10.61</c:v>
                </c:pt>
                <c:pt idx="5">
                  <c:v>9.57</c:v>
                </c:pt>
                <c:pt idx="6">
                  <c:v>7.39</c:v>
                </c:pt>
                <c:pt idx="7">
                  <c:v>7.39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4AA-4DFD-9A96-03F8E3336A91}"/>
            </c:ext>
          </c:extLst>
        </c:ser>
        <c:ser>
          <c:idx val="0"/>
          <c:order val="1"/>
          <c:tx>
            <c:strRef>
              <c:f>'FinFET_v94.in Sapp-HfO2-TiO2'!$P$2</c:f>
              <c:strCache>
                <c:ptCount val="1"/>
                <c:pt idx="0">
                  <c:v>DIBL 
w/ Single 
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Sapp-HfO2-TiO2'!$E$27:$E$30</c:f>
              <c:numCache>
                <c:formatCode>0.00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</c:v>
                </c:pt>
                <c:pt idx="3">
                  <c:v>80</c:v>
                </c:pt>
              </c:numCache>
            </c:numRef>
          </c:xVal>
          <c:yVal>
            <c:numRef>
              <c:f>'FinFET_v94.in Sapp-HfO2-TiO2'!$P$27:$P$30</c:f>
              <c:numCache>
                <c:formatCode>General</c:formatCode>
                <c:ptCount val="4"/>
                <c:pt idx="0">
                  <c:v>15.83</c:v>
                </c:pt>
                <c:pt idx="1">
                  <c:v>8.35</c:v>
                </c:pt>
                <c:pt idx="2">
                  <c:v>8.35</c:v>
                </c:pt>
                <c:pt idx="3">
                  <c:v>7.39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4AA-4DFD-9A96-03F8E3336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DIBL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6288309711146015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'FinFET_v94.in Sapp-HfO2-TiO2'!$T$70</c:f>
              <c:strCache>
                <c:ptCount val="1"/>
                <c:pt idx="0">
                  <c:v>Leakage Id (A) 
w/ FGM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Sapp-HfO2-TiO2'!$E$143:$E$150</c:f>
              <c:numCache>
                <c:formatCode>0.0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30</c:v>
                </c:pt>
                <c:pt idx="3">
                  <c:v>38</c:v>
                </c:pt>
                <c:pt idx="4">
                  <c:v>49.333333333333336</c:v>
                </c:pt>
                <c:pt idx="5">
                  <c:v>59</c:v>
                </c:pt>
                <c:pt idx="6">
                  <c:v>70.333333333333329</c:v>
                </c:pt>
                <c:pt idx="7">
                  <c:v>80</c:v>
                </c:pt>
              </c:numCache>
            </c:numRef>
          </c:xVal>
          <c:yVal>
            <c:numRef>
              <c:f>'FinFET_v94.in Sapp-HfO2-TiO2'!$Q$143:$Q$150</c:f>
              <c:numCache>
                <c:formatCode>0.00E+00</c:formatCode>
                <c:ptCount val="8"/>
                <c:pt idx="0">
                  <c:v>9.9999999999999995E-21</c:v>
                </c:pt>
                <c:pt idx="1">
                  <c:v>1E-22</c:v>
                </c:pt>
                <c:pt idx="2">
                  <c:v>1E-22</c:v>
                </c:pt>
                <c:pt idx="3">
                  <c:v>9.9999999999999991E-22</c:v>
                </c:pt>
                <c:pt idx="4">
                  <c:v>1E-26</c:v>
                </c:pt>
                <c:pt idx="5">
                  <c:v>1E-22</c:v>
                </c:pt>
                <c:pt idx="6">
                  <c:v>1E-27</c:v>
                </c:pt>
                <c:pt idx="7">
                  <c:v>9.9999999999999994E-30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A-45B4-BE2A-5DDDC5628E5A}"/>
            </c:ext>
          </c:extLst>
        </c:ser>
        <c:ser>
          <c:idx val="0"/>
          <c:order val="1"/>
          <c:tx>
            <c:strRef>
              <c:f>'FinFET_v94.in Sapp-HfO2-TiO2'!$T$2</c:f>
              <c:strCache>
                <c:ptCount val="1"/>
                <c:pt idx="0">
                  <c:v>Leakage Id (A) 
w/ Single Dielectric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'FinFET_v94.in Sapp-HfO2-TiO2'!$E$27:$E$30</c:f>
              <c:numCache>
                <c:formatCode>0.00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</c:v>
                </c:pt>
                <c:pt idx="3">
                  <c:v>80</c:v>
                </c:pt>
              </c:numCache>
            </c:numRef>
          </c:xVal>
          <c:yVal>
            <c:numRef>
              <c:f>'FinFET_v94.in Sapp-HfO2-TiO2'!$Q$27:$Q$30</c:f>
              <c:numCache>
                <c:formatCode>0.00E+00</c:formatCode>
                <c:ptCount val="4"/>
                <c:pt idx="0">
                  <c:v>9.9999999999999995E-21</c:v>
                </c:pt>
                <c:pt idx="1">
                  <c:v>1E-22</c:v>
                </c:pt>
                <c:pt idx="2">
                  <c:v>1E-22</c:v>
                </c:pt>
                <c:pt idx="3">
                  <c:v>9.9999999999999994E-30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C2A-45B4-BE2A-5DDDC5628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3104298626"/>
              <c:y val="0.8132680778182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11E-1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DIBL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FinFET_v94R_BOXSiO2!$E$8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D7E89B2-4065-41AB-A2B8-16AEB0D686D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41-4F08-9515-66BBA71907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3EAF85-7DB7-42F2-B721-09BD2DFB587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241-4F08-9515-66BBA71907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FF43F0-35CA-492F-9E5E-317562CFB77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41-4F08-9515-66BBA719070F}"/>
                </c:ext>
              </c:extLst>
            </c:dLbl>
            <c:dLbl>
              <c:idx val="3"/>
              <c:layout>
                <c:manualLayout>
                  <c:x val="-5.7341880266842955E-2"/>
                  <c:y val="2.8543261838966463E-2"/>
                </c:manualLayout>
              </c:layout>
              <c:tx>
                <c:rich>
                  <a:bodyPr/>
                  <a:lstStyle/>
                  <a:p>
                    <a:fld id="{8CE331E3-05FE-4469-B29D-1AD1D4BDEE4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241-4F08-9515-66BBA71907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B6CB284-E209-461B-974C-C3A4A8E3C63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241-4F08-9515-66BBA71907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C051EF-EE06-4AFD-ADCD-A252E37A71F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241-4F08-9515-66BBA719070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7DD92E5-9EA4-4E1C-B39B-991F2D39BC1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41-4F08-9515-66BBA719070F}"/>
                </c:ext>
              </c:extLst>
            </c:dLbl>
            <c:dLbl>
              <c:idx val="7"/>
              <c:layout>
                <c:manualLayout>
                  <c:x val="1.6873056350370386E-2"/>
                  <c:y val="-1.4451675505031163E-2"/>
                </c:manualLayout>
              </c:layout>
              <c:tx>
                <c:rich>
                  <a:bodyPr/>
                  <a:lstStyle/>
                  <a:p>
                    <a:fld id="{CB9F22E8-4D79-4123-82BC-1064AEC683E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8BB-4661-BECB-4800B10293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99B9C00-1517-49DB-B92D-6CA473C1B89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241-4F08-9515-66BBA719070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B971BF0-FB52-4737-A759-EB4EB2009E6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241-4F08-9515-66BBA719070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49C732D-3BC5-48CF-8995-A86E4EB6227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241-4F08-9515-66BBA719070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6F101EC-E846-4F5F-B399-08E2B08664D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241-4F08-9515-66BBA719070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95631DB-F23F-45AA-AB33-236C8C8D3EA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35C-46EC-8C91-602091E706B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72F7A09-D860-464F-AAE6-FEEF8FD9408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35C-46EC-8C91-602091E706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12.633333333333333</c:v>
                </c:pt>
                <c:pt idx="2">
                  <c:v>17.316666666666666</c:v>
                </c:pt>
                <c:pt idx="3">
                  <c:v>20.333333333333332</c:v>
                </c:pt>
                <c:pt idx="4">
                  <c:v>30</c:v>
                </c:pt>
                <c:pt idx="5">
                  <c:v>31.966666666666669</c:v>
                </c:pt>
                <c:pt idx="6">
                  <c:v>35.300000000000004</c:v>
                </c:pt>
                <c:pt idx="7">
                  <c:v>38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51</c:v>
                </c:pt>
                <c:pt idx="11">
                  <c:v>59</c:v>
                </c:pt>
                <c:pt idx="12">
                  <c:v>70.333333333333329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FinFET_v94R_BOXSiO2!$K$8:$X$8</c:f>
              <c:numCache>
                <c:formatCode>General</c:formatCode>
                <c:ptCount val="14"/>
                <c:pt idx="0">
                  <c:v>47.65</c:v>
                </c:pt>
                <c:pt idx="1">
                  <c:v>17.13</c:v>
                </c:pt>
                <c:pt idx="2">
                  <c:v>16.260000000000002</c:v>
                </c:pt>
                <c:pt idx="3">
                  <c:v>8.26</c:v>
                </c:pt>
                <c:pt idx="4">
                  <c:v>7.13</c:v>
                </c:pt>
                <c:pt idx="5">
                  <c:v>12.09</c:v>
                </c:pt>
                <c:pt idx="6">
                  <c:v>12.09</c:v>
                </c:pt>
                <c:pt idx="7">
                  <c:v>6.78</c:v>
                </c:pt>
                <c:pt idx="8">
                  <c:v>17.04</c:v>
                </c:pt>
                <c:pt idx="9">
                  <c:v>11.91</c:v>
                </c:pt>
                <c:pt idx="10">
                  <c:v>9.48</c:v>
                </c:pt>
                <c:pt idx="11">
                  <c:v>9.48</c:v>
                </c:pt>
                <c:pt idx="12">
                  <c:v>7.39</c:v>
                </c:pt>
                <c:pt idx="13">
                  <c:v>7.48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A8BB-4661-BECB-4800B102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FinFET_v94R_BOXSiO2!$E$8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78E6858-D63A-4D1B-B6EE-C00668670A5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35C-46EC-8C91-602091E706BA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28DF8C65-1863-4AAA-B419-BC04C11B1D0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35C-46EC-8C91-602091E706BA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F9B8F971-2977-43AC-93BA-B4F4218015B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35C-46EC-8C91-602091E706BA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45BBA346-893C-4C3C-94C9-49AD4F326E4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35C-46EC-8C91-602091E706BA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A67F14FB-985D-4751-A38F-F6ACBC51D0A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D6-4C59-9BFC-AF53F7CDEE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FinFET_v94R_BOXSiO2!$F$8:$J$8</c:f>
              <c:numCache>
                <c:formatCode>General</c:formatCode>
                <c:ptCount val="5"/>
                <c:pt idx="0">
                  <c:v>47.65</c:v>
                </c:pt>
                <c:pt idx="1">
                  <c:v>17.04</c:v>
                </c:pt>
                <c:pt idx="2">
                  <c:v>8.09</c:v>
                </c:pt>
                <c:pt idx="3">
                  <c:v>12.78</c:v>
                </c:pt>
                <c:pt idx="4">
                  <c:v>7.48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A8BB-4661-BECB-4800B102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17256786004305"/>
          <c:y val="0.47856028595196487"/>
          <c:w val="0.16770728359365178"/>
          <c:h val="4.2127357444673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FinFET_v94R_BOXSiO2!$E$11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3A23521-92E0-4941-80A5-4EE9E62761D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035-4615-8DB6-25957A3A5F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C86ADE-7C15-4C06-AC58-1C5C696A741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035-4615-8DB6-25957A3A5F5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8C5FB0-B312-4279-8E74-E7E699448DE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035-4615-8DB6-25957A3A5F5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FA2265-EB50-49B3-8F7C-57722CEC6DE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035-4615-8DB6-25957A3A5F5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F44730-1F53-4AB1-B509-CB07EFFA05B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035-4615-8DB6-25957A3A5F5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76319A-F5DA-4F8F-8F1B-83E5228555F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035-4615-8DB6-25957A3A5F5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90BE745-C92B-4244-83DD-89B081A39C6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035-4615-8DB6-25957A3A5F5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6C2F3D4-940A-4409-8E3B-FE21A317ECE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035-4615-8DB6-25957A3A5F5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D27F5A0-5327-4450-9550-7CC549687BC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035-4615-8DB6-25957A3A5F5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16DEA0A-A9D7-4B2B-8713-696363B0C19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035-4615-8DB6-25957A3A5F56}"/>
                </c:ext>
              </c:extLst>
            </c:dLbl>
            <c:dLbl>
              <c:idx val="10"/>
              <c:layout>
                <c:manualLayout>
                  <c:x val="4.0915132993511209E-3"/>
                  <c:y val="5.7420452943383972E-2"/>
                </c:manualLayout>
              </c:layout>
              <c:tx>
                <c:rich>
                  <a:bodyPr/>
                  <a:lstStyle/>
                  <a:p>
                    <a:fld id="{E541A3DF-5231-470A-B31A-8DCE433D0E4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035-4615-8DB6-25957A3A5F5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EFBF766-FAC1-4E33-BD52-68F4DE1CD2B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035-4615-8DB6-25957A3A5F5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27302B9-3BD3-4CF3-9F29-1BA32746F64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3A7-462B-815C-9C33803E95B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BE0B29F-EB56-4917-BD92-C7290C47CCA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3A7-462B-815C-9C33803E95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12.633333333333333</c:v>
                </c:pt>
                <c:pt idx="2">
                  <c:v>17.316666666666666</c:v>
                </c:pt>
                <c:pt idx="3">
                  <c:v>20.333333333333332</c:v>
                </c:pt>
                <c:pt idx="4">
                  <c:v>30</c:v>
                </c:pt>
                <c:pt idx="5">
                  <c:v>31.966666666666669</c:v>
                </c:pt>
                <c:pt idx="6">
                  <c:v>35.300000000000004</c:v>
                </c:pt>
                <c:pt idx="7">
                  <c:v>38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51</c:v>
                </c:pt>
                <c:pt idx="11">
                  <c:v>59</c:v>
                </c:pt>
                <c:pt idx="12">
                  <c:v>70.333333333333329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FinFET_v94R_BOXSiO2!$K$11:$X$11</c:f>
              <c:numCache>
                <c:formatCode>0.00E+00</c:formatCode>
                <c:ptCount val="14"/>
                <c:pt idx="0">
                  <c:v>10000000</c:v>
                </c:pt>
                <c:pt idx="1">
                  <c:v>100000000000</c:v>
                </c:pt>
                <c:pt idx="2">
                  <c:v>1000000000000</c:v>
                </c:pt>
                <c:pt idx="3">
                  <c:v>1000000000000000</c:v>
                </c:pt>
                <c:pt idx="4">
                  <c:v>1E+16</c:v>
                </c:pt>
                <c:pt idx="5">
                  <c:v>1000000000000</c:v>
                </c:pt>
                <c:pt idx="6">
                  <c:v>1000000000000</c:v>
                </c:pt>
                <c:pt idx="7">
                  <c:v>1E+16</c:v>
                </c:pt>
                <c:pt idx="8">
                  <c:v>100000000000</c:v>
                </c:pt>
                <c:pt idx="9">
                  <c:v>1000000000000</c:v>
                </c:pt>
                <c:pt idx="10">
                  <c:v>1E+18</c:v>
                </c:pt>
                <c:pt idx="11">
                  <c:v>1E+18</c:v>
                </c:pt>
                <c:pt idx="12">
                  <c:v>1E+22</c:v>
                </c:pt>
                <c:pt idx="13">
                  <c:v>9.9999999999999998E+23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035-4615-8DB6-25957A3A5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FinFET_v94R_BOXSiO2!$E$14</c:f>
              <c:strCache>
                <c:ptCount val="1"/>
                <c:pt idx="0">
                  <c:v>I Max /  I Leaakge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F490A13-2674-44E3-BB6E-4DAF2A9143E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3A7-462B-815C-9C33803E95BD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1C476877-506C-473F-A9BA-4A0AD18D94B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3A7-462B-815C-9C33803E95BD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8F704461-C850-44BE-BC4A-C03008AD0FE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3A7-462B-815C-9C33803E95BD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EAA1F350-7716-4E20-9726-5DD047AB2BF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3A7-462B-815C-9C33803E95B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AA56FC3-58B6-477D-BF46-AB2080085AB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3A7-462B-815C-9C33803E95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FinFET_v94R_BOXSiO2!$F$11:$J$11</c:f>
              <c:numCache>
                <c:formatCode>0.00E+00</c:formatCode>
                <c:ptCount val="5"/>
                <c:pt idx="0">
                  <c:v>10000000</c:v>
                </c:pt>
                <c:pt idx="1">
                  <c:v>10000000000000</c:v>
                </c:pt>
                <c:pt idx="2">
                  <c:v>1E+16</c:v>
                </c:pt>
                <c:pt idx="3">
                  <c:v>100000000000000</c:v>
                </c:pt>
                <c:pt idx="4">
                  <c:v>9.9999999999999998E+23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035-4615-8DB6-25957A3A5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FinFET_v9_Makale.in!$G$2</c:f>
              <c:strCache>
                <c:ptCount val="1"/>
                <c:pt idx="0">
                  <c:v>SS (mV/dec)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FinFET_v9_Makale.in!$C$3:$C$7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FinFET_v9_Makale.in!$G$3:$G$7</c:f>
              <c:numCache>
                <c:formatCode>General</c:formatCode>
                <c:ptCount val="5"/>
                <c:pt idx="0">
                  <c:v>59.8</c:v>
                </c:pt>
                <c:pt idx="1">
                  <c:v>59.6</c:v>
                </c:pt>
                <c:pt idx="2">
                  <c:v>61.1</c:v>
                </c:pt>
                <c:pt idx="3">
                  <c:v>62.5</c:v>
                </c:pt>
                <c:pt idx="4">
                  <c:v>63.8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5-447B-8AF2-D2685E202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FinFET_v94R_BOXSiO2!$E$13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7136D55-1779-42EA-808F-93D3CB4950A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A80-4AEA-989A-9C1D867A32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D96B0C-2231-4A5C-8ED2-D8D43A9DC6D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A80-4AEA-989A-9C1D867A32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6BAC8C-B82B-4A11-A794-891534B5D2B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A80-4AEA-989A-9C1D867A32A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C76888C-CB52-4AC0-BE41-C0545EA6C25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A80-4AEA-989A-9C1D867A32A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DE9756-EA43-4BB6-83F2-3E7A6355B53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A80-4AEA-989A-9C1D867A32A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781C48D-1882-4C62-ABFC-708F2622444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A80-4AEA-989A-9C1D867A32A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0BE17AA-0321-4E1B-9DE3-32E5E71683B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A80-4AEA-989A-9C1D867A32A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3A582F1-3ECF-4DC4-BB07-2B2852FB9B8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A80-4AEA-989A-9C1D867A32A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F555B0-AFC2-40A2-B7A9-3AED696A835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A80-4AEA-989A-9C1D867A32A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30DD82-3290-4C97-A284-C78533F049B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A80-4AEA-989A-9C1D867A32A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CE54FD8-EB8C-426F-83CD-1603A8F32CE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A80-4AEA-989A-9C1D867A32A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0359395-2FC3-480F-BDD9-F28FA0BA3C0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A80-4AEA-989A-9C1D867A32A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69105B3-BAFA-4C83-A154-79684BC8F46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C0A-4D82-8040-13009C135A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A2ED187-68B4-4380-AB27-FFDF1D2F83F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C0A-4D82-8040-13009C135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12.633333333333333</c:v>
                </c:pt>
                <c:pt idx="2">
                  <c:v>17.316666666666666</c:v>
                </c:pt>
                <c:pt idx="3">
                  <c:v>20.333333333333332</c:v>
                </c:pt>
                <c:pt idx="4">
                  <c:v>30</c:v>
                </c:pt>
                <c:pt idx="5">
                  <c:v>31.966666666666669</c:v>
                </c:pt>
                <c:pt idx="6">
                  <c:v>35.300000000000004</c:v>
                </c:pt>
                <c:pt idx="7">
                  <c:v>38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51</c:v>
                </c:pt>
                <c:pt idx="11">
                  <c:v>59</c:v>
                </c:pt>
                <c:pt idx="12">
                  <c:v>70.333333333333329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FinFET_v94R_BOXSiO2!$K$13:$X$13</c:f>
              <c:numCache>
                <c:formatCode>0.00E+00</c:formatCode>
                <c:ptCount val="14"/>
                <c:pt idx="0">
                  <c:v>2.6361655369999999E-5</c:v>
                </c:pt>
                <c:pt idx="1">
                  <c:v>1.7612746139999998E-5</c:v>
                </c:pt>
                <c:pt idx="2">
                  <c:v>1.362264743E-5</c:v>
                </c:pt>
                <c:pt idx="3">
                  <c:v>1.318154066E-5</c:v>
                </c:pt>
                <c:pt idx="4">
                  <c:v>1.246064538E-5</c:v>
                </c:pt>
                <c:pt idx="5">
                  <c:v>8.1708353809999993E-6</c:v>
                </c:pt>
                <c:pt idx="6">
                  <c:v>1.9468687239999999E-5</c:v>
                </c:pt>
                <c:pt idx="7">
                  <c:v>1.243510542E-5</c:v>
                </c:pt>
                <c:pt idx="8">
                  <c:v>1.647860722E-5</c:v>
                </c:pt>
                <c:pt idx="9">
                  <c:v>5.1405575709999999E-6</c:v>
                </c:pt>
                <c:pt idx="10">
                  <c:v>8.5399346879999998E-6</c:v>
                </c:pt>
                <c:pt idx="11">
                  <c:v>9.2774878429999997E-6</c:v>
                </c:pt>
                <c:pt idx="12">
                  <c:v>8.7145066859999992E-6</c:v>
                </c:pt>
                <c:pt idx="13">
                  <c:v>5.0408818470000002E-6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80-4AEA-989A-9C1D867A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FinFET_v94R_BOXSiO2!$E$13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436F87-AB47-4015-A3F3-9C26291F0D4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C0A-4D82-8040-13009C135A4D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3AAB8110-C5CF-4C8B-AB1B-90BBBE375D0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C0A-4D82-8040-13009C135A4D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6DB40029-E448-433D-A0D0-6DEDCBD89E0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C0A-4D82-8040-13009C135A4D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CAE959F3-8868-4145-8145-2726848AD4A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C0A-4D82-8040-13009C135A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1E9B46D-9B06-43E8-B3A6-06B02B28110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C0A-4D82-8040-13009C135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FinFET_v94R_BOXSiO2!$F$13:$J$13</c:f>
              <c:numCache>
                <c:formatCode>0.00E+00</c:formatCode>
                <c:ptCount val="5"/>
                <c:pt idx="0">
                  <c:v>2.6361655369999999E-5</c:v>
                </c:pt>
                <c:pt idx="1">
                  <c:v>1.6428431580000002E-5</c:v>
                </c:pt>
                <c:pt idx="2">
                  <c:v>9.6954572230000001E-6</c:v>
                </c:pt>
                <c:pt idx="3">
                  <c:v>7.8805128880000004E-6</c:v>
                </c:pt>
                <c:pt idx="4">
                  <c:v>5.0408818470000002E-6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A80-4AEA-989A-9C1D867A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9969516499958"/>
          <c:y val="0.17484163705168079"/>
          <c:w val="0.14906650437988242"/>
          <c:h val="4.2211867673356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6893624836129973"/>
          <c:y val="1.7493312595854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FinFET_v94R_BOXSiO2!$E$5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730A480-6744-42EF-B13C-FE83E85CBBE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32-4EB5-BBB3-3B2963E770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8867ED-C274-44EC-8D8F-A72D0B50BFB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432-4EB5-BBB3-3B2963E770C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7DA794-3956-4155-A555-D0D2C5AD25C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32-4EB5-BBB3-3B2963E770C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216E4D-22E4-4F5B-8ADA-3EEF435097A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32-4EB5-BBB3-3B2963E770C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C6B222-522F-404B-B60A-F6DB39FEAD6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32-4EB5-BBB3-3B2963E770C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64E4B3D-D2BB-40D7-968E-B8C961CDCE2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32-4EB5-BBB3-3B2963E770C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A497131-9CAF-4575-BF56-01D63D9730B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432-4EB5-BBB3-3B2963E770C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C3CC241-0CF6-4396-961D-ABA4E899521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32-4EB5-BBB3-3B2963E770C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55B52F6-8A75-4D3D-8A77-D86CA7C2086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32-4EB5-BBB3-3B2963E770C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225D8BC-1CFA-4924-B627-601E9226EC0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32-4EB5-BBB3-3B2963E770C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59F4961-BEFA-4EE2-BE95-D2E0AC1696D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32-4EB5-BBB3-3B2963E770C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290D637-8CE3-4006-8C30-8776CAB4FFB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432-4EB5-BBB3-3B2963E770C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F61CC50-875A-4BA5-91D8-EA2C9053DD8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432-4EB5-BBB3-3B2963E770C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44ACDB6-66C3-4D94-A3A1-A5E35048D37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432-4EB5-BBB3-3B2963E77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12.633333333333333</c:v>
                </c:pt>
                <c:pt idx="2">
                  <c:v>17.316666666666666</c:v>
                </c:pt>
                <c:pt idx="3">
                  <c:v>20.333333333333332</c:v>
                </c:pt>
                <c:pt idx="4">
                  <c:v>30</c:v>
                </c:pt>
                <c:pt idx="5">
                  <c:v>31.966666666666669</c:v>
                </c:pt>
                <c:pt idx="6">
                  <c:v>35.300000000000004</c:v>
                </c:pt>
                <c:pt idx="7">
                  <c:v>38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51</c:v>
                </c:pt>
                <c:pt idx="11">
                  <c:v>59</c:v>
                </c:pt>
                <c:pt idx="12">
                  <c:v>70.333333333333329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FinFET_v94R_BOXSiO2!$K$5:$X$5</c:f>
              <c:numCache>
                <c:formatCode>General</c:formatCode>
                <c:ptCount val="14"/>
                <c:pt idx="0">
                  <c:v>0.55659999999999998</c:v>
                </c:pt>
                <c:pt idx="1">
                  <c:v>0.76890000000000003</c:v>
                </c:pt>
                <c:pt idx="2">
                  <c:v>0.84440000000000004</c:v>
                </c:pt>
                <c:pt idx="3">
                  <c:v>0.91500000000000004</c:v>
                </c:pt>
                <c:pt idx="4">
                  <c:v>0.92379999999999995</c:v>
                </c:pt>
                <c:pt idx="5">
                  <c:v>0.78900000000000003</c:v>
                </c:pt>
                <c:pt idx="6">
                  <c:v>0.80810000000000004</c:v>
                </c:pt>
                <c:pt idx="7">
                  <c:v>0.92230000000000001</c:v>
                </c:pt>
                <c:pt idx="8">
                  <c:v>0.76519999999999999</c:v>
                </c:pt>
                <c:pt idx="9">
                  <c:v>0.80730000000000002</c:v>
                </c:pt>
                <c:pt idx="10">
                  <c:v>0.96379999999999999</c:v>
                </c:pt>
                <c:pt idx="11">
                  <c:v>0.9607</c:v>
                </c:pt>
                <c:pt idx="12">
                  <c:v>0.99099999999999999</c:v>
                </c:pt>
                <c:pt idx="13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39B-4924-A673-013D9A831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FinFET_v94R_BOXSiO2!$E$5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C515299-39F2-4EDA-994C-734CDEA7487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432-4EB5-BBB3-3B2963E770CE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70908D21-DC27-472B-9971-38CB766A8FE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432-4EB5-BBB3-3B2963E770CE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1E6DB863-8119-4ADA-8B93-0967852AA4E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432-4EB5-BBB3-3B2963E770CE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B2042165-AD37-4625-8248-8787925B953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432-4EB5-BBB3-3B2963E770C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DF94F1-2955-4F18-B0DC-3714D6F724F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432-4EB5-BBB3-3B2963E77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FinFET_v94R_BOXSiO2!$F$5:$J$5</c:f>
              <c:numCache>
                <c:formatCode>General</c:formatCode>
                <c:ptCount val="5"/>
                <c:pt idx="0">
                  <c:v>0.55659999999999998</c:v>
                </c:pt>
                <c:pt idx="1">
                  <c:v>0.85729999999999995</c:v>
                </c:pt>
                <c:pt idx="2">
                  <c:v>0.92600000000000005</c:v>
                </c:pt>
                <c:pt idx="3">
                  <c:v>0.95179999999999998</c:v>
                </c:pt>
                <c:pt idx="4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39B-4924-A673-013D9A831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016474591019532"/>
          <c:y val="0.38804614456442049"/>
          <c:w val="0.13994082862353663"/>
          <c:h val="4.217167374204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FinFET_v94R_BOXSiO2!$E$5</c:f>
              <c:strCache>
                <c:ptCount val="1"/>
                <c:pt idx="0">
                  <c:v>Vth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1CA874E-7335-4D1D-834D-3F8A788C397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DF-47B0-A076-2120D6BC29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25CDA7-D44D-4BF4-84B6-5BDA5D16671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DF-47B0-A076-2120D6BC29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A4465B-71E3-466B-9B65-79C8D602932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DF-47B0-A076-2120D6BC29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428986-E003-4009-8653-367F06ED465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DF-47B0-A076-2120D6BC29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7EE909-98A8-4411-BE95-B5A8BE57C01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DF-47B0-A076-2120D6BC29B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858303-789D-4017-9764-B1A31F1FEE2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DF-47B0-A076-2120D6BC29B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F2FEDB6-4A2B-4B7F-802F-EE094477659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DF-47B0-A076-2120D6BC29B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785B36A-9051-4A9A-8C82-FCEE41B1061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67B-4045-BC7A-E4D5D0A2DF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906EAD2-D651-4B0B-846F-86211C7C84C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DF-47B0-A076-2120D6BC29B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9ADCC98-ADE0-488B-B883-AC51014F5E0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BDF-47B0-A076-2120D6BC29B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D688C7B-E537-4324-A96B-699572B9159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DF-47B0-A076-2120D6BC29B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7E63FBF-DBDE-4A91-A074-2557E4E5ED5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BDF-47B0-A076-2120D6BC29B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436CD37-78A9-43BF-8659-649796D8526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DF-47B0-A076-2120D6BC29B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AE35D04-F12E-4268-94EE-0383BEC7140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DF-47B0-A076-2120D6BC29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FinFET_v94R_BOXSiO2!$K$3:$X$3</c:f>
              <c:numCache>
                <c:formatCode>0.0</c:formatCode>
                <c:ptCount val="14"/>
                <c:pt idx="0" formatCode="General">
                  <c:v>9</c:v>
                </c:pt>
                <c:pt idx="1">
                  <c:v>7.4666666666666659</c:v>
                </c:pt>
                <c:pt idx="2">
                  <c:v>6.333333333333333</c:v>
                </c:pt>
                <c:pt idx="3">
                  <c:v>5.7</c:v>
                </c:pt>
                <c:pt idx="4">
                  <c:v>5.416666666666667</c:v>
                </c:pt>
                <c:pt idx="5">
                  <c:v>6.8999999999999995</c:v>
                </c:pt>
                <c:pt idx="6">
                  <c:v>5.8999999999999995</c:v>
                </c:pt>
                <c:pt idx="7">
                  <c:v>5.6333333333333329</c:v>
                </c:pt>
                <c:pt idx="8">
                  <c:v>6.25</c:v>
                </c:pt>
                <c:pt idx="9">
                  <c:v>6.1166666666666671</c:v>
                </c:pt>
                <c:pt idx="10">
                  <c:v>4.3500000000000005</c:v>
                </c:pt>
                <c:pt idx="11">
                  <c:v>4.5666666666666664</c:v>
                </c:pt>
                <c:pt idx="12">
                  <c:v>3.7833333333333332</c:v>
                </c:pt>
                <c:pt idx="13" formatCode="General">
                  <c:v>3.5</c:v>
                </c:pt>
              </c:numCache>
            </c:numRef>
          </c:xVal>
          <c:yVal>
            <c:numRef>
              <c:f>FinFET_v94R_BOXSiO2!$K$5:$X$5</c:f>
              <c:numCache>
                <c:formatCode>General</c:formatCode>
                <c:ptCount val="14"/>
                <c:pt idx="0">
                  <c:v>0.55659999999999998</c:v>
                </c:pt>
                <c:pt idx="1">
                  <c:v>0.76890000000000003</c:v>
                </c:pt>
                <c:pt idx="2">
                  <c:v>0.84440000000000004</c:v>
                </c:pt>
                <c:pt idx="3">
                  <c:v>0.91500000000000004</c:v>
                </c:pt>
                <c:pt idx="4">
                  <c:v>0.92379999999999995</c:v>
                </c:pt>
                <c:pt idx="5">
                  <c:v>0.78900000000000003</c:v>
                </c:pt>
                <c:pt idx="6">
                  <c:v>0.80810000000000004</c:v>
                </c:pt>
                <c:pt idx="7">
                  <c:v>0.92230000000000001</c:v>
                </c:pt>
                <c:pt idx="8">
                  <c:v>0.76519999999999999</c:v>
                </c:pt>
                <c:pt idx="9">
                  <c:v>0.80730000000000002</c:v>
                </c:pt>
                <c:pt idx="10">
                  <c:v>0.96379999999999999</c:v>
                </c:pt>
                <c:pt idx="11">
                  <c:v>0.9607</c:v>
                </c:pt>
                <c:pt idx="12">
                  <c:v>0.99099999999999999</c:v>
                </c:pt>
                <c:pt idx="13">
                  <c:v>1.0028999999999999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FinFET_v94R_BOXSiO2!$K$21:$X$21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67B-4045-BC7A-E4D5D0A2D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FinFET_v94R_BOXSiO2!$E$5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1BCA77E-221D-4510-92E0-96023D88B2A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DF-47B0-A076-2120D6BC29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1885B6-86AB-4F8D-B4E1-EF05759BEF6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BDF-47B0-A076-2120D6BC29B3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E8D96149-B26F-4EE8-ABF3-51A03BE643A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BDF-47B0-A076-2120D6BC29B3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507737F2-15A7-4C21-8EB0-37F42400809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BDF-47B0-A076-2120D6BC29B3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AE46C980-A14D-419B-98CB-2B61DAB035C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BDF-47B0-A076-2120D6BC29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FinFET_v94R_BOXSiO2!$F$3:$J$3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FinFET_v94R_BOXSiO2!$F$5:$J$5</c:f>
              <c:numCache>
                <c:formatCode>General</c:formatCode>
                <c:ptCount val="5"/>
                <c:pt idx="0">
                  <c:v>0.55659999999999998</c:v>
                </c:pt>
                <c:pt idx="1">
                  <c:v>0.85729999999999995</c:v>
                </c:pt>
                <c:pt idx="2">
                  <c:v>0.92600000000000005</c:v>
                </c:pt>
                <c:pt idx="3">
                  <c:v>0.95179999999999998</c:v>
                </c:pt>
                <c:pt idx="4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B67B-4045-BC7A-E4D5D0A2D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2531764135423358"/>
          <c:y val="0.86874754199189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0387337722181755"/>
          <c:w val="0.81678541668617222"/>
          <c:h val="0.74149275386603386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FinFET_v94R_BOXSiO2!$E$13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0.10445722545159244"/>
                  <c:y val="-6.8206948913611898E-2"/>
                </c:manualLayout>
              </c:layout>
              <c:tx>
                <c:rich>
                  <a:bodyPr/>
                  <a:lstStyle/>
                  <a:p>
                    <a:fld id="{3F00B8DD-44DC-4470-954D-22460D7C2FC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C04-4E62-B63B-C2BFC383BB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001C38F-E323-4ED6-B3EF-342F2E96D21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C04-4E62-B63B-C2BFC383BB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9D3F1C-3E62-4AC0-ADA6-4532876BAA3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C04-4E62-B63B-C2BFC383BB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AC5FED-0440-4E13-BC01-7E62D403FFC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C04-4E62-B63B-C2BFC383BB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6C4898-604D-48F0-A792-C69E95180C3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C04-4E62-B63B-C2BFC383BB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71ACFBC-1B79-4D96-BBE5-D9395B18701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C04-4E62-B63B-C2BFC383BB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F6C2D1E-B424-4DE4-948C-FB7DA182DE3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C04-4E62-B63B-C2BFC383BB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53AF948-9A2E-4413-B6EF-9D2C827EDA0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C04-4E62-B63B-C2BFC383BB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D4A776-86D5-4DA4-825B-1D4E2225AFE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C04-4E62-B63B-C2BFC383BB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AE81E41-066E-4B01-9EEC-21D255EFDD1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C04-4E62-B63B-C2BFC383BB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23D5C2A-5CBA-4172-8858-998CA7B6660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C04-4E62-B63B-C2BFC383BB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D75FEC2-10C7-48D9-9C69-D3C69AFAA5A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C04-4E62-B63B-C2BFC383BBD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8256E1E-C543-4C47-9AC1-555C314B088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C04-4E62-B63B-C2BFC383BBD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F1820A8-00A0-4D99-8CC5-FFBE477395B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C04-4E62-B63B-C2BFC383B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12.633333333333333</c:v>
                </c:pt>
                <c:pt idx="2">
                  <c:v>17.316666666666666</c:v>
                </c:pt>
                <c:pt idx="3">
                  <c:v>20.333333333333332</c:v>
                </c:pt>
                <c:pt idx="4">
                  <c:v>30</c:v>
                </c:pt>
                <c:pt idx="5">
                  <c:v>31.966666666666669</c:v>
                </c:pt>
                <c:pt idx="6">
                  <c:v>35.300000000000004</c:v>
                </c:pt>
                <c:pt idx="7">
                  <c:v>38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51</c:v>
                </c:pt>
                <c:pt idx="11">
                  <c:v>59</c:v>
                </c:pt>
                <c:pt idx="12">
                  <c:v>70.333333333333329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FinFET_v94R_BOXSiO2!$K$12:$X$12</c:f>
              <c:numCache>
                <c:formatCode>0.00E+00</c:formatCode>
                <c:ptCount val="14"/>
                <c:pt idx="0">
                  <c:v>1.7560479500000001E-16</c:v>
                </c:pt>
                <c:pt idx="1">
                  <c:v>4.038103802E-20</c:v>
                </c:pt>
                <c:pt idx="2">
                  <c:v>1.08206504E-20</c:v>
                </c:pt>
                <c:pt idx="3">
                  <c:v>5.8195606859999999E-26</c:v>
                </c:pt>
                <c:pt idx="4">
                  <c:v>5.9505305600000002E-27</c:v>
                </c:pt>
                <c:pt idx="5">
                  <c:v>2.241300263E-20</c:v>
                </c:pt>
                <c:pt idx="6">
                  <c:v>2.5720191260000001E-20</c:v>
                </c:pt>
                <c:pt idx="7">
                  <c:v>1.101339902E-26</c:v>
                </c:pt>
                <c:pt idx="8">
                  <c:v>4.6087660119999997E-20</c:v>
                </c:pt>
                <c:pt idx="9">
                  <c:v>2.5755552889999999E-20</c:v>
                </c:pt>
                <c:pt idx="10">
                  <c:v>3.5258168859999997E-29</c:v>
                </c:pt>
                <c:pt idx="11">
                  <c:v>6.2386217950000001E-29</c:v>
                </c:pt>
                <c:pt idx="12">
                  <c:v>4.168863732E-32</c:v>
                </c:pt>
                <c:pt idx="13">
                  <c:v>4.4730253240000003E-33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DC04-4E62-B63B-C2BFC383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FinFET_v94R_BOXSiO2!$E$13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7870328359650129E-2"/>
                  <c:y val="-7.5731202962297045E-2"/>
                </c:manualLayout>
              </c:layout>
              <c:tx>
                <c:rich>
                  <a:bodyPr/>
                  <a:lstStyle/>
                  <a:p>
                    <a:fld id="{833CE973-97D8-4A16-8B58-4F9559F474F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C04-4E62-B63B-C2BFC383BBD0}"/>
                </c:ext>
              </c:extLst>
            </c:dLbl>
            <c:dLbl>
              <c:idx val="1"/>
              <c:layout>
                <c:manualLayout>
                  <c:x val="-6.793392537664722E-2"/>
                  <c:y val="6.5285519795083666E-2"/>
                </c:manualLayout>
              </c:layout>
              <c:tx>
                <c:rich>
                  <a:bodyPr/>
                  <a:lstStyle/>
                  <a:p>
                    <a:fld id="{B288B17E-4745-49BB-A55B-CB5E6EE6329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C04-4E62-B63B-C2BFC383BBD0}"/>
                </c:ext>
              </c:extLst>
            </c:dLbl>
            <c:dLbl>
              <c:idx val="2"/>
              <c:layout>
                <c:manualLayout>
                  <c:x val="-6.9675820899125357E-2"/>
                  <c:y val="4.1782732668853545E-2"/>
                </c:manualLayout>
              </c:layout>
              <c:tx>
                <c:rich>
                  <a:bodyPr/>
                  <a:lstStyle/>
                  <a:p>
                    <a:fld id="{DF836D77-3A98-4682-A3E4-3E0601573F6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C04-4E62-B63B-C2BFC383BBD0}"/>
                </c:ext>
              </c:extLst>
            </c:dLbl>
            <c:dLbl>
              <c:idx val="3"/>
              <c:layout>
                <c:manualLayout>
                  <c:x val="-4.5187324175533249E-2"/>
                  <c:y val="-7.7157600316926464E-2"/>
                </c:manualLayout>
              </c:layout>
              <c:tx>
                <c:rich>
                  <a:bodyPr/>
                  <a:lstStyle/>
                  <a:p>
                    <a:fld id="{FBBEB2AC-92B0-4027-8772-8B692416FA2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C04-4E62-B63B-C2BFC383BB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F53948-9B32-43F6-8ADB-8266FCD5DCE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C04-4E62-B63B-C2BFC383B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FinFET_v94R_BOXSiO2!$F$12:$J$12</c:f>
              <c:numCache>
                <c:formatCode>0.00E+00</c:formatCode>
                <c:ptCount val="5"/>
                <c:pt idx="0">
                  <c:v>1.7560479500000001E-16</c:v>
                </c:pt>
                <c:pt idx="1">
                  <c:v>3.1232395309999999E-21</c:v>
                </c:pt>
                <c:pt idx="2">
                  <c:v>1.977485719E-27</c:v>
                </c:pt>
                <c:pt idx="3">
                  <c:v>2.4205053560000001E-22</c:v>
                </c:pt>
                <c:pt idx="4">
                  <c:v>4.4730253240000003E-33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DC04-4E62-B63B-C2BFC383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88692208592516"/>
              <c:y val="2.713916933864673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9E-15"/>
          <c:min val="1.0000000000000019E-3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Ioff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FinFET_v94R_BOXSiO2!$E$8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B0541A2-BAE0-4D0C-9E6D-0A4B5038623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662-43A9-98AF-CFD7A73B48C9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4EE30C81-FC21-49AE-A6C9-F46EFB25691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662-43A9-98AF-CFD7A73B48C9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987026EC-3D0A-41A6-ACD7-A2A4055B8FB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662-43A9-98AF-CFD7A73B48C9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79DD340C-0B84-421D-AAEF-0937AB2B2F1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662-43A9-98AF-CFD7A73B48C9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F7AB9D26-6070-4E60-860C-5B6039B9952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662-43A9-98AF-CFD7A73B48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FinFET_v94R_BOXSiO2!$F$8:$J$8</c:f>
              <c:numCache>
                <c:formatCode>General</c:formatCode>
                <c:ptCount val="5"/>
                <c:pt idx="0">
                  <c:v>47.65</c:v>
                </c:pt>
                <c:pt idx="1">
                  <c:v>17.04</c:v>
                </c:pt>
                <c:pt idx="2">
                  <c:v>8.09</c:v>
                </c:pt>
                <c:pt idx="3">
                  <c:v>12.78</c:v>
                </c:pt>
                <c:pt idx="4">
                  <c:v>7.48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5662-43A9-98AF-CFD7A73B4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FinFET_v94R_BOXSiO2!$E$14</c:f>
              <c:strCache>
                <c:ptCount val="1"/>
                <c:pt idx="0">
                  <c:v>I Max /  I Leaakge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17F2165-D711-4975-AE8A-E31B72A2967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3C1-4304-BE37-57A2C49748CF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4A5CCC4A-CB53-4F77-BBF9-654A7A7C0E0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3C1-4304-BE37-57A2C49748CF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4AD85C60-36C6-40C1-9C7A-286796B0A04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3C1-4304-BE37-57A2C49748CF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E7B34170-8941-4D6D-B506-7FF6B92ED5F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3C1-4304-BE37-57A2C49748C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3E2ED4-45E2-44CD-B1F6-DC2DB885938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3C1-4304-BE37-57A2C49748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FinFET_v94R_BOXSiO2!$F$11:$J$11</c:f>
              <c:numCache>
                <c:formatCode>0.00E+00</c:formatCode>
                <c:ptCount val="5"/>
                <c:pt idx="0">
                  <c:v>10000000</c:v>
                </c:pt>
                <c:pt idx="1">
                  <c:v>10000000000000</c:v>
                </c:pt>
                <c:pt idx="2">
                  <c:v>1E+16</c:v>
                </c:pt>
                <c:pt idx="3">
                  <c:v>100000000000000</c:v>
                </c:pt>
                <c:pt idx="4">
                  <c:v>9.9999999999999998E+23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3C1-4304-BE37-57A2C497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FinFET_v94R_BOXSiO2!$E$13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99F7989-304D-4185-B9DC-08C0230EEB9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02D-4D1F-A3D5-957A486578C1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403B0BA2-D995-4BF1-BC47-E8E1122CEA7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902D-4D1F-A3D5-957A486578C1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2E21E0F3-6502-474E-B588-764690AB6DA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02D-4D1F-A3D5-957A486578C1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10C2D05C-7C10-4639-B9B6-4EA1CB73170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902D-4D1F-A3D5-957A486578C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C1CD254-1201-4DF4-95BE-73CE732D0E7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02D-4D1F-A3D5-957A48657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FinFET_v94R_BOXSiO2!$F$13:$J$13</c:f>
              <c:numCache>
                <c:formatCode>0.00E+00</c:formatCode>
                <c:ptCount val="5"/>
                <c:pt idx="0">
                  <c:v>2.6361655369999999E-5</c:v>
                </c:pt>
                <c:pt idx="1">
                  <c:v>1.6428431580000002E-5</c:v>
                </c:pt>
                <c:pt idx="2">
                  <c:v>9.6954572230000001E-6</c:v>
                </c:pt>
                <c:pt idx="3">
                  <c:v>7.8805128880000004E-6</c:v>
                </c:pt>
                <c:pt idx="4">
                  <c:v>5.0408818470000002E-6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902D-4D1F-A3D5-957A4865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FinFET_v94R_BOXSiO2!$E$5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C247FD1-765F-4609-B820-0A5B8EDC882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69F-4FC5-A24C-ADF1A86A162B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E6096B51-618A-4001-95D8-8005BE6A459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69F-4FC5-A24C-ADF1A86A162B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B2893456-B62F-45D1-821D-4464CD796B2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69F-4FC5-A24C-ADF1A86A162B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6C2728F8-9D79-40CE-A002-75E5A7C924E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69F-4FC5-A24C-ADF1A86A162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3C7900-7850-44FF-B278-C373C5B424A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69F-4FC5-A24C-ADF1A86A16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FinFET_v94R_BOXSiO2!$F$5:$J$5</c:f>
              <c:numCache>
                <c:formatCode>General</c:formatCode>
                <c:ptCount val="5"/>
                <c:pt idx="0">
                  <c:v>0.55659999999999998</c:v>
                </c:pt>
                <c:pt idx="1">
                  <c:v>0.85729999999999995</c:v>
                </c:pt>
                <c:pt idx="2">
                  <c:v>0.92600000000000005</c:v>
                </c:pt>
                <c:pt idx="3">
                  <c:v>0.95179999999999998</c:v>
                </c:pt>
                <c:pt idx="4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B69F-4FC5-A24C-ADF1A86A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FinFET_v94R_BOXSiO2!$E$8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0A26F5-FE14-4A2B-95D8-949D1A38810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5AB-4C2D-A6F7-89BAD42FFB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CD74B8-9CB3-4AC5-9AE6-F1181B74700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5AB-4C2D-A6F7-89BAD42FFB9E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96EEDCA6-8B4D-4BCA-9EF8-A300D667EB9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5AB-4C2D-A6F7-89BAD42FFB9E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29865F71-F853-46EE-A7B9-56621B4C578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5AB-4C2D-A6F7-89BAD42FFB9E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5DB8B555-0284-4EF6-BDD9-99B259BA403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5AB-4C2D-A6F7-89BAD42FFB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FinFET_v94R_BOXSiO2!$F$3:$J$3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FinFET_v94R_BOXSiO2!$F$8:$J$8</c:f>
              <c:numCache>
                <c:formatCode>General</c:formatCode>
                <c:ptCount val="5"/>
                <c:pt idx="0">
                  <c:v>47.65</c:v>
                </c:pt>
                <c:pt idx="1">
                  <c:v>17.04</c:v>
                </c:pt>
                <c:pt idx="2">
                  <c:v>8.09</c:v>
                </c:pt>
                <c:pt idx="3">
                  <c:v>12.78</c:v>
                </c:pt>
                <c:pt idx="4">
                  <c:v>7.48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65AB-4C2D-A6F7-89BAD42FF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FinFET_v94R_BOXSiO2!$E$6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A4B2BBF-8F2E-4985-852A-0AB75FDEA04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45D-43B1-ADE1-ED9A8C18AA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13D69D1-89D6-4BE3-BAE1-46356BE9F84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45D-43B1-ADE1-ED9A8C18AA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7BBDB0A-EB13-4B4F-B6C2-6348CEB6AE3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45D-43B1-ADE1-ED9A8C18AA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553D02-9C49-4762-B692-13ABB25CCA2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45D-43B1-ADE1-ED9A8C18AA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CA280F-88FD-462F-8265-6D4E5773787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45D-43B1-ADE1-ED9A8C18AA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FinFET_v94R_BOXSiO2!$F$6:$J$6</c:f>
              <c:numCache>
                <c:formatCode>General</c:formatCode>
                <c:ptCount val="5"/>
                <c:pt idx="0">
                  <c:v>68</c:v>
                </c:pt>
                <c:pt idx="1">
                  <c:v>59.6</c:v>
                </c:pt>
                <c:pt idx="2">
                  <c:v>59.8</c:v>
                </c:pt>
                <c:pt idx="3">
                  <c:v>58.6</c:v>
                </c:pt>
                <c:pt idx="4">
                  <c:v>56.1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45D-43B1-ADE1-ED9A8C18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FinFET_v9_Makale.in!$F$2</c:f>
              <c:strCache>
                <c:ptCount val="1"/>
                <c:pt idx="0">
                  <c:v>Vth (V)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FinFET_v9_Makale.in!$C$3:$C$7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FinFET_v9_Makale.in!$F$3:$F$7</c:f>
              <c:numCache>
                <c:formatCode>General</c:formatCode>
                <c:ptCount val="5"/>
                <c:pt idx="0">
                  <c:v>0.95809999999999995</c:v>
                </c:pt>
                <c:pt idx="1">
                  <c:v>0.88539999999999996</c:v>
                </c:pt>
                <c:pt idx="2">
                  <c:v>0.80500000000000005</c:v>
                </c:pt>
                <c:pt idx="3">
                  <c:v>0.73399999999999999</c:v>
                </c:pt>
                <c:pt idx="4">
                  <c:v>0.66200000000000003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D-4EE3-9A9F-B36EAE64B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SS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SS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6893624836129973"/>
          <c:y val="1.7493312595854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FinFET_v94R_BOXSiO2!$E$6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9E6D39D-53CC-427E-B696-B446A4F37C9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2A8-48E6-9993-87ED9652AB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8A802B-7BF1-49CD-9843-34606BD2F50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2A8-48E6-9993-87ED9652AB38}"/>
                </c:ext>
              </c:extLst>
            </c:dLbl>
            <c:dLbl>
              <c:idx val="2"/>
              <c:layout>
                <c:manualLayout>
                  <c:x val="-4.1173044904446654E-3"/>
                  <c:y val="-6.7779282666293475E-2"/>
                </c:manualLayout>
              </c:layout>
              <c:tx>
                <c:rich>
                  <a:bodyPr/>
                  <a:lstStyle/>
                  <a:p>
                    <a:fld id="{FB16EFB6-5401-483E-9B6C-AD65E295D18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2A8-48E6-9993-87ED9652AB3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A4980E-01D0-419E-8B0E-DF99419F054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2A8-48E6-9993-87ED9652AB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7F00489-5034-4133-8FEB-544AFF2202F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2A8-48E6-9993-87ED9652AB3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B85FD0E-D3FA-49FF-9CDC-4B183BC6505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2A8-48E6-9993-87ED9652AB3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73A43EA-4287-4BC5-8ACD-4307F3FCFC9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2A8-48E6-9993-87ED9652AB3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B9709A9-7611-4DF4-B0D9-D2199055B28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2A8-48E6-9993-87ED9652AB3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518633A-7362-4E2C-B4F6-480082A9152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2A8-48E6-9993-87ED9652AB3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044AFDB-025D-40A1-A7BF-B838AE3BD0E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2A8-48E6-9993-87ED9652AB3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B884AA0-1FB7-42D1-8CA0-609AA808159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2A8-48E6-9993-87ED9652AB3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5FD14A5-58AF-4846-AEAB-0D91C498E3D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2A8-48E6-9993-87ED9652AB3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16FF141-1EB7-4A5A-8BBC-7226365F4C9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2A8-48E6-9993-87ED9652AB3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784BA09-B5C0-4086-A45A-C0F8412234C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2A8-48E6-9993-87ED9652AB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12.633333333333333</c:v>
                </c:pt>
                <c:pt idx="2">
                  <c:v>17.316666666666666</c:v>
                </c:pt>
                <c:pt idx="3">
                  <c:v>20.333333333333332</c:v>
                </c:pt>
                <c:pt idx="4">
                  <c:v>30</c:v>
                </c:pt>
                <c:pt idx="5">
                  <c:v>31.966666666666669</c:v>
                </c:pt>
                <c:pt idx="6">
                  <c:v>35.300000000000004</c:v>
                </c:pt>
                <c:pt idx="7">
                  <c:v>38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51</c:v>
                </c:pt>
                <c:pt idx="11">
                  <c:v>59</c:v>
                </c:pt>
                <c:pt idx="12">
                  <c:v>70.333333333333329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FinFET_v94R_BOXSiO2!$K$6:$X$6</c:f>
              <c:numCache>
                <c:formatCode>General</c:formatCode>
                <c:ptCount val="14"/>
                <c:pt idx="0">
                  <c:v>68</c:v>
                </c:pt>
                <c:pt idx="1">
                  <c:v>62</c:v>
                </c:pt>
                <c:pt idx="2">
                  <c:v>59.3</c:v>
                </c:pt>
                <c:pt idx="3">
                  <c:v>60</c:v>
                </c:pt>
                <c:pt idx="4">
                  <c:v>60.1</c:v>
                </c:pt>
                <c:pt idx="5">
                  <c:v>60.7</c:v>
                </c:pt>
                <c:pt idx="6">
                  <c:v>59.7</c:v>
                </c:pt>
                <c:pt idx="7">
                  <c:v>59.9</c:v>
                </c:pt>
                <c:pt idx="8">
                  <c:v>62</c:v>
                </c:pt>
                <c:pt idx="9">
                  <c:v>59.7</c:v>
                </c:pt>
                <c:pt idx="10">
                  <c:v>59.1</c:v>
                </c:pt>
                <c:pt idx="11">
                  <c:v>59</c:v>
                </c:pt>
                <c:pt idx="12">
                  <c:v>57.8</c:v>
                </c:pt>
                <c:pt idx="13">
                  <c:v>56.1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D2A8-48E6-9993-87ED9652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FinFET_v94R_BOXSiO2!$E$6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1A19448-9898-4AB1-85E3-8978F0582F3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2A8-48E6-9993-87ED9652AB38}"/>
                </c:ext>
              </c:extLst>
            </c:dLbl>
            <c:dLbl>
              <c:idx val="1"/>
              <c:layout>
                <c:manualLayout>
                  <c:x val="-3.8557895667061894E-2"/>
                  <c:y val="4.4454029263819105E-2"/>
                </c:manualLayout>
              </c:layout>
              <c:tx>
                <c:rich>
                  <a:bodyPr/>
                  <a:lstStyle/>
                  <a:p>
                    <a:fld id="{5C091D96-701B-42A8-A03D-AF0C3EE0262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2A8-48E6-9993-87ED9652AB38}"/>
                </c:ext>
              </c:extLst>
            </c:dLbl>
            <c:dLbl>
              <c:idx val="2"/>
              <c:layout>
                <c:manualLayout>
                  <c:x val="-2.7448696602964437E-2"/>
                  <c:y val="7.5310314073659415E-2"/>
                </c:manualLayout>
              </c:layout>
              <c:tx>
                <c:rich>
                  <a:bodyPr/>
                  <a:lstStyle/>
                  <a:p>
                    <a:fld id="{C1EE2E6A-E814-45AA-83A3-15D46D3B2CB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2A8-48E6-9993-87ED9652AB38}"/>
                </c:ext>
              </c:extLst>
            </c:dLbl>
            <c:dLbl>
              <c:idx val="3"/>
              <c:layout>
                <c:manualLayout>
                  <c:x val="-1.3724348301482218E-2"/>
                  <c:y val="5.7737907456472219E-2"/>
                </c:manualLayout>
              </c:layout>
              <c:tx>
                <c:rich>
                  <a:bodyPr/>
                  <a:lstStyle/>
                  <a:p>
                    <a:fld id="{C99FE7D0-67C6-4B1C-AE2D-1593B3A5B1B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2A8-48E6-9993-87ED9652AB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8F56980-28C5-49E7-A6B3-F974C818CDE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2A8-48E6-9993-87ED9652AB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22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FinFET_v94R_BOXSiO2!$F$6:$J$6</c:f>
              <c:numCache>
                <c:formatCode>General</c:formatCode>
                <c:ptCount val="5"/>
                <c:pt idx="0">
                  <c:v>68</c:v>
                </c:pt>
                <c:pt idx="1">
                  <c:v>59.6</c:v>
                </c:pt>
                <c:pt idx="2">
                  <c:v>59.8</c:v>
                </c:pt>
                <c:pt idx="3">
                  <c:v>58.6</c:v>
                </c:pt>
                <c:pt idx="4">
                  <c:v>56.1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2A8-48E6-9993-87ED9652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</a:t>
                </a:r>
                <a:r>
                  <a:rPr lang="tr-TR" sz="1050" baseline="0"/>
                  <a:t> (mV/decade)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0967337455897025E-2"/>
              <c:y val="0.38971427148241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016474591019532"/>
          <c:y val="0.38804614456442049"/>
          <c:w val="0.13994082862353663"/>
          <c:h val="4.217167374204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FinFET_v94R_BOXSiO2!$E$5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719202-8A37-4F09-B940-E5B1219AC3D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51F-4301-AF88-B39C0B300E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7DD775-E9BF-4123-ADF8-41AC23728D8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51F-4301-AF88-B39C0B300E27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F156A40E-EC86-4DA7-A0CF-5A547934AC2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51F-4301-AF88-B39C0B300E27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8C5487BE-0D8C-4799-8811-AF313273E85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51F-4301-AF88-B39C0B300E27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ED40D28D-FFF4-489E-94A4-000174DC990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51F-4301-AF88-B39C0B300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FinFET_v94R_BOXSiO2!$F$3:$J$3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FinFET_v94R_BOXSiO2!$F$5:$J$5</c:f>
              <c:numCache>
                <c:formatCode>General</c:formatCode>
                <c:ptCount val="5"/>
                <c:pt idx="0">
                  <c:v>0.55659999999999998</c:v>
                </c:pt>
                <c:pt idx="1">
                  <c:v>0.85729999999999995</c:v>
                </c:pt>
                <c:pt idx="2">
                  <c:v>0.92600000000000005</c:v>
                </c:pt>
                <c:pt idx="3">
                  <c:v>0.95179999999999998</c:v>
                </c:pt>
                <c:pt idx="4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FinFET_v94R_BOXSiO2!$F$21:$J$21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451F-4301-AF88-B39C0B300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DIBL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'FinFET_v95_BOXSiO2 (HfO2)'!$E$8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BCA816E-8A05-4AF5-8ABB-A0D7339AF390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51F-41D5-80E2-003AD0D49B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B9A3B2-63AA-4F0B-A74F-177CAFFC549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1F-41D5-80E2-003AD0D49B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223118-A17D-4E20-AE39-240EB6FE040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1F-41D5-80E2-003AD0D49BAC}"/>
                </c:ext>
              </c:extLst>
            </c:dLbl>
            <c:dLbl>
              <c:idx val="3"/>
              <c:layout>
                <c:manualLayout>
                  <c:x val="-5.7341880266842955E-2"/>
                  <c:y val="2.8543261838966463E-2"/>
                </c:manualLayout>
              </c:layout>
              <c:tx>
                <c:rich>
                  <a:bodyPr/>
                  <a:lstStyle/>
                  <a:p>
                    <a:fld id="{ECBB9D1B-9F94-497D-8678-ADB9A8FC24F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51F-41D5-80E2-003AD0D49B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0D68B2-81E6-4CF3-AD1B-018D964AE69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51F-41D5-80E2-003AD0D49BA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A61E5B8-A500-478C-817E-F1D79C0D946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51F-41D5-80E2-003AD0D49BA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ECD3D83-AAC5-4D1E-B253-12FA7D88D9F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51F-41D5-80E2-003AD0D49BAC}"/>
                </c:ext>
              </c:extLst>
            </c:dLbl>
            <c:dLbl>
              <c:idx val="7"/>
              <c:layout>
                <c:manualLayout>
                  <c:x val="1.6873056350370386E-2"/>
                  <c:y val="-1.4451675505031163E-2"/>
                </c:manualLayout>
              </c:layout>
              <c:tx>
                <c:rich>
                  <a:bodyPr/>
                  <a:lstStyle/>
                  <a:p>
                    <a:fld id="{A6138820-3DB1-4A83-91DB-251B313009A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51F-41D5-80E2-003AD0D49BA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70C1DB6-B1CE-4C52-9CB0-1FE90F98B55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51F-41D5-80E2-003AD0D49BA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E14A05-4897-4AD9-BC8D-A9261DF7B17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51F-41D5-80E2-003AD0D49BA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B13EDE3-39A7-45DF-904A-196F86E2ADE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51F-41D5-80E2-003AD0D49BA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F860F83-75B4-4262-BBDB-D668BF1F1E6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51F-41D5-80E2-003AD0D49BA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389C634-FFDF-4041-AD2E-56ECC245618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51F-41D5-80E2-003AD0D49BA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EE33013-412C-43C3-A8DE-0FAD0A50E3A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51F-41D5-80E2-003AD0D49B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22.833333333333332</c:v>
                </c:pt>
                <c:pt idx="4">
                  <c:v>32</c:v>
                </c:pt>
                <c:pt idx="5">
                  <c:v>31.966666666666669</c:v>
                </c:pt>
                <c:pt idx="6">
                  <c:v>36.300000000000004</c:v>
                </c:pt>
                <c:pt idx="7">
                  <c:v>39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52.5</c:v>
                </c:pt>
                <c:pt idx="11">
                  <c:v>59.5</c:v>
                </c:pt>
                <c:pt idx="12">
                  <c:v>70.833333333333329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'FinFET_v95_BOXSiO2 (HfO2)'!$K$8:$X$8</c:f>
              <c:numCache>
                <c:formatCode>General</c:formatCode>
                <c:ptCount val="14"/>
                <c:pt idx="0">
                  <c:v>47.65</c:v>
                </c:pt>
                <c:pt idx="1">
                  <c:v>17.13</c:v>
                </c:pt>
                <c:pt idx="2">
                  <c:v>16.260000000000002</c:v>
                </c:pt>
                <c:pt idx="3">
                  <c:v>8.26</c:v>
                </c:pt>
                <c:pt idx="4">
                  <c:v>7.13</c:v>
                </c:pt>
                <c:pt idx="5">
                  <c:v>12.09</c:v>
                </c:pt>
                <c:pt idx="6">
                  <c:v>12.09</c:v>
                </c:pt>
                <c:pt idx="7">
                  <c:v>6.78</c:v>
                </c:pt>
                <c:pt idx="8">
                  <c:v>17.04</c:v>
                </c:pt>
                <c:pt idx="9">
                  <c:v>11.91</c:v>
                </c:pt>
                <c:pt idx="10">
                  <c:v>9.48</c:v>
                </c:pt>
                <c:pt idx="11">
                  <c:v>9.48</c:v>
                </c:pt>
                <c:pt idx="12">
                  <c:v>7.39</c:v>
                </c:pt>
                <c:pt idx="13">
                  <c:v>7.48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551F-41D5-80E2-003AD0D49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'FinFET_v95_BOXSiO2 (HfO2)'!$E$8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26BCEC-BA57-4551-B120-0B61880E82C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51F-41D5-80E2-003AD0D49BAC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74AEA2A1-F810-4F5E-9160-A8CA797D951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51F-41D5-80E2-003AD0D49BAC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62C14960-11DF-4030-A9B8-C0A3840F35E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51F-41D5-80E2-003AD0D49BAC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43FAE605-C3A8-4007-A9B3-942514E5ECF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51F-41D5-80E2-003AD0D49BAC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5EDA4369-C277-4BAD-A042-9895EF430B6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51F-41D5-80E2-003AD0D49B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(HfO2)'!$F$8:$J$8</c:f>
              <c:numCache>
                <c:formatCode>General</c:formatCode>
                <c:ptCount val="5"/>
                <c:pt idx="0">
                  <c:v>47.65</c:v>
                </c:pt>
                <c:pt idx="1">
                  <c:v>17.04</c:v>
                </c:pt>
                <c:pt idx="2">
                  <c:v>8.09</c:v>
                </c:pt>
                <c:pt idx="3">
                  <c:v>12.78</c:v>
                </c:pt>
                <c:pt idx="4">
                  <c:v>7.48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551F-41D5-80E2-003AD0D49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17256786004305"/>
          <c:y val="0.47856028595196487"/>
          <c:w val="0.16770728359365178"/>
          <c:h val="4.2127357444673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'FinFET_v95_BOXSiO2 (HfO2)'!$E$11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38DB34F-FB9F-477A-9620-8DCA55D8AE1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DB-4B0D-AD66-A4652D183B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A20118-1671-4995-8950-4F7B4997693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EDB-4B0D-AD66-A4652D183B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8858EF-4467-45AE-9B9C-D170E0BD1CC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EDB-4B0D-AD66-A4652D183B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9E3AAE-E0D1-4216-A9BA-D21AFCB4086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DB-4B0D-AD66-A4652D183B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A032030-91B8-4CD3-BB8C-C598ECC6912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EDB-4B0D-AD66-A4652D183B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BBF038A-E7FF-4E07-8201-7791F7CB35F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EDB-4B0D-AD66-A4652D183BF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C098B72-0D66-434D-96EB-3E73216F6DC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EDB-4B0D-AD66-A4652D183BF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0076F2E-4BAB-4B1C-840B-42032034E03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EDB-4B0D-AD66-A4652D183BF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D53A44E-7308-47D0-955C-DB0A5DC9FE3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EDB-4B0D-AD66-A4652D183BF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A24BC8E-97C0-45DD-A520-C90C0470769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EDB-4B0D-AD66-A4652D183BF7}"/>
                </c:ext>
              </c:extLst>
            </c:dLbl>
            <c:dLbl>
              <c:idx val="10"/>
              <c:layout>
                <c:manualLayout>
                  <c:x val="4.0915132993511209E-3"/>
                  <c:y val="5.7420452943383972E-2"/>
                </c:manualLayout>
              </c:layout>
              <c:tx>
                <c:rich>
                  <a:bodyPr/>
                  <a:lstStyle/>
                  <a:p>
                    <a:fld id="{DE3FB008-B985-41B0-8C40-8EC1753B431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EDB-4B0D-AD66-A4652D183BF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4653B50-F604-48E6-873E-8C8104A579C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EDB-4B0D-AD66-A4652D183BF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8FFDA2C-1E1E-4C33-A249-1E328D62825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EDB-4B0D-AD66-A4652D183BF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C0F6560-59FF-4106-B03B-45807272631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EDB-4B0D-AD66-A4652D183B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22.833333333333332</c:v>
                </c:pt>
                <c:pt idx="4">
                  <c:v>32</c:v>
                </c:pt>
                <c:pt idx="5">
                  <c:v>31.966666666666669</c:v>
                </c:pt>
                <c:pt idx="6">
                  <c:v>36.300000000000004</c:v>
                </c:pt>
                <c:pt idx="7">
                  <c:v>39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52.5</c:v>
                </c:pt>
                <c:pt idx="11">
                  <c:v>59.5</c:v>
                </c:pt>
                <c:pt idx="12">
                  <c:v>70.833333333333329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'FinFET_v95_BOXSiO2 (HfO2)'!$K$11:$X$11</c:f>
              <c:numCache>
                <c:formatCode>0.00E+00</c:formatCode>
                <c:ptCount val="14"/>
                <c:pt idx="0">
                  <c:v>10000000</c:v>
                </c:pt>
                <c:pt idx="1">
                  <c:v>100000000000</c:v>
                </c:pt>
                <c:pt idx="2">
                  <c:v>1000000000000</c:v>
                </c:pt>
                <c:pt idx="3">
                  <c:v>1000000000000000</c:v>
                </c:pt>
                <c:pt idx="4">
                  <c:v>1E+16</c:v>
                </c:pt>
                <c:pt idx="5">
                  <c:v>1000000000000</c:v>
                </c:pt>
                <c:pt idx="6">
                  <c:v>1000000000000</c:v>
                </c:pt>
                <c:pt idx="7">
                  <c:v>1E+16</c:v>
                </c:pt>
                <c:pt idx="8">
                  <c:v>100000000000</c:v>
                </c:pt>
                <c:pt idx="9">
                  <c:v>1000000000000</c:v>
                </c:pt>
                <c:pt idx="10">
                  <c:v>1E+18</c:v>
                </c:pt>
                <c:pt idx="11">
                  <c:v>1E+18</c:v>
                </c:pt>
                <c:pt idx="12">
                  <c:v>1E+22</c:v>
                </c:pt>
                <c:pt idx="13">
                  <c:v>9.9999999999999998E+23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3EDB-4B0D-AD66-A4652D18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'FinFET_v95_BOXSiO2 (HfO2)'!$E$14</c:f>
              <c:strCache>
                <c:ptCount val="1"/>
                <c:pt idx="0">
                  <c:v>I Max /  I Leaakge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283338D-3D28-431A-A685-457B2053478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EDB-4B0D-AD66-A4652D183BF7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D232EA03-3390-4569-8F3A-CF53D6F6BC2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EDB-4B0D-AD66-A4652D183BF7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7B61E3D7-451D-4F0A-9437-FB6C71E1A11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EDB-4B0D-AD66-A4652D183BF7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B779A814-2887-4667-97DE-25BD141CF5F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EDB-4B0D-AD66-A4652D183B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FACA70E-BA34-4FBE-BB00-D2323168C85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EDB-4B0D-AD66-A4652D183B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(HfO2)'!$F$11:$J$11</c:f>
              <c:numCache>
                <c:formatCode>0.00E+00</c:formatCode>
                <c:ptCount val="5"/>
                <c:pt idx="0">
                  <c:v>10000000</c:v>
                </c:pt>
                <c:pt idx="1">
                  <c:v>10000000000000</c:v>
                </c:pt>
                <c:pt idx="2">
                  <c:v>1E+16</c:v>
                </c:pt>
                <c:pt idx="3">
                  <c:v>100000000000000</c:v>
                </c:pt>
                <c:pt idx="4">
                  <c:v>9.9999999999999998E+23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3EDB-4B0D-AD66-A4652D18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'FinFET_v95_BOXSiO2 (HfO2)'!$E$13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C04AA6D-EB45-4582-8DB1-5AF2F048E55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D59-4F38-B6F6-D641A8D30E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663E8E-D204-434D-BD10-D49C09ED69E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D59-4F38-B6F6-D641A8D30E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30F23C-5D1F-439F-BC95-D230972C7A5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D59-4F38-B6F6-D641A8D30E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95D4E5-E893-4840-8303-2319446D3C2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D59-4F38-B6F6-D641A8D30E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4F947CF-3014-4AB6-8BA5-C8E08BFF297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D59-4F38-B6F6-D641A8D30E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0FBDE4D-FC99-407D-AA0A-F7B151E9622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D59-4F38-B6F6-D641A8D30E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C3FD62F-7C59-4AA6-AD09-BA9D543B0B1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D59-4F38-B6F6-D641A8D30E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24BE94-BCEF-42EE-8F76-9122C920C3B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D59-4F38-B6F6-D641A8D30E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DA0B49A-6C86-47F2-90C1-FECEAE762E0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D59-4F38-B6F6-D641A8D30E8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E3D1C0F-2349-4884-BD50-8B2CD4807F0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D59-4F38-B6F6-D641A8D30E8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A2C67D6-D5DE-40BA-8A70-F1C5B491A9B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D59-4F38-B6F6-D641A8D30E8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A638739-4FD3-4C86-83EB-AE2AC1D7663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D59-4F38-B6F6-D641A8D30E8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7784EEB-C175-4DAF-8853-FCAEB49DF18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D59-4F38-B6F6-D641A8D30E8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18D0215-D246-48A4-AFC8-EFDDA02DA83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D59-4F38-B6F6-D641A8D30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22.833333333333332</c:v>
                </c:pt>
                <c:pt idx="4">
                  <c:v>32</c:v>
                </c:pt>
                <c:pt idx="5">
                  <c:v>31.966666666666669</c:v>
                </c:pt>
                <c:pt idx="6">
                  <c:v>36.300000000000004</c:v>
                </c:pt>
                <c:pt idx="7">
                  <c:v>39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52.5</c:v>
                </c:pt>
                <c:pt idx="11">
                  <c:v>59.5</c:v>
                </c:pt>
                <c:pt idx="12">
                  <c:v>70.833333333333329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'FinFET_v95_BOXSiO2 (HfO2)'!$K$13:$X$13</c:f>
              <c:numCache>
                <c:formatCode>0.00E+00</c:formatCode>
                <c:ptCount val="14"/>
                <c:pt idx="0">
                  <c:v>2.6361655369999999E-5</c:v>
                </c:pt>
                <c:pt idx="1">
                  <c:v>1.7612746139999998E-5</c:v>
                </c:pt>
                <c:pt idx="2">
                  <c:v>1.362264743E-5</c:v>
                </c:pt>
                <c:pt idx="3">
                  <c:v>1.318154066E-5</c:v>
                </c:pt>
                <c:pt idx="4">
                  <c:v>1.246064538E-5</c:v>
                </c:pt>
                <c:pt idx="5">
                  <c:v>8.1708353809999993E-6</c:v>
                </c:pt>
                <c:pt idx="6">
                  <c:v>1.9468687239999999E-5</c:v>
                </c:pt>
                <c:pt idx="7">
                  <c:v>1.243510542E-5</c:v>
                </c:pt>
                <c:pt idx="8">
                  <c:v>1.647860722E-5</c:v>
                </c:pt>
                <c:pt idx="9">
                  <c:v>5.1405575709999999E-6</c:v>
                </c:pt>
                <c:pt idx="10">
                  <c:v>8.5399346879999998E-6</c:v>
                </c:pt>
                <c:pt idx="11">
                  <c:v>9.2774878429999997E-6</c:v>
                </c:pt>
                <c:pt idx="12">
                  <c:v>8.7145066859999992E-6</c:v>
                </c:pt>
                <c:pt idx="13">
                  <c:v>5.0408818470000002E-6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CD59-4F38-B6F6-D641A8D3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'FinFET_v95_BOXSiO2 (HfO2)'!$E$13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FE2D911-F2C8-4B8E-9872-65E36E85A94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D59-4F38-B6F6-D641A8D30E81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F277D31C-7773-4A81-BC00-30AEABCA933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D59-4F38-B6F6-D641A8D30E81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22B553F2-3C7B-4FBB-85C6-EB9F78014AF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D59-4F38-B6F6-D641A8D30E81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4F8FDC22-E9CB-45A8-91D7-9E835AB4190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D59-4F38-B6F6-D641A8D30E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168A128-052E-4AA2-A51A-F29A0376CCB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D59-4F38-B6F6-D641A8D30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(HfO2)'!$F$13:$J$13</c:f>
              <c:numCache>
                <c:formatCode>0.00E+00</c:formatCode>
                <c:ptCount val="5"/>
                <c:pt idx="0">
                  <c:v>2.6361655369999999E-5</c:v>
                </c:pt>
                <c:pt idx="1">
                  <c:v>1.6428431580000002E-5</c:v>
                </c:pt>
                <c:pt idx="2">
                  <c:v>9.6954572230000001E-6</c:v>
                </c:pt>
                <c:pt idx="3">
                  <c:v>7.8805128880000004E-6</c:v>
                </c:pt>
                <c:pt idx="4">
                  <c:v>5.0408818470000002E-6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CD59-4F38-B6F6-D641A8D3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9969516499958"/>
          <c:y val="0.17484163705168079"/>
          <c:w val="0.14906650437988242"/>
          <c:h val="4.2211867673356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6893624836129973"/>
          <c:y val="1.7493312595854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'FinFET_v95_BOXSiO2 (HfO2)'!$E$5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02C8ADD-1305-4590-9599-8EC7530D231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F3F-49D2-AD41-AB8ABF8A08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BB9E20-5501-437B-871F-1E032E08A0B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F3F-49D2-AD41-AB8ABF8A08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6E52295-38C2-47B7-B700-CDBD9DF3AAA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F3F-49D2-AD41-AB8ABF8A08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46A80F-D7C5-44DD-8F5F-ADB4F896D76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F3F-49D2-AD41-AB8ABF8A08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6FF3B1A-170F-41B0-92CC-9E65ACA63F9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F3F-49D2-AD41-AB8ABF8A08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372F4A3-D1E8-404F-A62B-89272858156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F3F-49D2-AD41-AB8ABF8A086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C2E7AE0-976D-4991-AD9C-4778A691658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F3F-49D2-AD41-AB8ABF8A086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F111FB4-9346-4A59-9235-68B3BE21D4E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F3F-49D2-AD41-AB8ABF8A086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FA76174-AF67-4D76-9525-AEA3DEB545D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F3F-49D2-AD41-AB8ABF8A086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F25CF85-C841-4C6A-82F7-9797394DCE9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F3F-49D2-AD41-AB8ABF8A086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91D42FE-B37E-4B3B-848D-6A16D7D9393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F3F-49D2-AD41-AB8ABF8A086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C583413-B441-49EF-BBEA-F9C3A4B5D06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F3F-49D2-AD41-AB8ABF8A086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997A887-7F39-40B1-A67F-F97DC953658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F3F-49D2-AD41-AB8ABF8A086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27EF8C8-5555-4E48-9142-92FAD23B040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F3F-49D2-AD41-AB8ABF8A08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22.833333333333332</c:v>
                </c:pt>
                <c:pt idx="4">
                  <c:v>32</c:v>
                </c:pt>
                <c:pt idx="5">
                  <c:v>31.966666666666669</c:v>
                </c:pt>
                <c:pt idx="6">
                  <c:v>36.300000000000004</c:v>
                </c:pt>
                <c:pt idx="7">
                  <c:v>39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52.5</c:v>
                </c:pt>
                <c:pt idx="11">
                  <c:v>59.5</c:v>
                </c:pt>
                <c:pt idx="12">
                  <c:v>70.833333333333329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'FinFET_v95_BOXSiO2 (HfO2)'!$K$5:$X$5</c:f>
              <c:numCache>
                <c:formatCode>General</c:formatCode>
                <c:ptCount val="14"/>
                <c:pt idx="0">
                  <c:v>0.55659999999999998</c:v>
                </c:pt>
                <c:pt idx="1">
                  <c:v>0.76890000000000003</c:v>
                </c:pt>
                <c:pt idx="2">
                  <c:v>0.84440000000000004</c:v>
                </c:pt>
                <c:pt idx="3">
                  <c:v>0.91500000000000004</c:v>
                </c:pt>
                <c:pt idx="4">
                  <c:v>0.92379999999999995</c:v>
                </c:pt>
                <c:pt idx="5">
                  <c:v>0.78900000000000003</c:v>
                </c:pt>
                <c:pt idx="6">
                  <c:v>0.80810000000000004</c:v>
                </c:pt>
                <c:pt idx="7">
                  <c:v>0.92230000000000001</c:v>
                </c:pt>
                <c:pt idx="8">
                  <c:v>0.76519999999999999</c:v>
                </c:pt>
                <c:pt idx="9">
                  <c:v>0.80730000000000002</c:v>
                </c:pt>
                <c:pt idx="10">
                  <c:v>0.96379999999999999</c:v>
                </c:pt>
                <c:pt idx="11">
                  <c:v>0.9607</c:v>
                </c:pt>
                <c:pt idx="12">
                  <c:v>0.99099999999999999</c:v>
                </c:pt>
                <c:pt idx="13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8F3F-49D2-AD41-AB8ABF8A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'FinFET_v95_BOXSiO2 (HfO2)'!$E$5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E4F7B08-0184-4684-9970-B23BADC1A08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F3F-49D2-AD41-AB8ABF8A086C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145B593D-2E91-4B9E-A9D4-EA8F3085450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F3F-49D2-AD41-AB8ABF8A086C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AA1669F5-64B9-433A-A4A7-C4C52DE30B5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F3F-49D2-AD41-AB8ABF8A086C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10977AD3-CAC4-47E8-9E73-EF60F5C9136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F3F-49D2-AD41-AB8ABF8A08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820317-A024-4DAC-B353-C7239E25026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F3F-49D2-AD41-AB8ABF8A08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(HfO2)'!$F$5:$J$5</c:f>
              <c:numCache>
                <c:formatCode>General</c:formatCode>
                <c:ptCount val="5"/>
                <c:pt idx="0">
                  <c:v>0.55659999999999998</c:v>
                </c:pt>
                <c:pt idx="1">
                  <c:v>0.85729999999999995</c:v>
                </c:pt>
                <c:pt idx="2">
                  <c:v>0.92600000000000005</c:v>
                </c:pt>
                <c:pt idx="3">
                  <c:v>0.95179999999999998</c:v>
                </c:pt>
                <c:pt idx="4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8F3F-49D2-AD41-AB8ABF8A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016474591019532"/>
          <c:y val="0.38804614456442049"/>
          <c:w val="0.13994082862353663"/>
          <c:h val="4.217167374204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lineMarker"/>
        <c:varyColors val="0"/>
        <c:ser>
          <c:idx val="1"/>
          <c:order val="1"/>
          <c:tx>
            <c:strRef>
              <c:f>'FinFET_v95_BOXSiO2 (HfO2)'!$E$5</c:f>
              <c:strCache>
                <c:ptCount val="1"/>
                <c:pt idx="0">
                  <c:v>Vth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6892250-E299-4739-8DC9-468C52083CA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99-4005-A9FD-1D26C79005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665BDD9-3683-4710-AE00-D636A3BA815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599-4005-A9FD-1D26C79005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2AD6CE2-AA9E-404E-A7C8-0E81D912D05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599-4005-A9FD-1D26C79005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C74C32-12B2-448A-BC12-39D97974E3D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599-4005-A9FD-1D26C790059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EE847C-1B9C-4656-AA2C-B922BCADA01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599-4005-A9FD-1D26C790059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0FA7ED-A891-4B0E-AD17-1BEE1477A7F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599-4005-A9FD-1D26C79005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6F57ADE-274B-45E8-8B10-A73A463A1EF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599-4005-A9FD-1D26C79005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3EA67D3-A257-4EAE-A5DA-5171C18217D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599-4005-A9FD-1D26C790059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6040D0B-5CB3-4731-ADE9-FEC73E63155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599-4005-A9FD-1D26C790059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78C46C2-D0B6-423F-B958-693C22128B5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599-4005-A9FD-1D26C790059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087D826-E47F-4999-B54F-78355B2AB4D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599-4005-A9FD-1D26C790059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6E12E3C-7163-484E-A3A7-757AB5C98F3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599-4005-A9FD-1D26C790059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B01ACDE-51CB-4B14-98E4-0DE5C0CFEA0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599-4005-A9FD-1D26C790059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0954707-371E-496A-9A19-B3AB39C03CA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599-4005-A9FD-1D26C7900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(HfO2)'!$K$3:$X$3</c:f>
              <c:numCache>
                <c:formatCode>0.0</c:formatCode>
                <c:ptCount val="14"/>
                <c:pt idx="0" formatCode="General">
                  <c:v>9</c:v>
                </c:pt>
                <c:pt idx="1">
                  <c:v>7.4666666666666659</c:v>
                </c:pt>
                <c:pt idx="2">
                  <c:v>6.333333333333333</c:v>
                </c:pt>
                <c:pt idx="3">
                  <c:v>5.7</c:v>
                </c:pt>
                <c:pt idx="4">
                  <c:v>5.416666666666667</c:v>
                </c:pt>
                <c:pt idx="5">
                  <c:v>6.8999999999999995</c:v>
                </c:pt>
                <c:pt idx="6">
                  <c:v>5.8999999999999995</c:v>
                </c:pt>
                <c:pt idx="7">
                  <c:v>5.6333333333333329</c:v>
                </c:pt>
                <c:pt idx="8">
                  <c:v>6.25</c:v>
                </c:pt>
                <c:pt idx="9">
                  <c:v>6.1166666666666671</c:v>
                </c:pt>
                <c:pt idx="10">
                  <c:v>4.3500000000000005</c:v>
                </c:pt>
                <c:pt idx="11">
                  <c:v>4.5666666666666664</c:v>
                </c:pt>
                <c:pt idx="12">
                  <c:v>3.7833333333333332</c:v>
                </c:pt>
                <c:pt idx="13" formatCode="General">
                  <c:v>3.5</c:v>
                </c:pt>
              </c:numCache>
            </c:numRef>
          </c:xVal>
          <c:yVal>
            <c:numRef>
              <c:f>'FinFET_v95_BOXSiO2 (HfO2)'!$K$5:$X$5</c:f>
              <c:numCache>
                <c:formatCode>General</c:formatCode>
                <c:ptCount val="14"/>
                <c:pt idx="0">
                  <c:v>0.55659999999999998</c:v>
                </c:pt>
                <c:pt idx="1">
                  <c:v>0.76890000000000003</c:v>
                </c:pt>
                <c:pt idx="2">
                  <c:v>0.84440000000000004</c:v>
                </c:pt>
                <c:pt idx="3">
                  <c:v>0.91500000000000004</c:v>
                </c:pt>
                <c:pt idx="4">
                  <c:v>0.92379999999999995</c:v>
                </c:pt>
                <c:pt idx="5">
                  <c:v>0.78900000000000003</c:v>
                </c:pt>
                <c:pt idx="6">
                  <c:v>0.80810000000000004</c:v>
                </c:pt>
                <c:pt idx="7">
                  <c:v>0.92230000000000001</c:v>
                </c:pt>
                <c:pt idx="8">
                  <c:v>0.76519999999999999</c:v>
                </c:pt>
                <c:pt idx="9">
                  <c:v>0.80730000000000002</c:v>
                </c:pt>
                <c:pt idx="10">
                  <c:v>0.96379999999999999</c:v>
                </c:pt>
                <c:pt idx="11">
                  <c:v>0.9607</c:v>
                </c:pt>
                <c:pt idx="12">
                  <c:v>0.99099999999999999</c:v>
                </c:pt>
                <c:pt idx="13">
                  <c:v>1.0028999999999999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'FinFET_v95_BOXSiO2 (HfO2)'!$K$21:$X$21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C599-4005-A9FD-1D26C7900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'FinFET_v95_BOXSiO2 (HfO2)'!$E$5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109B190-3274-4748-9A10-07E375383BE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599-4005-A9FD-1D26C79005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95C1B8-B163-423E-AC79-8AC3FCF475D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599-4005-A9FD-1D26C7900595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E460F3B7-CDC6-4B8B-9934-B8F8CABD6F6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599-4005-A9FD-1D26C7900595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A8392A83-6AA4-46BF-9579-BE0407E0958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599-4005-A9FD-1D26C7900595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D56A2F39-6A9A-4D29-8E12-94D0396B497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599-4005-A9FD-1D26C7900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(HfO2)'!$F$3:$J$3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'FinFET_v95_BOXSiO2 (HfO2)'!$F$5:$J$5</c:f>
              <c:numCache>
                <c:formatCode>General</c:formatCode>
                <c:ptCount val="5"/>
                <c:pt idx="0">
                  <c:v>0.55659999999999998</c:v>
                </c:pt>
                <c:pt idx="1">
                  <c:v>0.85729999999999995</c:v>
                </c:pt>
                <c:pt idx="2">
                  <c:v>0.92600000000000005</c:v>
                </c:pt>
                <c:pt idx="3">
                  <c:v>0.95179999999999998</c:v>
                </c:pt>
                <c:pt idx="4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C599-4005-A9FD-1D26C7900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2531764135423358"/>
          <c:y val="0.86874754199189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0387337722181755"/>
          <c:w val="0.81678541668617222"/>
          <c:h val="0.74149275386603386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'FinFET_v95_BOXSiO2 (HfO2)'!$E$13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0.10445722545159244"/>
                  <c:y val="-6.8206948913611898E-2"/>
                </c:manualLayout>
              </c:layout>
              <c:tx>
                <c:rich>
                  <a:bodyPr/>
                  <a:lstStyle/>
                  <a:p>
                    <a:fld id="{F2E88B17-4759-4562-BA09-CEA6AC065C6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4D8-405A-AE8C-CCBB90B087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BD6D5C-EA23-4FED-99F5-A5E857EBD52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4D8-405A-AE8C-CCBB90B087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7E4469-170B-459E-AA76-527E8937A96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4D8-405A-AE8C-CCBB90B087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5BF1D9-AE12-4F0C-A2D2-D3C8F1F8847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4D8-405A-AE8C-CCBB90B087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9FF2B4-29F6-4F7D-86C9-921CED877B9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4D8-405A-AE8C-CCBB90B087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D1D76E1-2249-415F-879D-3B1C7876F6D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4D8-405A-AE8C-CCBB90B087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4526079-FEFD-43E4-87F3-E26F97383D1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4D8-405A-AE8C-CCBB90B087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2841D5C-8C9C-4996-B877-5216DBA05FE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4D8-405A-AE8C-CCBB90B087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6BDEE6B-74E3-4763-AB3B-C6C54B20D66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4D8-405A-AE8C-CCBB90B087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9F27A7C-B72B-4F59-8803-6EBAEC4F4EB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4D8-405A-AE8C-CCBB90B087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02E8267-DF2A-474B-9B57-B6EAB6092BF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4D8-405A-AE8C-CCBB90B0871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F8D5F0D-FC02-46C8-A4B8-F9BDACCE499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4D8-405A-AE8C-CCBB90B0871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015022E-FAE4-4E53-8E09-09D15174A4C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4D8-405A-AE8C-CCBB90B0871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A50D0F4-975B-4FA9-ADAF-A61F518F74A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4D8-405A-AE8C-CCBB90B0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22.833333333333332</c:v>
                </c:pt>
                <c:pt idx="4">
                  <c:v>32</c:v>
                </c:pt>
                <c:pt idx="5">
                  <c:v>31.966666666666669</c:v>
                </c:pt>
                <c:pt idx="6">
                  <c:v>36.300000000000004</c:v>
                </c:pt>
                <c:pt idx="7">
                  <c:v>39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52.5</c:v>
                </c:pt>
                <c:pt idx="11">
                  <c:v>59.5</c:v>
                </c:pt>
                <c:pt idx="12">
                  <c:v>70.833333333333329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'FinFET_v95_BOXSiO2 (HfO2)'!$K$12:$X$12</c:f>
              <c:numCache>
                <c:formatCode>0.00E+00</c:formatCode>
                <c:ptCount val="14"/>
                <c:pt idx="0">
                  <c:v>1.7560479500000001E-16</c:v>
                </c:pt>
                <c:pt idx="1">
                  <c:v>4.038103802E-20</c:v>
                </c:pt>
                <c:pt idx="2">
                  <c:v>1.08206504E-20</c:v>
                </c:pt>
                <c:pt idx="3">
                  <c:v>5.8195606859999999E-26</c:v>
                </c:pt>
                <c:pt idx="4">
                  <c:v>5.9505305600000002E-27</c:v>
                </c:pt>
                <c:pt idx="5">
                  <c:v>2.241300263E-20</c:v>
                </c:pt>
                <c:pt idx="6">
                  <c:v>2.5720191260000001E-20</c:v>
                </c:pt>
                <c:pt idx="7">
                  <c:v>1.101339902E-26</c:v>
                </c:pt>
                <c:pt idx="8">
                  <c:v>4.6087660119999997E-20</c:v>
                </c:pt>
                <c:pt idx="9">
                  <c:v>2.5755552889999999E-20</c:v>
                </c:pt>
                <c:pt idx="10">
                  <c:v>3.5258168859999997E-29</c:v>
                </c:pt>
                <c:pt idx="11">
                  <c:v>6.2386217950000001E-29</c:v>
                </c:pt>
                <c:pt idx="12">
                  <c:v>4.168863732E-32</c:v>
                </c:pt>
                <c:pt idx="13">
                  <c:v>4.4730253240000003E-33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A4D8-405A-AE8C-CCBB90B0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'FinFET_v95_BOXSiO2 (HfO2)'!$E$13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7870328359650129E-2"/>
                  <c:y val="-7.5731202962297045E-2"/>
                </c:manualLayout>
              </c:layout>
              <c:tx>
                <c:rich>
                  <a:bodyPr/>
                  <a:lstStyle/>
                  <a:p>
                    <a:fld id="{1D4E24AC-0BA6-4F23-899F-BB2FC0AF022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4D8-405A-AE8C-CCBB90B08714}"/>
                </c:ext>
              </c:extLst>
            </c:dLbl>
            <c:dLbl>
              <c:idx val="1"/>
              <c:layout>
                <c:manualLayout>
                  <c:x val="-6.793392537664722E-2"/>
                  <c:y val="6.5285519795083666E-2"/>
                </c:manualLayout>
              </c:layout>
              <c:tx>
                <c:rich>
                  <a:bodyPr/>
                  <a:lstStyle/>
                  <a:p>
                    <a:fld id="{6F0ADD77-9E83-48A7-A0C2-92DB1390E43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4D8-405A-AE8C-CCBB90B08714}"/>
                </c:ext>
              </c:extLst>
            </c:dLbl>
            <c:dLbl>
              <c:idx val="2"/>
              <c:layout>
                <c:manualLayout>
                  <c:x val="-6.9675820899125357E-2"/>
                  <c:y val="4.1782732668853545E-2"/>
                </c:manualLayout>
              </c:layout>
              <c:tx>
                <c:rich>
                  <a:bodyPr/>
                  <a:lstStyle/>
                  <a:p>
                    <a:fld id="{9E588706-BA7F-4F5F-A916-BE5607D111E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4D8-405A-AE8C-CCBB90B08714}"/>
                </c:ext>
              </c:extLst>
            </c:dLbl>
            <c:dLbl>
              <c:idx val="3"/>
              <c:layout>
                <c:manualLayout>
                  <c:x val="-4.5187324175533249E-2"/>
                  <c:y val="-7.7157600316926464E-2"/>
                </c:manualLayout>
              </c:layout>
              <c:tx>
                <c:rich>
                  <a:bodyPr/>
                  <a:lstStyle/>
                  <a:p>
                    <a:fld id="{CFE30A4B-E821-4BFC-9625-525D880908A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4D8-405A-AE8C-CCBB90B087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5CA4A1D-4126-4E08-BBB8-01D1605D466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4D8-405A-AE8C-CCBB90B0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(HfO2)'!$F$12:$J$12</c:f>
              <c:numCache>
                <c:formatCode>0.00E+00</c:formatCode>
                <c:ptCount val="5"/>
                <c:pt idx="0">
                  <c:v>1.7560479500000001E-16</c:v>
                </c:pt>
                <c:pt idx="1">
                  <c:v>3.1232395309999999E-21</c:v>
                </c:pt>
                <c:pt idx="2">
                  <c:v>1.977485719E-27</c:v>
                </c:pt>
                <c:pt idx="3">
                  <c:v>2.4205053560000001E-22</c:v>
                </c:pt>
                <c:pt idx="4">
                  <c:v>4.4730253240000003E-33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A4D8-405A-AE8C-CCBB90B0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88692208592516"/>
              <c:y val="2.713916933864673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ax val="1.0000000000000009E-15"/>
          <c:min val="1.0000000000000019E-3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Ioff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094562099613411"/>
          <c:y val="7.339662355603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'FinFET_v95_BOXSiO2 (HfO2)'!$E$8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FE592-2417-4A3A-9512-B3FD0A9D37D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A08-45CE-BF8A-32F55C67691A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5CC08BB4-D78D-4115-982F-40E4304D4AA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A08-45CE-BF8A-32F55C67691A}"/>
                </c:ext>
              </c:extLst>
            </c:dLbl>
            <c:dLbl>
              <c:idx val="2"/>
              <c:layout>
                <c:manualLayout>
                  <c:x val="-2.1922984787846329E-2"/>
                  <c:y val="-0.13745654405868021"/>
                </c:manualLayout>
              </c:layout>
              <c:tx>
                <c:rich>
                  <a:bodyPr/>
                  <a:lstStyle/>
                  <a:p>
                    <a:fld id="{67F43FA4-4452-4483-ADF2-039EB7EC1DD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A08-45CE-BF8A-32F55C67691A}"/>
                </c:ext>
              </c:extLst>
            </c:dLbl>
            <c:dLbl>
              <c:idx val="3"/>
              <c:layout>
                <c:manualLayout>
                  <c:x val="-1.2786137008491958E-2"/>
                  <c:y val="-5.3050054397191508E-2"/>
                </c:manualLayout>
              </c:layout>
              <c:tx>
                <c:rich>
                  <a:bodyPr/>
                  <a:lstStyle/>
                  <a:p>
                    <a:fld id="{A8E76634-2ED7-4D01-9E9C-CA87A7809A8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A08-45CE-BF8A-32F55C67691A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6C912FCB-C9B1-4B6C-A6D8-0FDD89A09AE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A08-45CE-BF8A-32F55C6769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(HfO2)'!$F$8:$J$8</c:f>
              <c:numCache>
                <c:formatCode>General</c:formatCode>
                <c:ptCount val="5"/>
                <c:pt idx="0">
                  <c:v>47.65</c:v>
                </c:pt>
                <c:pt idx="1">
                  <c:v>17.04</c:v>
                </c:pt>
                <c:pt idx="2">
                  <c:v>8.09</c:v>
                </c:pt>
                <c:pt idx="3">
                  <c:v>12.78</c:v>
                </c:pt>
                <c:pt idx="4">
                  <c:v>7.48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A08-45CE-BF8A-32F55C67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929205423067703"/>
          <c:y val="7.655678524194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'FinFET_v95_BOXSiO2 (HfO2)'!$E$14</c:f>
              <c:strCache>
                <c:ptCount val="1"/>
                <c:pt idx="0">
                  <c:v>I Max /  I Leaakge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25EF884-7B3B-4453-B837-018848D125C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9FE-4BBB-9624-3FFBD4E2C2AD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88FD3960-E104-44E9-B8B4-6A387F170669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9FE-4BBB-9624-3FFBD4E2C2AD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886EECEC-248E-441A-8414-34DBF46E24C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9FE-4BBB-9624-3FFBD4E2C2AD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24D464B6-74E7-4D46-82EB-53C5423F84C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9FE-4BBB-9624-3FFBD4E2C2A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C07E7E3-B9C3-4229-9E69-F07A5DDD564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9FE-4BBB-9624-3FFBD4E2C2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(HfO2)'!$F$11:$J$11</c:f>
              <c:numCache>
                <c:formatCode>0.00E+00</c:formatCode>
                <c:ptCount val="5"/>
                <c:pt idx="0">
                  <c:v>10000000</c:v>
                </c:pt>
                <c:pt idx="1">
                  <c:v>10000000000000</c:v>
                </c:pt>
                <c:pt idx="2">
                  <c:v>1E+16</c:v>
                </c:pt>
                <c:pt idx="3">
                  <c:v>100000000000000</c:v>
                </c:pt>
                <c:pt idx="4">
                  <c:v>9.9999999999999998E+23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9FE-4BBB-9624-3FFBD4E2C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FinFET_v9_Makale.in!$K$2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FinFET_v9_Makale.in!$C$3:$C$7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FinFET_v9_Makale.in!$K$3:$K$7</c:f>
              <c:numCache>
                <c:formatCode>0.00E+00</c:formatCode>
                <c:ptCount val="5"/>
                <c:pt idx="0">
                  <c:v>100000000000000</c:v>
                </c:pt>
                <c:pt idx="1">
                  <c:v>10000000000000</c:v>
                </c:pt>
                <c:pt idx="2">
                  <c:v>1000000000000</c:v>
                </c:pt>
                <c:pt idx="3">
                  <c:v>10000000000</c:v>
                </c:pt>
                <c:pt idx="4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3EA-A56D-937CDF19C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</c:valAx>
      <c:valAx>
        <c:axId val="363195216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0991994552622715"/>
          <c:y val="6.308214387894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'FinFET_v95_BOXSiO2 (HfO2)'!$E$13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CC18E02-4FB5-4D3F-946D-DAB25B2CD9E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373-476F-B2C3-0C6CF86E27F2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DF48EE0A-5A02-465C-8CB2-968DF3299E8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373-476F-B2C3-0C6CF86E27F2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79B8EBFF-F779-4D31-8AB6-81A955185A1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373-476F-B2C3-0C6CF86E27F2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C538A5E0-292E-4985-8562-0E6BF7103C7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373-476F-B2C3-0C6CF86E27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649EA5-ED66-4B33-AA09-320636870D2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373-476F-B2C3-0C6CF86E27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(HfO2)'!$F$13:$J$13</c:f>
              <c:numCache>
                <c:formatCode>0.00E+00</c:formatCode>
                <c:ptCount val="5"/>
                <c:pt idx="0">
                  <c:v>2.6361655369999999E-5</c:v>
                </c:pt>
                <c:pt idx="1">
                  <c:v>1.6428431580000002E-5</c:v>
                </c:pt>
                <c:pt idx="2">
                  <c:v>9.6954572230000001E-6</c:v>
                </c:pt>
                <c:pt idx="3">
                  <c:v>7.8805128880000004E-6</c:v>
                </c:pt>
                <c:pt idx="4">
                  <c:v>5.0408818470000002E-6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373-476F-B2C3-0C6CF86E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7053453280369375"/>
          <c:y val="5.260800423332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'FinFET_v95_BOXSiO2 (HfO2)'!$E$5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6619BB8-4A2E-4337-8EBA-4D41B52DF29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5E3-4CDC-AF3A-66B5970F1E0E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1EDF5FB3-E4EB-4B59-865A-AA0FBE3A60C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5E3-4CDC-AF3A-66B5970F1E0E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C3826417-A9C9-49E4-9C05-7522E2DE287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5E3-4CDC-AF3A-66B5970F1E0E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72BEF37C-DF50-4C5C-8CEA-80011ADBC19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5E3-4CDC-AF3A-66B5970F1E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B44ED5-8C33-47B4-B332-6E69B9EE098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5E3-4CDC-AF3A-66B5970F1E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(HfO2)'!$F$5:$J$5</c:f>
              <c:numCache>
                <c:formatCode>General</c:formatCode>
                <c:ptCount val="5"/>
                <c:pt idx="0">
                  <c:v>0.55659999999999998</c:v>
                </c:pt>
                <c:pt idx="1">
                  <c:v>0.85729999999999995</c:v>
                </c:pt>
                <c:pt idx="2">
                  <c:v>0.92600000000000005</c:v>
                </c:pt>
                <c:pt idx="3">
                  <c:v>0.95179999999999998</c:v>
                </c:pt>
                <c:pt idx="4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5E3-4CDC-AF3A-66B5970F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347006138896112"/>
          <c:y val="5.7852851665205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'FinFET_v95_BOXSiO2 (HfO2)'!$E$8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5AF4AA9-99DD-4183-8248-3F8666BA8D8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8DF-4EC2-A98D-36C47B7191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3468F2-7EBC-4588-8C53-87B83357921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DF-4EC2-A98D-36C47B71912D}"/>
                </c:ext>
              </c:extLst>
            </c:dLbl>
            <c:dLbl>
              <c:idx val="2"/>
              <c:layout>
                <c:manualLayout>
                  <c:x val="-6.5407481575804033E-2"/>
                  <c:y val="2.3534028702455547E-2"/>
                </c:manualLayout>
              </c:layout>
              <c:tx>
                <c:rich>
                  <a:bodyPr/>
                  <a:lstStyle/>
                  <a:p>
                    <a:fld id="{F269EE68-5AC0-4457-8543-32CBA502D7C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8DF-4EC2-A98D-36C47B71912D}"/>
                </c:ext>
              </c:extLst>
            </c:dLbl>
            <c:dLbl>
              <c:idx val="3"/>
              <c:layout>
                <c:manualLayout>
                  <c:x val="-5.1144548033967834E-2"/>
                  <c:y val="-4.2440043517753281E-2"/>
                </c:manualLayout>
              </c:layout>
              <c:tx>
                <c:rich>
                  <a:bodyPr/>
                  <a:lstStyle/>
                  <a:p>
                    <a:fld id="{0D840C2D-72BA-4403-8B15-09A09607674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8DF-4EC2-A98D-36C47B71912D}"/>
                </c:ext>
              </c:extLst>
            </c:dLbl>
            <c:dLbl>
              <c:idx val="4"/>
              <c:layout>
                <c:manualLayout>
                  <c:x val="-4.1463654444766913E-2"/>
                  <c:y val="-7.0692058554335468E-2"/>
                </c:manualLayout>
              </c:layout>
              <c:tx>
                <c:rich>
                  <a:bodyPr/>
                  <a:lstStyle/>
                  <a:p>
                    <a:fld id="{662DB043-322E-454C-807A-4B41574AF8D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8DF-4EC2-A98D-36C47B7191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(HfO2)'!$F$3:$J$3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'FinFET_v95_BOXSiO2 (HfO2)'!$F$8:$J$8</c:f>
              <c:numCache>
                <c:formatCode>General</c:formatCode>
                <c:ptCount val="5"/>
                <c:pt idx="0">
                  <c:v>47.65</c:v>
                </c:pt>
                <c:pt idx="1">
                  <c:v>17.04</c:v>
                </c:pt>
                <c:pt idx="2">
                  <c:v>8.09</c:v>
                </c:pt>
                <c:pt idx="3">
                  <c:v>12.78</c:v>
                </c:pt>
                <c:pt idx="4">
                  <c:v>7.48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8DF-4EC2-A98D-36C47B719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 (eV)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67099784416816"/>
              <c:y val="0.9234236757538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Subthreshold Slope 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5493034245650024"/>
          <c:y val="7.51349029581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'FinFET_v95_BOXSiO2 (HfO2)'!$E$6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146075C-3483-44A9-A4EC-61D52827A9E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D9-4A5C-9E0E-9FBED16BF12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F79200-E88C-4169-AF69-12EDEB3918C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D9-4A5C-9E0E-9FBED16BF12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BB2EBD-5411-47A6-9965-7F31ADDE8F7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1D9-4A5C-9E0E-9FBED16BF12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EFE33D-AD85-4FE6-820B-85A81E08D6E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1D9-4A5C-9E0E-9FBED16BF12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650E77E-7A43-4C21-8837-E6BD8764CFC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1D9-4A5C-9E0E-9FBED16BF1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(HfO2)'!$F$6:$J$6</c:f>
              <c:numCache>
                <c:formatCode>General</c:formatCode>
                <c:ptCount val="5"/>
                <c:pt idx="0">
                  <c:v>68</c:v>
                </c:pt>
                <c:pt idx="1">
                  <c:v>59.6</c:v>
                </c:pt>
                <c:pt idx="2">
                  <c:v>59.8</c:v>
                </c:pt>
                <c:pt idx="3">
                  <c:v>58.6</c:v>
                </c:pt>
                <c:pt idx="4">
                  <c:v>56.1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1D9-4A5C-9E0E-9FBED16BF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69"/>
          <c:min val="5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  (mv 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SS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SS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6893624836129973"/>
          <c:y val="1.7493312595854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'FinFET_v95_BOXSiO2 (HfO2)'!$E$6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E5F33DE-9CAA-4CC7-8E54-035B5B1BC28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DDF-4AA5-9D81-FADF6EC89E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23279F-C3E9-4472-8B66-BAF8EB310DC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DDF-4AA5-9D81-FADF6EC89E4A}"/>
                </c:ext>
              </c:extLst>
            </c:dLbl>
            <c:dLbl>
              <c:idx val="2"/>
              <c:layout>
                <c:manualLayout>
                  <c:x val="-4.1173044904446654E-3"/>
                  <c:y val="-6.7779282666293475E-2"/>
                </c:manualLayout>
              </c:layout>
              <c:tx>
                <c:rich>
                  <a:bodyPr/>
                  <a:lstStyle/>
                  <a:p>
                    <a:fld id="{886C8F03-0631-404B-A5ED-45A2A6FB0FB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DDF-4AA5-9D81-FADF6EC89E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AB6DD1-0624-4652-8F38-FFFB0553D67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DDF-4AA5-9D81-FADF6EC89E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EF7DEAC-DCA2-4F26-91BA-4A57DF98A3B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DDF-4AA5-9D81-FADF6EC89E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7A5FDC-2BE1-4E4A-BB4A-570E73057AA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DDF-4AA5-9D81-FADF6EC89E4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C665684-39BA-44C7-A3C7-9031265575F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DDF-4AA5-9D81-FADF6EC89E4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29340B3-1AC0-4EDC-B72B-6822D3AD1DE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DDF-4AA5-9D81-FADF6EC89E4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0820A02-838E-4C58-A799-629716F9126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DDF-4AA5-9D81-FADF6EC89E4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315EECB-831A-488F-81A3-72D9711B669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DDF-4AA5-9D81-FADF6EC89E4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7C76F38-EBCE-424D-BD09-5D5E69252B3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DDF-4AA5-9D81-FADF6EC89E4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19D1CF4-3F6A-47B4-9E2E-927227B8AFC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DDF-4AA5-9D81-FADF6EC89E4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BDD3DA9-431A-477C-8FE0-8607E9B8524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DDF-4AA5-9D81-FADF6EC89E4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4D84024-2ED7-4A12-993C-0519D0F701C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DDF-4AA5-9D81-FADF6EC89E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(HfO2)'!$K$4:$X$4</c:f>
              <c:numCache>
                <c:formatCode>0.0</c:formatCode>
                <c:ptCount val="14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22.833333333333332</c:v>
                </c:pt>
                <c:pt idx="4">
                  <c:v>32</c:v>
                </c:pt>
                <c:pt idx="5">
                  <c:v>31.966666666666669</c:v>
                </c:pt>
                <c:pt idx="6">
                  <c:v>36.300000000000004</c:v>
                </c:pt>
                <c:pt idx="7">
                  <c:v>39</c:v>
                </c:pt>
                <c:pt idx="8">
                  <c:v>41.949999999999996</c:v>
                </c:pt>
                <c:pt idx="9">
                  <c:v>43.300000000000004</c:v>
                </c:pt>
                <c:pt idx="10">
                  <c:v>52.5</c:v>
                </c:pt>
                <c:pt idx="11">
                  <c:v>59.5</c:v>
                </c:pt>
                <c:pt idx="12">
                  <c:v>70.833333333333329</c:v>
                </c:pt>
                <c:pt idx="13" formatCode="General">
                  <c:v>80</c:v>
                </c:pt>
              </c:numCache>
            </c:numRef>
          </c:xVal>
          <c:yVal>
            <c:numRef>
              <c:f>'FinFET_v95_BOXSiO2 (HfO2)'!$K$6:$X$6</c:f>
              <c:numCache>
                <c:formatCode>General</c:formatCode>
                <c:ptCount val="14"/>
                <c:pt idx="0">
                  <c:v>68</c:v>
                </c:pt>
                <c:pt idx="1">
                  <c:v>62</c:v>
                </c:pt>
                <c:pt idx="2">
                  <c:v>59.3</c:v>
                </c:pt>
                <c:pt idx="3">
                  <c:v>60</c:v>
                </c:pt>
                <c:pt idx="4">
                  <c:v>60.1</c:v>
                </c:pt>
                <c:pt idx="5">
                  <c:v>60.7</c:v>
                </c:pt>
                <c:pt idx="6">
                  <c:v>59.7</c:v>
                </c:pt>
                <c:pt idx="7">
                  <c:v>59.9</c:v>
                </c:pt>
                <c:pt idx="8">
                  <c:v>62</c:v>
                </c:pt>
                <c:pt idx="9">
                  <c:v>59.7</c:v>
                </c:pt>
                <c:pt idx="10">
                  <c:v>59.1</c:v>
                </c:pt>
                <c:pt idx="11">
                  <c:v>59</c:v>
                </c:pt>
                <c:pt idx="12">
                  <c:v>57.8</c:v>
                </c:pt>
                <c:pt idx="13">
                  <c:v>56.1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(HfO2)'!$K$21:$X$21</c15:f>
                <c15:dlblRangeCache>
                  <c:ptCount val="14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  <c:pt idx="5">
                    <c:v>E</c:v>
                  </c:pt>
                  <c:pt idx="6">
                    <c:v>F</c:v>
                  </c:pt>
                  <c:pt idx="7">
                    <c:v>G</c:v>
                  </c:pt>
                  <c:pt idx="8">
                    <c:v>H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FDDF-4AA5-9D81-FADF6EC8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'FinFET_v95_BOXSiO2 (HfO2)'!$E$6</c:f>
              <c:strCache>
                <c:ptCount val="1"/>
                <c:pt idx="0">
                  <c:v>SS_05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5468CCA-2DCC-4BA2-B1E9-5D1DFAEE4EB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DDF-4AA5-9D81-FADF6EC89E4A}"/>
                </c:ext>
              </c:extLst>
            </c:dLbl>
            <c:dLbl>
              <c:idx val="1"/>
              <c:layout>
                <c:manualLayout>
                  <c:x val="-3.8557895667061894E-2"/>
                  <c:y val="4.4454029263819105E-2"/>
                </c:manualLayout>
              </c:layout>
              <c:tx>
                <c:rich>
                  <a:bodyPr/>
                  <a:lstStyle/>
                  <a:p>
                    <a:fld id="{10C30022-2901-4A51-82A9-1E791358804E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DDF-4AA5-9D81-FADF6EC89E4A}"/>
                </c:ext>
              </c:extLst>
            </c:dLbl>
            <c:dLbl>
              <c:idx val="2"/>
              <c:layout>
                <c:manualLayout>
                  <c:x val="-2.7448696602964437E-2"/>
                  <c:y val="7.5310314073659415E-2"/>
                </c:manualLayout>
              </c:layout>
              <c:tx>
                <c:rich>
                  <a:bodyPr/>
                  <a:lstStyle/>
                  <a:p>
                    <a:fld id="{B939E510-BF1D-4803-A97F-25022E7B077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DDF-4AA5-9D81-FADF6EC89E4A}"/>
                </c:ext>
              </c:extLst>
            </c:dLbl>
            <c:dLbl>
              <c:idx val="3"/>
              <c:layout>
                <c:manualLayout>
                  <c:x val="-1.3724348301482218E-2"/>
                  <c:y val="5.7737907456472219E-2"/>
                </c:manualLayout>
              </c:layout>
              <c:tx>
                <c:rich>
                  <a:bodyPr/>
                  <a:lstStyle/>
                  <a:p>
                    <a:fld id="{3EFF2303-9650-4128-BC4C-32DD7A41FA0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DDF-4AA5-9D81-FADF6EC89E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6F3B26D-AD8C-4431-9F3F-E8B75F237BC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DDF-4AA5-9D81-FADF6EC89E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(HfO2)'!$F$4:$J$4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'FinFET_v95_BOXSiO2 (HfO2)'!$F$6:$J$6</c:f>
              <c:numCache>
                <c:formatCode>General</c:formatCode>
                <c:ptCount val="5"/>
                <c:pt idx="0">
                  <c:v>68</c:v>
                </c:pt>
                <c:pt idx="1">
                  <c:v>59.6</c:v>
                </c:pt>
                <c:pt idx="2">
                  <c:v>59.8</c:v>
                </c:pt>
                <c:pt idx="3">
                  <c:v>58.6</c:v>
                </c:pt>
                <c:pt idx="4">
                  <c:v>56.1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FDDF-4AA5-9D81-FADF6EC8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SS</a:t>
                </a:r>
                <a:r>
                  <a:rPr lang="tr-TR" sz="1050" baseline="0"/>
                  <a:t> (mV/decade)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0967337455897025E-2"/>
              <c:y val="0.38971427148241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016474591019532"/>
          <c:y val="0.38804614456442049"/>
          <c:w val="0.13994082862353663"/>
          <c:h val="4.217167374204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Vth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</c:rich>
      </c:tx>
      <c:layout>
        <c:manualLayout>
          <c:xMode val="edge"/>
          <c:yMode val="edge"/>
          <c:x val="0.32749973264150573"/>
          <c:y val="4.560432596848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411698057649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'FinFET_v95_BOXSiO2 (HfO2)'!$E$5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016C8F6-50E4-4889-87AC-7516104FB4D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122-44DA-A943-455D052CAF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180B58-5A6B-42A4-B62D-2B9DB5ABC24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122-44DA-A943-455D052CAFEF}"/>
                </c:ext>
              </c:extLst>
            </c:dLbl>
            <c:dLbl>
              <c:idx val="2"/>
              <c:layout>
                <c:manualLayout>
                  <c:x val="-6.2096406269217128E-2"/>
                  <c:y val="3.8028460859431235E-2"/>
                </c:manualLayout>
              </c:layout>
              <c:tx>
                <c:rich>
                  <a:bodyPr/>
                  <a:lstStyle/>
                  <a:p>
                    <a:fld id="{A1A2C9A7-B46E-4EED-88F2-FD97175F3CC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122-44DA-A943-455D052CAFEF}"/>
                </c:ext>
              </c:extLst>
            </c:dLbl>
            <c:dLbl>
              <c:idx val="3"/>
              <c:layout>
                <c:manualLayout>
                  <c:x val="2.0698802089739024E-2"/>
                  <c:y val="-4.0563691583393319E-2"/>
                </c:manualLayout>
              </c:layout>
              <c:tx>
                <c:rich>
                  <a:bodyPr/>
                  <a:lstStyle/>
                  <a:p>
                    <a:fld id="{F6AB0F12-A111-4EA9-A819-1060654616E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122-44DA-A943-455D052CAFEF}"/>
                </c:ext>
              </c:extLst>
            </c:dLbl>
            <c:dLbl>
              <c:idx val="4"/>
              <c:layout>
                <c:manualLayout>
                  <c:x val="3.1864824896514297E-3"/>
                  <c:y val="-4.4410554284445999E-2"/>
                </c:manualLayout>
              </c:layout>
              <c:tx>
                <c:rich>
                  <a:bodyPr/>
                  <a:lstStyle/>
                  <a:p>
                    <a:fld id="{F8C8BEC8-F4B5-4AFA-AE36-0E14D1C8C854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122-44DA-A943-455D052CAF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'FinFET_v95_BOXSiO2 (HfO2)'!$F$3:$J$3</c:f>
              <c:numCache>
                <c:formatCode>General</c:formatCode>
                <c:ptCount val="5"/>
                <c:pt idx="0">
                  <c:v>9</c:v>
                </c:pt>
                <c:pt idx="1">
                  <c:v>8.1999999999999993</c:v>
                </c:pt>
                <c:pt idx="2">
                  <c:v>5.2</c:v>
                </c:pt>
                <c:pt idx="3">
                  <c:v>5.2</c:v>
                </c:pt>
                <c:pt idx="4">
                  <c:v>3.5</c:v>
                </c:pt>
              </c:numCache>
            </c:numRef>
          </c:xVal>
          <c:yVal>
            <c:numRef>
              <c:f>'FinFET_v95_BOXSiO2 (HfO2)'!$F$5:$J$5</c:f>
              <c:numCache>
                <c:formatCode>General</c:formatCode>
                <c:ptCount val="5"/>
                <c:pt idx="0">
                  <c:v>0.55659999999999998</c:v>
                </c:pt>
                <c:pt idx="1">
                  <c:v>0.85729999999999995</c:v>
                </c:pt>
                <c:pt idx="2">
                  <c:v>0.92600000000000005</c:v>
                </c:pt>
                <c:pt idx="3">
                  <c:v>0.95179999999999998</c:v>
                </c:pt>
                <c:pt idx="4">
                  <c:v>1.0028999999999999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'FinFET_v95_BOXSiO2 (HfO2)'!$F$21:$J$21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122-44DA-A943-455D052CA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valAx>
        <c:axId val="363199808"/>
        <c:scaling>
          <c:orientation val="minMax"/>
          <c:max val="9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4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effectLst/>
                    <a:latin typeface="+mn-lt"/>
                    <a:ea typeface="+mn-ea"/>
                    <a:cs typeface="+mn-cs"/>
                    <a:sym typeface="Symbol" panose="05050102010706020507" pitchFamily="18" charset="2"/>
                  </a:rPr>
                  <a:t>Bandgap</a:t>
                </a:r>
                <a:endParaRPr lang="en-US" sz="14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52907150918334"/>
              <c:y val="0.9315275235387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3679970774686581E-2"/>
              <c:y val="0.47652709876894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DIBL</a:t>
            </a:r>
            <a:r>
              <a:rPr lang="tr-TR" baseline="0">
                <a:solidFill>
                  <a:srgbClr val="0070C0"/>
                </a:solidFill>
              </a:rPr>
              <a:t> 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DIBL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6876622672039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FinFET_v96_Bulk_Added!$E$9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B9BF89B-2A8E-4B31-878C-F24B1FBEC92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BA-49B0-BDF5-83F32769CD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27DD34-317D-4652-839A-6F7E1D7065A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BA-49B0-BDF5-83F32769CD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F6CA64F-700B-4782-B471-05F9EEB72CD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0BA-49B0-BDF5-83F32769CD89}"/>
                </c:ext>
              </c:extLst>
            </c:dLbl>
            <c:dLbl>
              <c:idx val="3"/>
              <c:layout>
                <c:manualLayout>
                  <c:x val="-5.7341880266842955E-2"/>
                  <c:y val="2.8543261838966463E-2"/>
                </c:manualLayout>
              </c:layout>
              <c:tx>
                <c:rich>
                  <a:bodyPr/>
                  <a:lstStyle/>
                  <a:p>
                    <a:fld id="{5F6D6450-5617-4222-9A75-8D45CC24204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0BA-49B0-BDF5-83F32769CD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99BD063-3C19-4ACC-BA6D-DABE0A022EA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0BA-49B0-BDF5-83F32769CD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50384A3-282F-40ED-A427-36D02A24C4E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0BA-49B0-BDF5-83F32769CD8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C28BAB4-0D95-4F92-9707-B18522C2EB6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0BA-49B0-BDF5-83F32769CD89}"/>
                </c:ext>
              </c:extLst>
            </c:dLbl>
            <c:dLbl>
              <c:idx val="7"/>
              <c:layout>
                <c:manualLayout>
                  <c:x val="1.6873056350370386E-2"/>
                  <c:y val="-1.4451675505031163E-2"/>
                </c:manualLayout>
              </c:layout>
              <c:tx>
                <c:rich>
                  <a:bodyPr/>
                  <a:lstStyle/>
                  <a:p>
                    <a:fld id="{5509599F-46D3-4E62-AFBB-188346294CF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0BA-49B0-BDF5-83F32769CD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C687BF9-92A0-4433-ACEB-2B118E171AA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0BA-49B0-BDF5-83F32769CD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5DD6A40-9898-41B3-BD47-76003B188A4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0BA-49B0-BDF5-83F32769CD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583A50-9788-4D03-BC95-1A85006BD1A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0BA-49B0-BDF5-83F32769CD8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FC9427-43CD-42FF-86BE-5FC88102B23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0BA-49B0-BDF5-83F32769CD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18DEDC0-DEBE-4837-9651-DB13A5296C6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0BA-49B0-BDF5-83F32769CD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BFCBCF6-3D7A-4004-A0D3-077313052D8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0BA-49B0-BDF5-83F32769CD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5A9ADC0-644C-4265-B139-4D87E73799F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722-439D-90AF-59C23A1EB3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FinFET_v96_Bulk_Added!$K$5:$Y$5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32</c:v>
                </c:pt>
                <c:pt idx="6">
                  <c:v>31.966666666666669</c:v>
                </c:pt>
                <c:pt idx="7">
                  <c:v>36.300000000000004</c:v>
                </c:pt>
                <c:pt idx="8">
                  <c:v>39</c:v>
                </c:pt>
                <c:pt idx="9">
                  <c:v>41.949999999999996</c:v>
                </c:pt>
                <c:pt idx="10">
                  <c:v>43.300000000000004</c:v>
                </c:pt>
                <c:pt idx="11">
                  <c:v>52.5</c:v>
                </c:pt>
                <c:pt idx="12">
                  <c:v>59.5</c:v>
                </c:pt>
                <c:pt idx="13">
                  <c:v>70.833333333333329</c:v>
                </c:pt>
                <c:pt idx="14" formatCode="General">
                  <c:v>80</c:v>
                </c:pt>
              </c:numCache>
            </c:numRef>
          </c:xVal>
          <c:yVal>
            <c:numRef>
              <c:f>FinFET_v96_Bulk_Added!$K$9:$Y$9</c:f>
              <c:numCache>
                <c:formatCode>General</c:formatCode>
                <c:ptCount val="15"/>
                <c:pt idx="0">
                  <c:v>19.3</c:v>
                </c:pt>
                <c:pt idx="1">
                  <c:v>15.22</c:v>
                </c:pt>
                <c:pt idx="2">
                  <c:v>9.3000000000000007</c:v>
                </c:pt>
                <c:pt idx="3">
                  <c:v>8.43</c:v>
                </c:pt>
                <c:pt idx="4">
                  <c:v>9.83</c:v>
                </c:pt>
                <c:pt idx="5">
                  <c:v>8.6999999999999993</c:v>
                </c:pt>
                <c:pt idx="6">
                  <c:v>12.52</c:v>
                </c:pt>
                <c:pt idx="7">
                  <c:v>9.48</c:v>
                </c:pt>
                <c:pt idx="8">
                  <c:v>8.8699999999999992</c:v>
                </c:pt>
                <c:pt idx="9">
                  <c:v>12.7</c:v>
                </c:pt>
                <c:pt idx="10">
                  <c:v>9.74</c:v>
                </c:pt>
                <c:pt idx="11">
                  <c:v>6.17</c:v>
                </c:pt>
                <c:pt idx="12">
                  <c:v>6.43</c:v>
                </c:pt>
                <c:pt idx="13">
                  <c:v>5.48</c:v>
                </c:pt>
                <c:pt idx="1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FinFET_v96_Bulk_Added!$K$22:$Y$22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CD</c:v>
                  </c:pt>
                  <c:pt idx="5">
                    <c:v>D</c:v>
                  </c:pt>
                  <c:pt idx="6">
                    <c:v>E</c:v>
                  </c:pt>
                  <c:pt idx="7">
                    <c:v>F</c:v>
                  </c:pt>
                  <c:pt idx="8">
                    <c:v>G</c:v>
                  </c:pt>
                  <c:pt idx="9">
                    <c:v>H</c:v>
                  </c:pt>
                  <c:pt idx="10">
                    <c:v>J</c:v>
                  </c:pt>
                  <c:pt idx="11">
                    <c:v>K</c:v>
                  </c:pt>
                  <c:pt idx="12">
                    <c:v>L</c:v>
                  </c:pt>
                  <c:pt idx="13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80BA-49B0-BDF5-83F32769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FinFET_v96_Bulk_Added!$E$9</c:f>
              <c:strCache>
                <c:ptCount val="1"/>
                <c:pt idx="0">
                  <c:v>DIBL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F5C9B5-67F1-459F-B3F5-DDE76A9E657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0BA-49B0-BDF5-83F32769CD89}"/>
                </c:ext>
              </c:extLst>
            </c:dLbl>
            <c:dLbl>
              <c:idx val="1"/>
              <c:layout>
                <c:manualLayout>
                  <c:x val="-8.2842137620685749E-2"/>
                  <c:y val="7.0297551968218602E-2"/>
                </c:manualLayout>
              </c:layout>
              <c:tx>
                <c:rich>
                  <a:bodyPr/>
                  <a:lstStyle/>
                  <a:p>
                    <a:fld id="{FF748322-414C-4F06-9406-362263189F7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0BA-49B0-BDF5-83F32769CD89}"/>
                </c:ext>
              </c:extLst>
            </c:dLbl>
            <c:dLbl>
              <c:idx val="2"/>
              <c:layout>
                <c:manualLayout>
                  <c:x val="-9.2357693878121969E-2"/>
                  <c:y val="0.14232167343201702"/>
                </c:manualLayout>
              </c:layout>
              <c:tx>
                <c:rich>
                  <a:bodyPr/>
                  <a:lstStyle/>
                  <a:p>
                    <a:fld id="{020A9807-9CC9-43BF-A422-2F115CAFE0BC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0BA-49B0-BDF5-83F32769CD89}"/>
                </c:ext>
              </c:extLst>
            </c:dLbl>
            <c:dLbl>
              <c:idx val="3"/>
              <c:layout>
                <c:manualLayout>
                  <c:x val="-3.6264316329301174E-2"/>
                  <c:y val="6.2955550715770747E-2"/>
                </c:manualLayout>
              </c:layout>
              <c:tx>
                <c:rich>
                  <a:bodyPr/>
                  <a:lstStyle/>
                  <a:p>
                    <a:fld id="{1FB75FBA-6424-4329-866F-32BAE5C8AAD3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0BA-49B0-BDF5-83F32769CD89}"/>
                </c:ext>
              </c:extLst>
            </c:dLbl>
            <c:dLbl>
              <c:idx val="4"/>
              <c:layout>
                <c:manualLayout>
                  <c:x val="-3.4517557341953659E-3"/>
                  <c:y val="-5.2072260717199038E-2"/>
                </c:manualLayout>
              </c:layout>
              <c:tx>
                <c:rich>
                  <a:bodyPr/>
                  <a:lstStyle/>
                  <a:p>
                    <a:fld id="{0694EE6B-BC00-4EDB-8EA0-7114973C004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0BA-49B0-BDF5-83F32769C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FinFET_v96_Bulk_Added!$F$9:$J$9</c:f>
              <c:numCache>
                <c:formatCode>General</c:formatCode>
                <c:ptCount val="5"/>
                <c:pt idx="0">
                  <c:v>19.3</c:v>
                </c:pt>
                <c:pt idx="1">
                  <c:v>13.13</c:v>
                </c:pt>
                <c:pt idx="2">
                  <c:v>8.8699999999999992</c:v>
                </c:pt>
                <c:pt idx="3">
                  <c:v>7.57</c:v>
                </c:pt>
                <c:pt idx="4">
                  <c:v>5.04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80BA-49B0-BDF5-83F32769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3981108932824592"/>
              <c:y val="0.900642739314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Drain Induced Barrier Lowering </a:t>
                </a:r>
                <a:r>
                  <a:rPr lang="tr-TR" sz="1050" baseline="0"/>
                  <a:t> - </a:t>
                </a:r>
                <a:r>
                  <a:rPr lang="tr-TR" sz="1050"/>
                  <a:t>DIBL </a:t>
                </a:r>
                <a:r>
                  <a:rPr lang="tr-TR" sz="1050" baseline="0"/>
                  <a:t> (mV/V)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5001601658791674E-2"/>
              <c:y val="0.170878001540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17256786004305"/>
          <c:y val="0.47856028595196487"/>
          <c:w val="0.16770728359365178"/>
          <c:h val="4.2127357444673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ION/IOFF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ION/IOFF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123057609117169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FinFET_v96_Bulk_Added!$E$12</c:f>
              <c:strCache>
                <c:ptCount val="1"/>
                <c:pt idx="0">
                  <c:v>Ion/Ioff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7C1D4E-AEC3-4D55-9E5A-DF78873A3FB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45-4854-BB7E-DB42831361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E234F2-48BF-410A-A148-F74C590D813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45-4854-BB7E-DB42831361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122ECD-CD81-49DA-A712-E39541FD45E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45-4854-BB7E-DB42831361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4FAF771-3C70-4F9A-ABA7-D82B8D9300A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45-4854-BB7E-DB42831361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633399-A3DC-433F-A45A-691DE5D438D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45-4854-BB7E-DB42831361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9F37111-FCF4-455D-8090-1F5DE70AC76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45-4854-BB7E-DB428313616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4AE866E-8CAD-412B-A2EA-8F3515CC748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45-4854-BB7E-DB428313616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905D09-1C67-481A-A68C-E6A8A15AEF0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45-4854-BB7E-DB428313616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1EB0824-2D88-4E10-8527-3C224049011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F45-4854-BB7E-DB428313616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D7751D1-CA5A-4882-B844-1DD280FBA76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F45-4854-BB7E-DB428313616B}"/>
                </c:ext>
              </c:extLst>
            </c:dLbl>
            <c:dLbl>
              <c:idx val="10"/>
              <c:layout>
                <c:manualLayout>
                  <c:x val="4.0915132993511209E-3"/>
                  <c:y val="5.7420452943383972E-2"/>
                </c:manualLayout>
              </c:layout>
              <c:tx>
                <c:rich>
                  <a:bodyPr/>
                  <a:lstStyle/>
                  <a:p>
                    <a:fld id="{C9699335-D42F-4436-92C3-353FD284AF7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F45-4854-BB7E-DB428313616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742B99F-A2EE-401E-B069-F5FE93F29BF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45-4854-BB7E-DB428313616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C020DB3-B4F7-40C2-82F5-B643A29F963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45-4854-BB7E-DB428313616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57115C9-2AD8-4C1B-9910-172DFC34558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F45-4854-BB7E-DB428313616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234EEBA-B0ED-4BF1-A3CA-3409F70606A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197-46D5-84C2-1959136EEB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FinFET_v96_Bulk_Added!$K$5:$Y$5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32</c:v>
                </c:pt>
                <c:pt idx="6">
                  <c:v>31.966666666666669</c:v>
                </c:pt>
                <c:pt idx="7">
                  <c:v>36.300000000000004</c:v>
                </c:pt>
                <c:pt idx="8">
                  <c:v>39</c:v>
                </c:pt>
                <c:pt idx="9">
                  <c:v>41.949999999999996</c:v>
                </c:pt>
                <c:pt idx="10">
                  <c:v>43.300000000000004</c:v>
                </c:pt>
                <c:pt idx="11">
                  <c:v>52.5</c:v>
                </c:pt>
                <c:pt idx="12">
                  <c:v>59.5</c:v>
                </c:pt>
                <c:pt idx="13">
                  <c:v>70.833333333333329</c:v>
                </c:pt>
                <c:pt idx="14" formatCode="General">
                  <c:v>80</c:v>
                </c:pt>
              </c:numCache>
            </c:numRef>
          </c:xVal>
          <c:yVal>
            <c:numRef>
              <c:f>FinFET_v96_Bulk_Added!$K$12:$Y$12</c:f>
              <c:numCache>
                <c:formatCode>0.00E+00</c:formatCode>
                <c:ptCount val="15"/>
                <c:pt idx="0">
                  <c:v>100000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</c:v>
                </c:pt>
                <c:pt idx="10">
                  <c:v>1000000000</c:v>
                </c:pt>
                <c:pt idx="11">
                  <c:v>10000000000</c:v>
                </c:pt>
                <c:pt idx="12">
                  <c:v>10000000000</c:v>
                </c:pt>
                <c:pt idx="13">
                  <c:v>10000000000</c:v>
                </c:pt>
                <c:pt idx="1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FinFET_v96_Bulk_Added!$K$22:$Y$22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CD</c:v>
                  </c:pt>
                  <c:pt idx="5">
                    <c:v>D</c:v>
                  </c:pt>
                  <c:pt idx="6">
                    <c:v>E</c:v>
                  </c:pt>
                  <c:pt idx="7">
                    <c:v>F</c:v>
                  </c:pt>
                  <c:pt idx="8">
                    <c:v>G</c:v>
                  </c:pt>
                  <c:pt idx="9">
                    <c:v>H</c:v>
                  </c:pt>
                  <c:pt idx="10">
                    <c:v>J</c:v>
                  </c:pt>
                  <c:pt idx="11">
                    <c:v>K</c:v>
                  </c:pt>
                  <c:pt idx="12">
                    <c:v>L</c:v>
                  </c:pt>
                  <c:pt idx="13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DF45-4854-BB7E-DB428313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FinFET_v96_Bulk_Added!$E$15</c:f>
              <c:strCache>
                <c:ptCount val="1"/>
                <c:pt idx="0">
                  <c:v>I Max /  I Leakage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F48B0A4-2B0C-4585-AD44-8FF8A03E58D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F45-4854-BB7E-DB428313616B}"/>
                </c:ext>
              </c:extLst>
            </c:dLbl>
            <c:dLbl>
              <c:idx val="1"/>
              <c:layout>
                <c:manualLayout>
                  <c:x val="-2.5909873583869203E-2"/>
                  <c:y val="-7.3080576473397718E-2"/>
                </c:manualLayout>
              </c:layout>
              <c:tx>
                <c:rich>
                  <a:bodyPr/>
                  <a:lstStyle/>
                  <a:p>
                    <a:fld id="{35E936E9-A605-42ED-B968-25192280624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F45-4854-BB7E-DB428313616B}"/>
                </c:ext>
              </c:extLst>
            </c:dLbl>
            <c:dLbl>
              <c:idx val="2"/>
              <c:layout>
                <c:manualLayout>
                  <c:x val="-4.6365036939555369E-2"/>
                  <c:y val="-5.7420452943383972E-2"/>
                </c:manualLayout>
              </c:layout>
              <c:tx>
                <c:rich>
                  <a:bodyPr/>
                  <a:lstStyle/>
                  <a:p>
                    <a:fld id="{A0FA5249-1AC8-4A4C-864E-C19757CFA886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F45-4854-BB7E-DB428313616B}"/>
                </c:ext>
              </c:extLst>
            </c:dLbl>
            <c:dLbl>
              <c:idx val="3"/>
              <c:layout>
                <c:manualLayout>
                  <c:x val="-1.4935033140378884E-2"/>
                  <c:y val="9.3966782900793702E-2"/>
                </c:manualLayout>
              </c:layout>
              <c:tx>
                <c:rich>
                  <a:bodyPr/>
                  <a:lstStyle/>
                  <a:p>
                    <a:fld id="{616A176D-CAB0-47AF-B15D-43B0CCA904F7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F45-4854-BB7E-DB42831361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5E07436-31D2-4D94-B729-FAA8B8B4D3C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F45-4854-BB7E-DB42831361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FinFET_v96_Bulk_Added!$F$12:$J$12</c:f>
              <c:numCache>
                <c:formatCode>0.00E+00</c:formatCode>
                <c:ptCount val="5"/>
                <c:pt idx="0">
                  <c:v>100000</c:v>
                </c:pt>
                <c:pt idx="1">
                  <c:v>10000000</c:v>
                </c:pt>
                <c:pt idx="2">
                  <c:v>1000000000</c:v>
                </c:pt>
                <c:pt idx="3">
                  <c:v>1000000000</c:v>
                </c:pt>
                <c:pt idx="4">
                  <c:v>10000000000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F45-4854-BB7E-DB428313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4215682927"/>
              <c:y val="0.894213354722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ION/IOFF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5357288866582998E-2"/>
              <c:y val="0.4010659111781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5622709656927"/>
          <c:y val="0.6461806675229913"/>
          <c:w val="0.26380037358919212"/>
          <c:h val="4.268624116927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ION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ION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288881080411407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FinFET_v96_Bulk_Added!$E$14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8C73DC4-30A6-4EE9-85BE-CE5D10A9EFF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2C4-4501-B072-783C4B64DB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36B6F3-AEB6-4359-A707-3189EA77DC8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C4-4501-B072-783C4B64DB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6646CF-D892-4BB4-B618-6CE4BE2FA82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C4-4501-B072-783C4B64DB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E866199-A090-4387-9F08-E6842EA7A96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C4-4501-B072-783C4B64DB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7D938A-52D4-4300-B87E-66BC5A64834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C4-4501-B072-783C4B64DB6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DDB813-CCF1-4076-9DCB-4E26CC54973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C4-4501-B072-783C4B64DB6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BC23425-C26D-4202-B1A2-2A0582F1B0F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C4-4501-B072-783C4B64DB6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22637BB-1857-49E6-B117-7988631EB40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C4-4501-B072-783C4B64DB6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BFAA6A7-BB6E-4D15-9FEF-2C4D5F8414E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C4-4501-B072-783C4B64DB6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1D64B05-11E0-4B80-A0BA-1B118820C9E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C4-4501-B072-783C4B64DB6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A5F57F3-2687-4DB2-B564-588429273D8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2C4-4501-B072-783C4B64DB6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C487AC3-43E8-40CC-8114-E2D2445447F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2C4-4501-B072-783C4B64DB6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81757FF-3B09-44FA-A835-EA81E2991D1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C4-4501-B072-783C4B64DB6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720D480-76D2-4E1D-8E56-53D3B1C83A5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C4-4501-B072-783C4B64DB6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736D7FD-4A18-45F9-91D0-61FA40C5E07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38C-403A-8A6B-15DF56E8A2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FinFET_v96_Bulk_Added!$K$5:$Y$5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32</c:v>
                </c:pt>
                <c:pt idx="6">
                  <c:v>31.966666666666669</c:v>
                </c:pt>
                <c:pt idx="7">
                  <c:v>36.300000000000004</c:v>
                </c:pt>
                <c:pt idx="8">
                  <c:v>39</c:v>
                </c:pt>
                <c:pt idx="9">
                  <c:v>41.949999999999996</c:v>
                </c:pt>
                <c:pt idx="10">
                  <c:v>43.300000000000004</c:v>
                </c:pt>
                <c:pt idx="11">
                  <c:v>52.5</c:v>
                </c:pt>
                <c:pt idx="12">
                  <c:v>59.5</c:v>
                </c:pt>
                <c:pt idx="13">
                  <c:v>70.833333333333329</c:v>
                </c:pt>
                <c:pt idx="14" formatCode="General">
                  <c:v>80</c:v>
                </c:pt>
              </c:numCache>
            </c:numRef>
          </c:xVal>
          <c:yVal>
            <c:numRef>
              <c:f>FinFET_v96_Bulk_Added!$K$14:$Y$14</c:f>
              <c:numCache>
                <c:formatCode>0.00E+00</c:formatCode>
                <c:ptCount val="15"/>
                <c:pt idx="0">
                  <c:v>2.0045235509999999E-5</c:v>
                </c:pt>
                <c:pt idx="1">
                  <c:v>1.9071899419999999E-5</c:v>
                </c:pt>
                <c:pt idx="2">
                  <c:v>1.632321543E-5</c:v>
                </c:pt>
                <c:pt idx="3">
                  <c:v>1.8835130689999999E-5</c:v>
                </c:pt>
                <c:pt idx="4">
                  <c:v>1.425507866E-5</c:v>
                </c:pt>
                <c:pt idx="5">
                  <c:v>1.5619603890000002E-5</c:v>
                </c:pt>
                <c:pt idx="6">
                  <c:v>1.085889421E-5</c:v>
                </c:pt>
                <c:pt idx="7">
                  <c:v>1.786813879E-5</c:v>
                </c:pt>
                <c:pt idx="8">
                  <c:v>1.231310583E-5</c:v>
                </c:pt>
                <c:pt idx="9">
                  <c:v>1.9268158390000001E-5</c:v>
                </c:pt>
                <c:pt idx="10">
                  <c:v>1.7931580230000001E-5</c:v>
                </c:pt>
                <c:pt idx="11">
                  <c:v>1.4197163190000001E-5</c:v>
                </c:pt>
                <c:pt idx="12">
                  <c:v>1.590327458E-5</c:v>
                </c:pt>
                <c:pt idx="13">
                  <c:v>1.4735582659999999E-5</c:v>
                </c:pt>
                <c:pt idx="1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FinFET_v96_Bulk_Added!$K$22:$Y$22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CD</c:v>
                  </c:pt>
                  <c:pt idx="5">
                    <c:v>D</c:v>
                  </c:pt>
                  <c:pt idx="6">
                    <c:v>E</c:v>
                  </c:pt>
                  <c:pt idx="7">
                    <c:v>F</c:v>
                  </c:pt>
                  <c:pt idx="8">
                    <c:v>G</c:v>
                  </c:pt>
                  <c:pt idx="9">
                    <c:v>H</c:v>
                  </c:pt>
                  <c:pt idx="10">
                    <c:v>J</c:v>
                  </c:pt>
                  <c:pt idx="11">
                    <c:v>K</c:v>
                  </c:pt>
                  <c:pt idx="12">
                    <c:v>L</c:v>
                  </c:pt>
                  <c:pt idx="13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62C4-4501-B072-783C4B64D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FinFET_v96_Bulk_Added!$E$14</c:f>
              <c:strCache>
                <c:ptCount val="1"/>
                <c:pt idx="0">
                  <c:v>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88CB810-A74D-469C-BA53-0D65669E683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2C4-4501-B072-783C4B64DB67}"/>
                </c:ext>
              </c:extLst>
            </c:dLbl>
            <c:dLbl>
              <c:idx val="1"/>
              <c:layout>
                <c:manualLayout>
                  <c:x val="-5.5740656719300258E-2"/>
                  <c:y val="6.5141580866142981E-2"/>
                </c:manualLayout>
              </c:layout>
              <c:tx>
                <c:rich>
                  <a:bodyPr/>
                  <a:lstStyle/>
                  <a:p>
                    <a:fld id="{EF7ACCE7-FB3A-4263-9CAA-3A23CC5C5C3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2C4-4501-B072-783C4B64DB67}"/>
                </c:ext>
              </c:extLst>
            </c:dLbl>
            <c:dLbl>
              <c:idx val="2"/>
              <c:layout>
                <c:manualLayout>
                  <c:x val="-5.5740656719300292E-2"/>
                  <c:y val="4.1690611754331502E-2"/>
                </c:manualLayout>
              </c:layout>
              <c:tx>
                <c:rich>
                  <a:bodyPr/>
                  <a:lstStyle/>
                  <a:p>
                    <a:fld id="{14D18011-5001-4FE5-BC74-E73AF5A7AEC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2C4-4501-B072-783C4B64DB67}"/>
                </c:ext>
              </c:extLst>
            </c:dLbl>
            <c:dLbl>
              <c:idx val="3"/>
              <c:layout>
                <c:manualLayout>
                  <c:x val="-1.3903792054010275E-2"/>
                  <c:y val="6.1021760389001804E-2"/>
                </c:manualLayout>
              </c:layout>
              <c:tx>
                <c:rich>
                  <a:bodyPr/>
                  <a:lstStyle/>
                  <a:p>
                    <a:fld id="{E421942E-145A-431B-9FEE-592C72F7B73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2C4-4501-B072-783C4B64DB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AE2BA8B-86D9-4F73-BAC7-135DD11A79C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2C4-4501-B072-783C4B64DB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FinFET_v96_Bulk_Added!$F$14:$J$14</c:f>
              <c:numCache>
                <c:formatCode>0.00E+00</c:formatCode>
                <c:ptCount val="5"/>
                <c:pt idx="0">
                  <c:v>2.0045235509999999E-5</c:v>
                </c:pt>
                <c:pt idx="1">
                  <c:v>1.870040223E-5</c:v>
                </c:pt>
                <c:pt idx="2">
                  <c:v>1.1713095980000001E-5</c:v>
                </c:pt>
                <c:pt idx="3">
                  <c:v>1.423963863E-5</c:v>
                </c:pt>
                <c:pt idx="4">
                  <c:v>1.372821104E-5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62C4-4501-B072-783C4B64D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06439625707"/>
              <c:y val="0.903319471753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Ion</a:t>
                </a:r>
                <a:r>
                  <a:rPr lang="tr-TR" sz="1050" baseline="0"/>
                  <a:t> (A)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022174289324342E-2"/>
              <c:y val="0.370283048492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9969516499958"/>
          <c:y val="0.17484163705168079"/>
          <c:w val="0.14906650437988242"/>
          <c:h val="4.2211867673356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cap="none" baseline="0">
                <a:solidFill>
                  <a:srgbClr val="0070C0"/>
                </a:solidFill>
                <a:latin typeface="+mn-lt"/>
                <a:ea typeface="+mn-ea"/>
                <a:cs typeface="+mn-cs"/>
              </a:rPr>
              <a:t>Vth </a:t>
            </a:r>
            <a:r>
              <a:rPr lang="tr-TR" baseline="0">
                <a:solidFill>
                  <a:srgbClr val="0070C0"/>
                </a:solidFill>
              </a:rPr>
              <a:t>with single dielectric (</a:t>
            </a:r>
            <a:r>
              <a:rPr lang="tr-TR" sz="1400" b="1" i="0" u="none" strike="noStrike" cap="none" baseline="0">
                <a:solidFill>
                  <a:srgbClr val="0070C0"/>
                </a:solidFill>
                <a:effectLst/>
                <a:sym typeface="Symbol" panose="05050102010706020507" pitchFamily="18" charset="2"/>
              </a:rPr>
              <a:t> </a:t>
            </a:r>
            <a:r>
              <a:rPr lang="tr-TR" baseline="0">
                <a:solidFill>
                  <a:srgbClr val="0070C0"/>
                </a:solidFill>
              </a:rPr>
              <a:t>=3.9-80)</a:t>
            </a:r>
            <a:r>
              <a:rPr lang="tr-TR" baseline="0"/>
              <a:t>  </a:t>
            </a:r>
          </a:p>
          <a:p>
            <a:pPr>
              <a:defRPr/>
            </a:pPr>
            <a:r>
              <a:rPr lang="tr-TR" baseline="0">
                <a:solidFill>
                  <a:schemeClr val="accent2"/>
                </a:solidFill>
              </a:rPr>
              <a:t>Vth with FGM (effective </a:t>
            </a:r>
            <a:r>
              <a:rPr lang="tr-TR" baseline="0">
                <a:solidFill>
                  <a:schemeClr val="accent2"/>
                </a:solidFill>
                <a:sym typeface="Symbol" panose="05050102010706020507" pitchFamily="18" charset="2"/>
              </a:rPr>
              <a:t> </a:t>
            </a:r>
            <a:r>
              <a:rPr lang="tr-TR" baseline="0">
                <a:solidFill>
                  <a:schemeClr val="accent2"/>
                </a:solidFill>
              </a:rPr>
              <a:t>= 3.9-80)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6893624836129973"/>
          <c:y val="1.7493312595854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269729512110631"/>
          <c:y val="0.14142737748398598"/>
          <c:w val="0.81678541668617222"/>
          <c:h val="0.708800493984386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FinFET_v96_Bulk_Added!$E$6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5509A02-A2D1-4D22-8304-6D5CD5C25B2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B15-48BA-8231-7AC9C4CDCD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2B19B17-9CFB-4490-9DF3-ADD56402123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B15-48BA-8231-7AC9C4CDCD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2E95B50-876B-477E-9870-4FEDF3ED091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B15-48BA-8231-7AC9C4CDCD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100185-9449-46D9-973D-285EEC60802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B15-48BA-8231-7AC9C4CDCD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B85A39-D5DC-4091-A84E-5B6DF4510ED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B15-48BA-8231-7AC9C4CDCD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7E7DF9D-F296-4C4F-B23A-CD9EE322AE0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B15-48BA-8231-7AC9C4CDCD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90464D9-A7B1-4006-884B-32D14624C25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B15-48BA-8231-7AC9C4CDCD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E00597C-2CD0-490A-9E08-265BFCFFE3A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B15-48BA-8231-7AC9C4CDCD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BA191B3-8911-43ED-BA7F-72FFBE0859A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B15-48BA-8231-7AC9C4CDCD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8DA069D-1D8A-48D6-8998-876834F47F0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B15-48BA-8231-7AC9C4CDCD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A0694E1-63FD-411F-B116-76516F00C24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B15-48BA-8231-7AC9C4CDCD7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13686DE-EE2E-41C5-BEB0-B9128EF4B18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B15-48BA-8231-7AC9C4CDCD7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C8EC5BB-F2CD-4397-868D-5FCB1DE10E3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B15-48BA-8231-7AC9C4CDCD7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246BD75-F731-478A-9F6A-3230AD4C202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B15-48BA-8231-7AC9C4CDCD7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367E05C-1DD2-451D-A680-481FDA58F24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828-4E4B-88FF-C6273D4D96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FinFET_v96_Bulk_Added!$K$5:$Y$5</c:f>
              <c:numCache>
                <c:formatCode>0.0</c:formatCode>
                <c:ptCount val="15"/>
                <c:pt idx="0" formatCode="General">
                  <c:v>3.9</c:v>
                </c:pt>
                <c:pt idx="1">
                  <c:v>13.633333333333333</c:v>
                </c:pt>
                <c:pt idx="2">
                  <c:v>19.316666666666666</c:v>
                </c:pt>
                <c:pt idx="3">
                  <c:v>21.483333333333334</c:v>
                </c:pt>
                <c:pt idx="4">
                  <c:v>22.833333333333332</c:v>
                </c:pt>
                <c:pt idx="5">
                  <c:v>32</c:v>
                </c:pt>
                <c:pt idx="6">
                  <c:v>31.966666666666669</c:v>
                </c:pt>
                <c:pt idx="7">
                  <c:v>36.300000000000004</c:v>
                </c:pt>
                <c:pt idx="8">
                  <c:v>39</c:v>
                </c:pt>
                <c:pt idx="9">
                  <c:v>41.949999999999996</c:v>
                </c:pt>
                <c:pt idx="10">
                  <c:v>43.300000000000004</c:v>
                </c:pt>
                <c:pt idx="11">
                  <c:v>52.5</c:v>
                </c:pt>
                <c:pt idx="12">
                  <c:v>59.5</c:v>
                </c:pt>
                <c:pt idx="13">
                  <c:v>70.833333333333329</c:v>
                </c:pt>
                <c:pt idx="14" formatCode="General">
                  <c:v>80</c:v>
                </c:pt>
              </c:numCache>
            </c:numRef>
          </c:xVal>
          <c:yVal>
            <c:numRef>
              <c:f>FinFET_v96_Bulk_Added!$K$6:$Y$6</c:f>
              <c:numCache>
                <c:formatCode>General</c:formatCode>
                <c:ptCount val="15"/>
                <c:pt idx="0">
                  <c:v>0.53180000000000005</c:v>
                </c:pt>
                <c:pt idx="1">
                  <c:v>0.70120000000000005</c:v>
                </c:pt>
                <c:pt idx="2">
                  <c:v>0.78169999999999995</c:v>
                </c:pt>
                <c:pt idx="3">
                  <c:v>0.80010000000000003</c:v>
                </c:pt>
                <c:pt idx="4">
                  <c:v>0.84470000000000001</c:v>
                </c:pt>
                <c:pt idx="5">
                  <c:v>0.85799999999999998</c:v>
                </c:pt>
                <c:pt idx="6">
                  <c:v>0.73119999999999996</c:v>
                </c:pt>
                <c:pt idx="7">
                  <c:v>0.76880000000000004</c:v>
                </c:pt>
                <c:pt idx="8">
                  <c:v>0.84970000000000001</c:v>
                </c:pt>
                <c:pt idx="9">
                  <c:v>0.72519999999999996</c:v>
                </c:pt>
                <c:pt idx="10">
                  <c:v>0.7631</c:v>
                </c:pt>
                <c:pt idx="11">
                  <c:v>0.90269999999999995</c:v>
                </c:pt>
                <c:pt idx="12">
                  <c:v>0.8952</c:v>
                </c:pt>
                <c:pt idx="13">
                  <c:v>0.92789999999999995</c:v>
                </c:pt>
                <c:pt idx="1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FinFET_v96_Bulk_Added!$K$22:$Y$22</c15:f>
                <c15:dlblRangeCache>
                  <c:ptCount val="15"/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CD</c:v>
                  </c:pt>
                  <c:pt idx="5">
                    <c:v>D</c:v>
                  </c:pt>
                  <c:pt idx="6">
                    <c:v>E</c:v>
                  </c:pt>
                  <c:pt idx="7">
                    <c:v>F</c:v>
                  </c:pt>
                  <c:pt idx="8">
                    <c:v>G</c:v>
                  </c:pt>
                  <c:pt idx="9">
                    <c:v>H</c:v>
                  </c:pt>
                  <c:pt idx="10">
                    <c:v>J</c:v>
                  </c:pt>
                  <c:pt idx="11">
                    <c:v>K</c:v>
                  </c:pt>
                  <c:pt idx="12">
                    <c:v>L</c:v>
                  </c:pt>
                  <c:pt idx="13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6B15-48BA-8231-7AC9C4CD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9808"/>
        <c:axId val="363195216"/>
      </c:scatterChart>
      <c:scatterChart>
        <c:scatterStyle val="smoothMarker"/>
        <c:varyColors val="0"/>
        <c:ser>
          <c:idx val="0"/>
          <c:order val="0"/>
          <c:tx>
            <c:strRef>
              <c:f>FinFET_v96_Bulk_Added!$E$6</c:f>
              <c:strCache>
                <c:ptCount val="1"/>
                <c:pt idx="0">
                  <c:v>Vth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6C8C8AE-6223-4CF2-B82F-DC76845BACA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B15-48BA-8231-7AC9C4CDCD71}"/>
                </c:ext>
              </c:extLst>
            </c:dLbl>
            <c:dLbl>
              <c:idx val="1"/>
              <c:layout>
                <c:manualLayout>
                  <c:x val="-3.4172748788105195E-2"/>
                  <c:y val="-9.3832927312318751E-2"/>
                </c:manualLayout>
              </c:layout>
              <c:tx>
                <c:rich>
                  <a:bodyPr/>
                  <a:lstStyle/>
                  <a:p>
                    <a:fld id="{C59FA61C-6295-4DD2-96E1-CBF0157B5C88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B15-48BA-8231-7AC9C4CDCD71}"/>
                </c:ext>
              </c:extLst>
            </c:dLbl>
            <c:dLbl>
              <c:idx val="2"/>
              <c:layout>
                <c:manualLayout>
                  <c:x val="-1.0935279612193654E-2"/>
                  <c:y val="-6.5161755077999137E-2"/>
                </c:manualLayout>
              </c:layout>
              <c:tx>
                <c:rich>
                  <a:bodyPr/>
                  <a:lstStyle/>
                  <a:p>
                    <a:fld id="{B61B935C-8DC5-4572-8866-D25824B3991A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B15-48BA-8231-7AC9C4CDCD71}"/>
                </c:ext>
              </c:extLst>
            </c:dLbl>
            <c:dLbl>
              <c:idx val="3"/>
              <c:layout>
                <c:manualLayout>
                  <c:x val="5.4504279819822081E-3"/>
                  <c:y val="-6.9042174690502042E-2"/>
                </c:manualLayout>
              </c:layout>
              <c:tx>
                <c:rich>
                  <a:bodyPr/>
                  <a:lstStyle/>
                  <a:p>
                    <a:fld id="{0C5E26C9-3ED7-48A0-8C4D-1F81301A4AF1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B15-48BA-8231-7AC9C4CDCD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71523F4-DAC5-4666-845C-0EE625C0047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B15-48BA-8231-7AC9C4CDCD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FinFET_v96_Bulk_Added!$F$5:$J$5</c:f>
              <c:numCache>
                <c:formatCode>General</c:formatCode>
                <c:ptCount val="5"/>
                <c:pt idx="0">
                  <c:v>3.9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80</c:v>
                </c:pt>
              </c:numCache>
            </c:numRef>
          </c:xVal>
          <c:yVal>
            <c:numRef>
              <c:f>FinFET_v96_Bulk_Added!$F$6:$J$6</c:f>
              <c:numCache>
                <c:formatCode>General</c:formatCode>
                <c:ptCount val="5"/>
                <c:pt idx="0">
                  <c:v>0.53180000000000005</c:v>
                </c:pt>
                <c:pt idx="1">
                  <c:v>0.75160000000000005</c:v>
                </c:pt>
                <c:pt idx="2">
                  <c:v>0.86729999999999996</c:v>
                </c:pt>
                <c:pt idx="3">
                  <c:v>0.88529999999999998</c:v>
                </c:pt>
                <c:pt idx="4">
                  <c:v>0.94210000000000005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FinFET_v96_Bulk_Added!$F$22:$J$22</c15:f>
                <c15:dlblRangeCache>
                  <c:ptCount val="5"/>
                  <c:pt idx="0">
                    <c:v>SiO2</c:v>
                  </c:pt>
                  <c:pt idx="1">
                    <c:v>Al2O3</c:v>
                  </c:pt>
                  <c:pt idx="2">
                    <c:v>HfO2</c:v>
                  </c:pt>
                  <c:pt idx="3">
                    <c:v>La2O3</c:v>
                  </c:pt>
                  <c:pt idx="4">
                    <c:v>TiO2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6B15-48BA-8231-7AC9C4CD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2256"/>
        <c:axId val="578781600"/>
      </c:scatterChart>
      <c:valAx>
        <c:axId val="363199808"/>
        <c:scaling>
          <c:orientation val="minMax"/>
          <c:max val="80"/>
          <c:min val="3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u="none" strike="noStrike" baseline="0">
                    <a:effectLst/>
                  </a:rPr>
                  <a:t>Equivalent </a:t>
                </a:r>
                <a:r>
                  <a:rPr lang="tr-TR" sz="1800" b="1" i="0" u="none" strike="noStrike" baseline="0">
                    <a:effectLst/>
                    <a:sym typeface="Symbol" panose="05050102010706020507" pitchFamily="18" charset="2"/>
                  </a:rPr>
                  <a:t>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326315713406811"/>
              <c:y val="0.898235556407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5216"/>
        <c:crosses val="autoZero"/>
        <c:crossBetween val="midCat"/>
        <c:minorUnit val="1"/>
      </c:valAx>
      <c:valAx>
        <c:axId val="363195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50"/>
                  <a:t>Vth</a:t>
                </a:r>
                <a:r>
                  <a:rPr lang="tr-TR" sz="1050" baseline="0"/>
                  <a:t> (V)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339811876596228E-2"/>
              <c:y val="0.4549831810840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3199808"/>
        <c:crosses val="autoZero"/>
        <c:crossBetween val="midCat"/>
      </c:valAx>
      <c:valAx>
        <c:axId val="57878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78782256"/>
        <c:crosses val="max"/>
        <c:crossBetween val="midCat"/>
      </c:valAx>
      <c:valAx>
        <c:axId val="57878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016474591019532"/>
          <c:y val="0.38804614456442049"/>
          <c:w val="0.13994082862353663"/>
          <c:h val="4.217167374204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7.xml"/><Relationship Id="rId13" Type="http://schemas.openxmlformats.org/officeDocument/2006/relationships/chart" Target="../charts/chart122.xml"/><Relationship Id="rId3" Type="http://schemas.openxmlformats.org/officeDocument/2006/relationships/chart" Target="../charts/chart112.xml"/><Relationship Id="rId7" Type="http://schemas.openxmlformats.org/officeDocument/2006/relationships/chart" Target="../charts/chart116.xml"/><Relationship Id="rId12" Type="http://schemas.openxmlformats.org/officeDocument/2006/relationships/chart" Target="../charts/chart121.xml"/><Relationship Id="rId2" Type="http://schemas.openxmlformats.org/officeDocument/2006/relationships/chart" Target="../charts/chart111.xml"/><Relationship Id="rId16" Type="http://schemas.openxmlformats.org/officeDocument/2006/relationships/image" Target="../media/image1.png"/><Relationship Id="rId1" Type="http://schemas.openxmlformats.org/officeDocument/2006/relationships/chart" Target="../charts/chart110.xml"/><Relationship Id="rId6" Type="http://schemas.openxmlformats.org/officeDocument/2006/relationships/chart" Target="../charts/chart115.xml"/><Relationship Id="rId11" Type="http://schemas.openxmlformats.org/officeDocument/2006/relationships/chart" Target="../charts/chart120.xml"/><Relationship Id="rId5" Type="http://schemas.openxmlformats.org/officeDocument/2006/relationships/chart" Target="../charts/chart114.xml"/><Relationship Id="rId15" Type="http://schemas.openxmlformats.org/officeDocument/2006/relationships/chart" Target="../charts/chart124.xml"/><Relationship Id="rId10" Type="http://schemas.openxmlformats.org/officeDocument/2006/relationships/chart" Target="../charts/chart119.xml"/><Relationship Id="rId4" Type="http://schemas.openxmlformats.org/officeDocument/2006/relationships/chart" Target="../charts/chart113.xml"/><Relationship Id="rId9" Type="http://schemas.openxmlformats.org/officeDocument/2006/relationships/chart" Target="../charts/chart118.xml"/><Relationship Id="rId14" Type="http://schemas.openxmlformats.org/officeDocument/2006/relationships/chart" Target="../charts/chart123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2.xml"/><Relationship Id="rId13" Type="http://schemas.openxmlformats.org/officeDocument/2006/relationships/chart" Target="../charts/chart137.xml"/><Relationship Id="rId3" Type="http://schemas.openxmlformats.org/officeDocument/2006/relationships/chart" Target="../charts/chart127.xml"/><Relationship Id="rId7" Type="http://schemas.openxmlformats.org/officeDocument/2006/relationships/chart" Target="../charts/chart131.xml"/><Relationship Id="rId12" Type="http://schemas.openxmlformats.org/officeDocument/2006/relationships/chart" Target="../charts/chart136.xml"/><Relationship Id="rId2" Type="http://schemas.openxmlformats.org/officeDocument/2006/relationships/chart" Target="../charts/chart126.xml"/><Relationship Id="rId16" Type="http://schemas.openxmlformats.org/officeDocument/2006/relationships/image" Target="../media/image1.png"/><Relationship Id="rId1" Type="http://schemas.openxmlformats.org/officeDocument/2006/relationships/chart" Target="../charts/chart125.xml"/><Relationship Id="rId6" Type="http://schemas.openxmlformats.org/officeDocument/2006/relationships/chart" Target="../charts/chart130.xml"/><Relationship Id="rId11" Type="http://schemas.openxmlformats.org/officeDocument/2006/relationships/chart" Target="../charts/chart135.xml"/><Relationship Id="rId5" Type="http://schemas.openxmlformats.org/officeDocument/2006/relationships/chart" Target="../charts/chart129.xml"/><Relationship Id="rId15" Type="http://schemas.openxmlformats.org/officeDocument/2006/relationships/chart" Target="../charts/chart139.xml"/><Relationship Id="rId10" Type="http://schemas.openxmlformats.org/officeDocument/2006/relationships/chart" Target="../charts/chart134.xml"/><Relationship Id="rId4" Type="http://schemas.openxmlformats.org/officeDocument/2006/relationships/chart" Target="../charts/chart128.xml"/><Relationship Id="rId9" Type="http://schemas.openxmlformats.org/officeDocument/2006/relationships/chart" Target="../charts/chart133.xml"/><Relationship Id="rId14" Type="http://schemas.openxmlformats.org/officeDocument/2006/relationships/chart" Target="../charts/chart138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7.xml"/><Relationship Id="rId13" Type="http://schemas.openxmlformats.org/officeDocument/2006/relationships/chart" Target="../charts/chart152.xml"/><Relationship Id="rId3" Type="http://schemas.openxmlformats.org/officeDocument/2006/relationships/chart" Target="../charts/chart142.xml"/><Relationship Id="rId7" Type="http://schemas.openxmlformats.org/officeDocument/2006/relationships/chart" Target="../charts/chart146.xml"/><Relationship Id="rId12" Type="http://schemas.openxmlformats.org/officeDocument/2006/relationships/chart" Target="../charts/chart151.xml"/><Relationship Id="rId2" Type="http://schemas.openxmlformats.org/officeDocument/2006/relationships/chart" Target="../charts/chart141.xml"/><Relationship Id="rId16" Type="http://schemas.openxmlformats.org/officeDocument/2006/relationships/image" Target="../media/image1.png"/><Relationship Id="rId1" Type="http://schemas.openxmlformats.org/officeDocument/2006/relationships/chart" Target="../charts/chart140.xml"/><Relationship Id="rId6" Type="http://schemas.openxmlformats.org/officeDocument/2006/relationships/chart" Target="../charts/chart145.xml"/><Relationship Id="rId11" Type="http://schemas.openxmlformats.org/officeDocument/2006/relationships/chart" Target="../charts/chart150.xml"/><Relationship Id="rId5" Type="http://schemas.openxmlformats.org/officeDocument/2006/relationships/chart" Target="../charts/chart144.xml"/><Relationship Id="rId15" Type="http://schemas.openxmlformats.org/officeDocument/2006/relationships/chart" Target="../charts/chart154.xml"/><Relationship Id="rId10" Type="http://schemas.openxmlformats.org/officeDocument/2006/relationships/chart" Target="../charts/chart149.xml"/><Relationship Id="rId4" Type="http://schemas.openxmlformats.org/officeDocument/2006/relationships/chart" Target="../charts/chart143.xml"/><Relationship Id="rId9" Type="http://schemas.openxmlformats.org/officeDocument/2006/relationships/chart" Target="../charts/chart148.xml"/><Relationship Id="rId14" Type="http://schemas.openxmlformats.org/officeDocument/2006/relationships/chart" Target="../charts/chart153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2.xml"/><Relationship Id="rId13" Type="http://schemas.openxmlformats.org/officeDocument/2006/relationships/chart" Target="../charts/chart167.xml"/><Relationship Id="rId3" Type="http://schemas.openxmlformats.org/officeDocument/2006/relationships/chart" Target="../charts/chart157.xml"/><Relationship Id="rId7" Type="http://schemas.openxmlformats.org/officeDocument/2006/relationships/chart" Target="../charts/chart161.xml"/><Relationship Id="rId12" Type="http://schemas.openxmlformats.org/officeDocument/2006/relationships/chart" Target="../charts/chart166.xml"/><Relationship Id="rId17" Type="http://schemas.openxmlformats.org/officeDocument/2006/relationships/chart" Target="../charts/chart170.xml"/><Relationship Id="rId2" Type="http://schemas.openxmlformats.org/officeDocument/2006/relationships/chart" Target="../charts/chart156.xml"/><Relationship Id="rId16" Type="http://schemas.openxmlformats.org/officeDocument/2006/relationships/image" Target="../media/image1.png"/><Relationship Id="rId1" Type="http://schemas.openxmlformats.org/officeDocument/2006/relationships/chart" Target="../charts/chart155.xml"/><Relationship Id="rId6" Type="http://schemas.openxmlformats.org/officeDocument/2006/relationships/chart" Target="../charts/chart160.xml"/><Relationship Id="rId11" Type="http://schemas.openxmlformats.org/officeDocument/2006/relationships/chart" Target="../charts/chart165.xml"/><Relationship Id="rId5" Type="http://schemas.openxmlformats.org/officeDocument/2006/relationships/chart" Target="../charts/chart159.xml"/><Relationship Id="rId15" Type="http://schemas.openxmlformats.org/officeDocument/2006/relationships/chart" Target="../charts/chart169.xml"/><Relationship Id="rId10" Type="http://schemas.openxmlformats.org/officeDocument/2006/relationships/chart" Target="../charts/chart164.xml"/><Relationship Id="rId4" Type="http://schemas.openxmlformats.org/officeDocument/2006/relationships/chart" Target="../charts/chart158.xml"/><Relationship Id="rId9" Type="http://schemas.openxmlformats.org/officeDocument/2006/relationships/chart" Target="../charts/chart163.xml"/><Relationship Id="rId14" Type="http://schemas.openxmlformats.org/officeDocument/2006/relationships/chart" Target="../charts/chart168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8.xml"/><Relationship Id="rId13" Type="http://schemas.openxmlformats.org/officeDocument/2006/relationships/chart" Target="../charts/chart183.xml"/><Relationship Id="rId3" Type="http://schemas.openxmlformats.org/officeDocument/2006/relationships/chart" Target="../charts/chart173.xml"/><Relationship Id="rId7" Type="http://schemas.openxmlformats.org/officeDocument/2006/relationships/chart" Target="../charts/chart177.xml"/><Relationship Id="rId12" Type="http://schemas.openxmlformats.org/officeDocument/2006/relationships/chart" Target="../charts/chart182.xml"/><Relationship Id="rId17" Type="http://schemas.openxmlformats.org/officeDocument/2006/relationships/chart" Target="../charts/chart186.xml"/><Relationship Id="rId2" Type="http://schemas.openxmlformats.org/officeDocument/2006/relationships/chart" Target="../charts/chart172.xml"/><Relationship Id="rId16" Type="http://schemas.openxmlformats.org/officeDocument/2006/relationships/image" Target="../media/image1.png"/><Relationship Id="rId1" Type="http://schemas.openxmlformats.org/officeDocument/2006/relationships/chart" Target="../charts/chart171.xml"/><Relationship Id="rId6" Type="http://schemas.openxmlformats.org/officeDocument/2006/relationships/chart" Target="../charts/chart176.xml"/><Relationship Id="rId11" Type="http://schemas.openxmlformats.org/officeDocument/2006/relationships/chart" Target="../charts/chart181.xml"/><Relationship Id="rId5" Type="http://schemas.openxmlformats.org/officeDocument/2006/relationships/chart" Target="../charts/chart175.xml"/><Relationship Id="rId15" Type="http://schemas.openxmlformats.org/officeDocument/2006/relationships/chart" Target="../charts/chart185.xml"/><Relationship Id="rId10" Type="http://schemas.openxmlformats.org/officeDocument/2006/relationships/chart" Target="../charts/chart180.xml"/><Relationship Id="rId4" Type="http://schemas.openxmlformats.org/officeDocument/2006/relationships/chart" Target="../charts/chart174.xml"/><Relationship Id="rId9" Type="http://schemas.openxmlformats.org/officeDocument/2006/relationships/chart" Target="../charts/chart179.xml"/><Relationship Id="rId14" Type="http://schemas.openxmlformats.org/officeDocument/2006/relationships/chart" Target="../charts/chart18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7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chart" Target="../charts/chart188.xml"/><Relationship Id="rId4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4.xml"/><Relationship Id="rId13" Type="http://schemas.openxmlformats.org/officeDocument/2006/relationships/chart" Target="../charts/chart209.xml"/><Relationship Id="rId18" Type="http://schemas.openxmlformats.org/officeDocument/2006/relationships/image" Target="../media/image10.png"/><Relationship Id="rId3" Type="http://schemas.openxmlformats.org/officeDocument/2006/relationships/chart" Target="../charts/chart199.xml"/><Relationship Id="rId7" Type="http://schemas.openxmlformats.org/officeDocument/2006/relationships/chart" Target="../charts/chart203.xml"/><Relationship Id="rId12" Type="http://schemas.openxmlformats.org/officeDocument/2006/relationships/chart" Target="../charts/chart208.xml"/><Relationship Id="rId17" Type="http://schemas.openxmlformats.org/officeDocument/2006/relationships/chart" Target="../charts/chart212.xml"/><Relationship Id="rId2" Type="http://schemas.openxmlformats.org/officeDocument/2006/relationships/chart" Target="../charts/chart198.xml"/><Relationship Id="rId16" Type="http://schemas.openxmlformats.org/officeDocument/2006/relationships/image" Target="../media/image1.png"/><Relationship Id="rId1" Type="http://schemas.openxmlformats.org/officeDocument/2006/relationships/chart" Target="../charts/chart197.xml"/><Relationship Id="rId6" Type="http://schemas.openxmlformats.org/officeDocument/2006/relationships/chart" Target="../charts/chart202.xml"/><Relationship Id="rId11" Type="http://schemas.openxmlformats.org/officeDocument/2006/relationships/chart" Target="../charts/chart207.xml"/><Relationship Id="rId5" Type="http://schemas.openxmlformats.org/officeDocument/2006/relationships/chart" Target="../charts/chart201.xml"/><Relationship Id="rId15" Type="http://schemas.openxmlformats.org/officeDocument/2006/relationships/chart" Target="../charts/chart211.xml"/><Relationship Id="rId10" Type="http://schemas.openxmlformats.org/officeDocument/2006/relationships/chart" Target="../charts/chart206.xml"/><Relationship Id="rId4" Type="http://schemas.openxmlformats.org/officeDocument/2006/relationships/chart" Target="../charts/chart200.xml"/><Relationship Id="rId9" Type="http://schemas.openxmlformats.org/officeDocument/2006/relationships/chart" Target="../charts/chart205.xml"/><Relationship Id="rId14" Type="http://schemas.openxmlformats.org/officeDocument/2006/relationships/chart" Target="../charts/chart2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18" Type="http://schemas.openxmlformats.org/officeDocument/2006/relationships/chart" Target="../charts/chart67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17" Type="http://schemas.openxmlformats.org/officeDocument/2006/relationships/chart" Target="../charts/chart66.xml"/><Relationship Id="rId2" Type="http://schemas.openxmlformats.org/officeDocument/2006/relationships/chart" Target="../charts/chart51.xml"/><Relationship Id="rId16" Type="http://schemas.openxmlformats.org/officeDocument/2006/relationships/chart" Target="../charts/chart65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5" Type="http://schemas.openxmlformats.org/officeDocument/2006/relationships/chart" Target="../charts/chart6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13" Type="http://schemas.openxmlformats.org/officeDocument/2006/relationships/chart" Target="../charts/chart94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12" Type="http://schemas.openxmlformats.org/officeDocument/2006/relationships/chart" Target="../charts/chart93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11" Type="http://schemas.openxmlformats.org/officeDocument/2006/relationships/chart" Target="../charts/chart92.xml"/><Relationship Id="rId5" Type="http://schemas.openxmlformats.org/officeDocument/2006/relationships/chart" Target="../charts/chart86.xml"/><Relationship Id="rId10" Type="http://schemas.openxmlformats.org/officeDocument/2006/relationships/chart" Target="../charts/chart91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Relationship Id="rId14" Type="http://schemas.openxmlformats.org/officeDocument/2006/relationships/chart" Target="../charts/chart9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13" Type="http://schemas.openxmlformats.org/officeDocument/2006/relationships/chart" Target="../charts/chart108.xml"/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12" Type="http://schemas.openxmlformats.org/officeDocument/2006/relationships/chart" Target="../charts/chart107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11" Type="http://schemas.openxmlformats.org/officeDocument/2006/relationships/chart" Target="../charts/chart106.xml"/><Relationship Id="rId5" Type="http://schemas.openxmlformats.org/officeDocument/2006/relationships/chart" Target="../charts/chart100.xml"/><Relationship Id="rId10" Type="http://schemas.openxmlformats.org/officeDocument/2006/relationships/chart" Target="../charts/chart105.xml"/><Relationship Id="rId4" Type="http://schemas.openxmlformats.org/officeDocument/2006/relationships/chart" Target="../charts/chart99.xml"/><Relationship Id="rId9" Type="http://schemas.openxmlformats.org/officeDocument/2006/relationships/chart" Target="../charts/chart104.xml"/><Relationship Id="rId14" Type="http://schemas.openxmlformats.org/officeDocument/2006/relationships/chart" Target="../charts/chart10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206188</xdr:colOff>
      <xdr:row>7</xdr:row>
      <xdr:rowOff>174812</xdr:rowOff>
    </xdr:from>
    <xdr:to>
      <xdr:col>6</xdr:col>
      <xdr:colOff>421341</xdr:colOff>
      <xdr:row>23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314405</xdr:colOff>
      <xdr:row>8</xdr:row>
      <xdr:rowOff>19849</xdr:rowOff>
    </xdr:from>
    <xdr:to>
      <xdr:col>21</xdr:col>
      <xdr:colOff>9605</xdr:colOff>
      <xdr:row>23</xdr:row>
      <xdr:rowOff>79401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420701</xdr:colOff>
      <xdr:row>7</xdr:row>
      <xdr:rowOff>181856</xdr:rowOff>
    </xdr:from>
    <xdr:to>
      <xdr:col>13</xdr:col>
      <xdr:colOff>286231</xdr:colOff>
      <xdr:row>23</xdr:row>
      <xdr:rowOff>50587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184416</xdr:colOff>
      <xdr:row>23</xdr:row>
      <xdr:rowOff>94130</xdr:rowOff>
    </xdr:from>
    <xdr:to>
      <xdr:col>6</xdr:col>
      <xdr:colOff>399569</xdr:colOff>
      <xdr:row>38</xdr:row>
      <xdr:rowOff>147917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435429</xdr:colOff>
      <xdr:row>23</xdr:row>
      <xdr:rowOff>97972</xdr:rowOff>
    </xdr:from>
    <xdr:to>
      <xdr:col>13</xdr:col>
      <xdr:colOff>300959</xdr:colOff>
      <xdr:row>38</xdr:row>
      <xdr:rowOff>151759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326571</xdr:colOff>
      <xdr:row>23</xdr:row>
      <xdr:rowOff>76201</xdr:rowOff>
    </xdr:from>
    <xdr:to>
      <xdr:col>21</xdr:col>
      <xdr:colOff>19210</xdr:colOff>
      <xdr:row>38</xdr:row>
      <xdr:rowOff>129988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544761</xdr:colOff>
      <xdr:row>112</xdr:row>
      <xdr:rowOff>89287</xdr:rowOff>
    </xdr:from>
    <xdr:to>
      <xdr:col>18</xdr:col>
      <xdr:colOff>423597</xdr:colOff>
      <xdr:row>148</xdr:row>
      <xdr:rowOff>145373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40105</xdr:colOff>
      <xdr:row>112</xdr:row>
      <xdr:rowOff>80210</xdr:rowOff>
    </xdr:from>
    <xdr:to>
      <xdr:col>29</xdr:col>
      <xdr:colOff>213252</xdr:colOff>
      <xdr:row>148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512172</xdr:colOff>
      <xdr:row>223</xdr:row>
      <xdr:rowOff>87492</xdr:rowOff>
    </xdr:from>
    <xdr:to>
      <xdr:col>18</xdr:col>
      <xdr:colOff>326573</xdr:colOff>
      <xdr:row>258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478075</xdr:colOff>
      <xdr:row>295</xdr:row>
      <xdr:rowOff>10230</xdr:rowOff>
    </xdr:from>
    <xdr:to>
      <xdr:col>18</xdr:col>
      <xdr:colOff>353122</xdr:colOff>
      <xdr:row>330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114885</xdr:colOff>
      <xdr:row>170</xdr:row>
      <xdr:rowOff>44582</xdr:rowOff>
    </xdr:from>
    <xdr:to>
      <xdr:col>34</xdr:col>
      <xdr:colOff>201724</xdr:colOff>
      <xdr:row>202</xdr:row>
      <xdr:rowOff>93531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545630</xdr:colOff>
      <xdr:row>149</xdr:row>
      <xdr:rowOff>66125</xdr:rowOff>
    </xdr:from>
    <xdr:to>
      <xdr:col>18</xdr:col>
      <xdr:colOff>376295</xdr:colOff>
      <xdr:row>186</xdr:row>
      <xdr:rowOff>131703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47409</xdr:colOff>
      <xdr:row>62</xdr:row>
      <xdr:rowOff>39951</xdr:rowOff>
    </xdr:from>
    <xdr:to>
      <xdr:col>55</xdr:col>
      <xdr:colOff>163965</xdr:colOff>
      <xdr:row>94</xdr:row>
      <xdr:rowOff>90782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185170</xdr:colOff>
      <xdr:row>62</xdr:row>
      <xdr:rowOff>27445</xdr:rowOff>
    </xdr:from>
    <xdr:to>
      <xdr:col>66</xdr:col>
      <xdr:colOff>589671</xdr:colOff>
      <xdr:row>94</xdr:row>
      <xdr:rowOff>73855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594313</xdr:colOff>
      <xdr:row>62</xdr:row>
      <xdr:rowOff>30480</xdr:rowOff>
    </xdr:from>
    <xdr:to>
      <xdr:col>79</xdr:col>
      <xdr:colOff>453683</xdr:colOff>
      <xdr:row>94</xdr:row>
      <xdr:rowOff>89095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142694</xdr:colOff>
      <xdr:row>94</xdr:row>
      <xdr:rowOff>94423</xdr:rowOff>
    </xdr:from>
    <xdr:to>
      <xdr:col>66</xdr:col>
      <xdr:colOff>576775</xdr:colOff>
      <xdr:row>120</xdr:row>
      <xdr:rowOff>38307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45720</xdr:colOff>
      <xdr:row>94</xdr:row>
      <xdr:rowOff>72909</xdr:rowOff>
    </xdr:from>
    <xdr:to>
      <xdr:col>55</xdr:col>
      <xdr:colOff>137160</xdr:colOff>
      <xdr:row>120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0</xdr:colOff>
      <xdr:row>94</xdr:row>
      <xdr:rowOff>91440</xdr:rowOff>
    </xdr:from>
    <xdr:to>
      <xdr:col>79</xdr:col>
      <xdr:colOff>457200</xdr:colOff>
      <xdr:row>120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187</xdr:row>
      <xdr:rowOff>73046</xdr:rowOff>
    </xdr:from>
    <xdr:to>
      <xdr:col>18</xdr:col>
      <xdr:colOff>376297</xdr:colOff>
      <xdr:row>222</xdr:row>
      <xdr:rowOff>91431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494783</xdr:colOff>
      <xdr:row>183</xdr:row>
      <xdr:rowOff>14653</xdr:rowOff>
    </xdr:from>
    <xdr:to>
      <xdr:col>38</xdr:col>
      <xdr:colOff>562018</xdr:colOff>
      <xdr:row>218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477424</xdr:colOff>
      <xdr:row>259</xdr:row>
      <xdr:rowOff>82315</xdr:rowOff>
    </xdr:from>
    <xdr:to>
      <xdr:col>18</xdr:col>
      <xdr:colOff>338667</xdr:colOff>
      <xdr:row>294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440487</xdr:colOff>
      <xdr:row>9</xdr:row>
      <xdr:rowOff>181473</xdr:rowOff>
    </xdr:from>
    <xdr:to>
      <xdr:col>5</xdr:col>
      <xdr:colOff>783565</xdr:colOff>
      <xdr:row>11</xdr:row>
      <xdr:rowOff>1952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5906" y="4930682"/>
          <a:ext cx="343078" cy="192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544761</xdr:colOff>
      <xdr:row>113</xdr:row>
      <xdr:rowOff>89287</xdr:rowOff>
    </xdr:from>
    <xdr:to>
      <xdr:col>18</xdr:col>
      <xdr:colOff>423597</xdr:colOff>
      <xdr:row>149</xdr:row>
      <xdr:rowOff>145373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40105</xdr:colOff>
      <xdr:row>113</xdr:row>
      <xdr:rowOff>80210</xdr:rowOff>
    </xdr:from>
    <xdr:to>
      <xdr:col>29</xdr:col>
      <xdr:colOff>213252</xdr:colOff>
      <xdr:row>149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512172</xdr:colOff>
      <xdr:row>224</xdr:row>
      <xdr:rowOff>87492</xdr:rowOff>
    </xdr:from>
    <xdr:to>
      <xdr:col>18</xdr:col>
      <xdr:colOff>326573</xdr:colOff>
      <xdr:row>259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478075</xdr:colOff>
      <xdr:row>296</xdr:row>
      <xdr:rowOff>10230</xdr:rowOff>
    </xdr:from>
    <xdr:to>
      <xdr:col>18</xdr:col>
      <xdr:colOff>353122</xdr:colOff>
      <xdr:row>331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114885</xdr:colOff>
      <xdr:row>171</xdr:row>
      <xdr:rowOff>44582</xdr:rowOff>
    </xdr:from>
    <xdr:to>
      <xdr:col>34</xdr:col>
      <xdr:colOff>201724</xdr:colOff>
      <xdr:row>203</xdr:row>
      <xdr:rowOff>93531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545630</xdr:colOff>
      <xdr:row>150</xdr:row>
      <xdr:rowOff>66125</xdr:rowOff>
    </xdr:from>
    <xdr:to>
      <xdr:col>18</xdr:col>
      <xdr:colOff>376295</xdr:colOff>
      <xdr:row>187</xdr:row>
      <xdr:rowOff>131703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47409</xdr:colOff>
      <xdr:row>63</xdr:row>
      <xdr:rowOff>39951</xdr:rowOff>
    </xdr:from>
    <xdr:to>
      <xdr:col>55</xdr:col>
      <xdr:colOff>163965</xdr:colOff>
      <xdr:row>95</xdr:row>
      <xdr:rowOff>90782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185170</xdr:colOff>
      <xdr:row>63</xdr:row>
      <xdr:rowOff>27445</xdr:rowOff>
    </xdr:from>
    <xdr:to>
      <xdr:col>66</xdr:col>
      <xdr:colOff>589671</xdr:colOff>
      <xdr:row>95</xdr:row>
      <xdr:rowOff>73855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594313</xdr:colOff>
      <xdr:row>63</xdr:row>
      <xdr:rowOff>30480</xdr:rowOff>
    </xdr:from>
    <xdr:to>
      <xdr:col>79</xdr:col>
      <xdr:colOff>453683</xdr:colOff>
      <xdr:row>95</xdr:row>
      <xdr:rowOff>89095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142694</xdr:colOff>
      <xdr:row>95</xdr:row>
      <xdr:rowOff>94423</xdr:rowOff>
    </xdr:from>
    <xdr:to>
      <xdr:col>66</xdr:col>
      <xdr:colOff>576775</xdr:colOff>
      <xdr:row>121</xdr:row>
      <xdr:rowOff>38307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45720</xdr:colOff>
      <xdr:row>95</xdr:row>
      <xdr:rowOff>72909</xdr:rowOff>
    </xdr:from>
    <xdr:to>
      <xdr:col>55</xdr:col>
      <xdr:colOff>137160</xdr:colOff>
      <xdr:row>121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0</xdr:colOff>
      <xdr:row>95</xdr:row>
      <xdr:rowOff>91440</xdr:rowOff>
    </xdr:from>
    <xdr:to>
      <xdr:col>79</xdr:col>
      <xdr:colOff>457200</xdr:colOff>
      <xdr:row>121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188</xdr:row>
      <xdr:rowOff>73046</xdr:rowOff>
    </xdr:from>
    <xdr:to>
      <xdr:col>18</xdr:col>
      <xdr:colOff>376297</xdr:colOff>
      <xdr:row>223</xdr:row>
      <xdr:rowOff>91431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494783</xdr:colOff>
      <xdr:row>184</xdr:row>
      <xdr:rowOff>14653</xdr:rowOff>
    </xdr:from>
    <xdr:to>
      <xdr:col>38</xdr:col>
      <xdr:colOff>562018</xdr:colOff>
      <xdr:row>219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477424</xdr:colOff>
      <xdr:row>260</xdr:row>
      <xdr:rowOff>82315</xdr:rowOff>
    </xdr:from>
    <xdr:to>
      <xdr:col>18</xdr:col>
      <xdr:colOff>338667</xdr:colOff>
      <xdr:row>295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440487</xdr:colOff>
      <xdr:row>9</xdr:row>
      <xdr:rowOff>181473</xdr:rowOff>
    </xdr:from>
    <xdr:to>
      <xdr:col>5</xdr:col>
      <xdr:colOff>783565</xdr:colOff>
      <xdr:row>11</xdr:row>
      <xdr:rowOff>1952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4387" y="4913493"/>
          <a:ext cx="343078" cy="186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544761</xdr:colOff>
      <xdr:row>114</xdr:row>
      <xdr:rowOff>89287</xdr:rowOff>
    </xdr:from>
    <xdr:to>
      <xdr:col>19</xdr:col>
      <xdr:colOff>0</xdr:colOff>
      <xdr:row>150</xdr:row>
      <xdr:rowOff>145373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138547</xdr:colOff>
      <xdr:row>260</xdr:row>
      <xdr:rowOff>68664</xdr:rowOff>
    </xdr:from>
    <xdr:to>
      <xdr:col>29</xdr:col>
      <xdr:colOff>351799</xdr:colOff>
      <xdr:row>297</xdr:row>
      <xdr:rowOff>23089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512172</xdr:colOff>
      <xdr:row>225</xdr:row>
      <xdr:rowOff>87492</xdr:rowOff>
    </xdr:from>
    <xdr:to>
      <xdr:col>19</xdr:col>
      <xdr:colOff>0</xdr:colOff>
      <xdr:row>260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478075</xdr:colOff>
      <xdr:row>297</xdr:row>
      <xdr:rowOff>10230</xdr:rowOff>
    </xdr:from>
    <xdr:to>
      <xdr:col>19</xdr:col>
      <xdr:colOff>0</xdr:colOff>
      <xdr:row>332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114885</xdr:colOff>
      <xdr:row>172</xdr:row>
      <xdr:rowOff>44582</xdr:rowOff>
    </xdr:from>
    <xdr:to>
      <xdr:col>34</xdr:col>
      <xdr:colOff>201724</xdr:colOff>
      <xdr:row>204</xdr:row>
      <xdr:rowOff>93531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545630</xdr:colOff>
      <xdr:row>151</xdr:row>
      <xdr:rowOff>66125</xdr:rowOff>
    </xdr:from>
    <xdr:to>
      <xdr:col>19</xdr:col>
      <xdr:colOff>0</xdr:colOff>
      <xdr:row>188</xdr:row>
      <xdr:rowOff>131703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47409</xdr:colOff>
      <xdr:row>64</xdr:row>
      <xdr:rowOff>39951</xdr:rowOff>
    </xdr:from>
    <xdr:to>
      <xdr:col>55</xdr:col>
      <xdr:colOff>163965</xdr:colOff>
      <xdr:row>96</xdr:row>
      <xdr:rowOff>90782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185170</xdr:colOff>
      <xdr:row>64</xdr:row>
      <xdr:rowOff>27445</xdr:rowOff>
    </xdr:from>
    <xdr:to>
      <xdr:col>66</xdr:col>
      <xdr:colOff>589671</xdr:colOff>
      <xdr:row>96</xdr:row>
      <xdr:rowOff>73855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594313</xdr:colOff>
      <xdr:row>64</xdr:row>
      <xdr:rowOff>30480</xdr:rowOff>
    </xdr:from>
    <xdr:to>
      <xdr:col>79</xdr:col>
      <xdr:colOff>453683</xdr:colOff>
      <xdr:row>96</xdr:row>
      <xdr:rowOff>89095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142694</xdr:colOff>
      <xdr:row>96</xdr:row>
      <xdr:rowOff>94423</xdr:rowOff>
    </xdr:from>
    <xdr:to>
      <xdr:col>66</xdr:col>
      <xdr:colOff>576775</xdr:colOff>
      <xdr:row>122</xdr:row>
      <xdr:rowOff>38307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45720</xdr:colOff>
      <xdr:row>96</xdr:row>
      <xdr:rowOff>72909</xdr:rowOff>
    </xdr:from>
    <xdr:to>
      <xdr:col>55</xdr:col>
      <xdr:colOff>137160</xdr:colOff>
      <xdr:row>122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0</xdr:colOff>
      <xdr:row>96</xdr:row>
      <xdr:rowOff>91440</xdr:rowOff>
    </xdr:from>
    <xdr:to>
      <xdr:col>79</xdr:col>
      <xdr:colOff>457200</xdr:colOff>
      <xdr:row>122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189</xdr:row>
      <xdr:rowOff>73046</xdr:rowOff>
    </xdr:from>
    <xdr:to>
      <xdr:col>19</xdr:col>
      <xdr:colOff>0</xdr:colOff>
      <xdr:row>224</xdr:row>
      <xdr:rowOff>91431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494783</xdr:colOff>
      <xdr:row>185</xdr:row>
      <xdr:rowOff>14653</xdr:rowOff>
    </xdr:from>
    <xdr:to>
      <xdr:col>38</xdr:col>
      <xdr:colOff>562018</xdr:colOff>
      <xdr:row>220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477424</xdr:colOff>
      <xdr:row>261</xdr:row>
      <xdr:rowOff>82315</xdr:rowOff>
    </xdr:from>
    <xdr:to>
      <xdr:col>19</xdr:col>
      <xdr:colOff>0</xdr:colOff>
      <xdr:row>296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440487</xdr:colOff>
      <xdr:row>9</xdr:row>
      <xdr:rowOff>181473</xdr:rowOff>
    </xdr:from>
    <xdr:to>
      <xdr:col>5</xdr:col>
      <xdr:colOff>783565</xdr:colOff>
      <xdr:row>11</xdr:row>
      <xdr:rowOff>6220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4387" y="4913493"/>
          <a:ext cx="343078" cy="186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544761</xdr:colOff>
      <xdr:row>114</xdr:row>
      <xdr:rowOff>89287</xdr:rowOff>
    </xdr:from>
    <xdr:to>
      <xdr:col>19</xdr:col>
      <xdr:colOff>0</xdr:colOff>
      <xdr:row>150</xdr:row>
      <xdr:rowOff>145373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138547</xdr:colOff>
      <xdr:row>260</xdr:row>
      <xdr:rowOff>68664</xdr:rowOff>
    </xdr:from>
    <xdr:to>
      <xdr:col>29</xdr:col>
      <xdr:colOff>351799</xdr:colOff>
      <xdr:row>297</xdr:row>
      <xdr:rowOff>23089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512172</xdr:colOff>
      <xdr:row>225</xdr:row>
      <xdr:rowOff>87492</xdr:rowOff>
    </xdr:from>
    <xdr:to>
      <xdr:col>19</xdr:col>
      <xdr:colOff>0</xdr:colOff>
      <xdr:row>260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478075</xdr:colOff>
      <xdr:row>297</xdr:row>
      <xdr:rowOff>10230</xdr:rowOff>
    </xdr:from>
    <xdr:to>
      <xdr:col>19</xdr:col>
      <xdr:colOff>0</xdr:colOff>
      <xdr:row>332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114885</xdr:colOff>
      <xdr:row>172</xdr:row>
      <xdr:rowOff>44582</xdr:rowOff>
    </xdr:from>
    <xdr:to>
      <xdr:col>34</xdr:col>
      <xdr:colOff>201724</xdr:colOff>
      <xdr:row>204</xdr:row>
      <xdr:rowOff>93531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545630</xdr:colOff>
      <xdr:row>151</xdr:row>
      <xdr:rowOff>66125</xdr:rowOff>
    </xdr:from>
    <xdr:to>
      <xdr:col>19</xdr:col>
      <xdr:colOff>0</xdr:colOff>
      <xdr:row>188</xdr:row>
      <xdr:rowOff>131703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47409</xdr:colOff>
      <xdr:row>64</xdr:row>
      <xdr:rowOff>39951</xdr:rowOff>
    </xdr:from>
    <xdr:to>
      <xdr:col>55</xdr:col>
      <xdr:colOff>163965</xdr:colOff>
      <xdr:row>96</xdr:row>
      <xdr:rowOff>90782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185170</xdr:colOff>
      <xdr:row>64</xdr:row>
      <xdr:rowOff>27445</xdr:rowOff>
    </xdr:from>
    <xdr:to>
      <xdr:col>66</xdr:col>
      <xdr:colOff>589671</xdr:colOff>
      <xdr:row>96</xdr:row>
      <xdr:rowOff>73855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594313</xdr:colOff>
      <xdr:row>64</xdr:row>
      <xdr:rowOff>30480</xdr:rowOff>
    </xdr:from>
    <xdr:to>
      <xdr:col>79</xdr:col>
      <xdr:colOff>453683</xdr:colOff>
      <xdr:row>96</xdr:row>
      <xdr:rowOff>89095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142694</xdr:colOff>
      <xdr:row>96</xdr:row>
      <xdr:rowOff>94423</xdr:rowOff>
    </xdr:from>
    <xdr:to>
      <xdr:col>66</xdr:col>
      <xdr:colOff>576775</xdr:colOff>
      <xdr:row>122</xdr:row>
      <xdr:rowOff>38307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45720</xdr:colOff>
      <xdr:row>96</xdr:row>
      <xdr:rowOff>72909</xdr:rowOff>
    </xdr:from>
    <xdr:to>
      <xdr:col>55</xdr:col>
      <xdr:colOff>137160</xdr:colOff>
      <xdr:row>122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0</xdr:colOff>
      <xdr:row>96</xdr:row>
      <xdr:rowOff>91440</xdr:rowOff>
    </xdr:from>
    <xdr:to>
      <xdr:col>79</xdr:col>
      <xdr:colOff>457200</xdr:colOff>
      <xdr:row>122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189</xdr:row>
      <xdr:rowOff>73046</xdr:rowOff>
    </xdr:from>
    <xdr:to>
      <xdr:col>19</xdr:col>
      <xdr:colOff>0</xdr:colOff>
      <xdr:row>224</xdr:row>
      <xdr:rowOff>91431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494783</xdr:colOff>
      <xdr:row>185</xdr:row>
      <xdr:rowOff>14653</xdr:rowOff>
    </xdr:from>
    <xdr:to>
      <xdr:col>38</xdr:col>
      <xdr:colOff>562018</xdr:colOff>
      <xdr:row>220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477424</xdr:colOff>
      <xdr:row>261</xdr:row>
      <xdr:rowOff>82315</xdr:rowOff>
    </xdr:from>
    <xdr:to>
      <xdr:col>19</xdr:col>
      <xdr:colOff>0</xdr:colOff>
      <xdr:row>296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440487</xdr:colOff>
      <xdr:row>9</xdr:row>
      <xdr:rowOff>181473</xdr:rowOff>
    </xdr:from>
    <xdr:to>
      <xdr:col>5</xdr:col>
      <xdr:colOff>783565</xdr:colOff>
      <xdr:row>11</xdr:row>
      <xdr:rowOff>6220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9627" y="6795633"/>
          <a:ext cx="343078" cy="190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180109</xdr:colOff>
      <xdr:row>114</xdr:row>
      <xdr:rowOff>124690</xdr:rowOff>
    </xdr:from>
    <xdr:to>
      <xdr:col>33</xdr:col>
      <xdr:colOff>716002</xdr:colOff>
      <xdr:row>151</xdr:row>
      <xdr:rowOff>28376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239961</xdr:colOff>
      <xdr:row>48</xdr:row>
      <xdr:rowOff>89287</xdr:rowOff>
    </xdr:from>
    <xdr:to>
      <xdr:col>30</xdr:col>
      <xdr:colOff>152400</xdr:colOff>
      <xdr:row>69</xdr:row>
      <xdr:rowOff>526373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119</xdr:col>
      <xdr:colOff>62347</xdr:colOff>
      <xdr:row>113</xdr:row>
      <xdr:rowOff>144864</xdr:rowOff>
    </xdr:from>
    <xdr:to>
      <xdr:col>132</xdr:col>
      <xdr:colOff>199399</xdr:colOff>
      <xdr:row>148</xdr:row>
      <xdr:rowOff>99289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588372</xdr:colOff>
      <xdr:row>145</xdr:row>
      <xdr:rowOff>87492</xdr:rowOff>
    </xdr:from>
    <xdr:to>
      <xdr:col>29</xdr:col>
      <xdr:colOff>1066800</xdr:colOff>
      <xdr:row>180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554275</xdr:colOff>
      <xdr:row>223</xdr:row>
      <xdr:rowOff>10230</xdr:rowOff>
    </xdr:from>
    <xdr:to>
      <xdr:col>30</xdr:col>
      <xdr:colOff>533400</xdr:colOff>
      <xdr:row>258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119</xdr:col>
      <xdr:colOff>114885</xdr:colOff>
      <xdr:row>54</xdr:row>
      <xdr:rowOff>120782</xdr:rowOff>
    </xdr:from>
    <xdr:to>
      <xdr:col>140</xdr:col>
      <xdr:colOff>125524</xdr:colOff>
      <xdr:row>70</xdr:row>
      <xdr:rowOff>169731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240830</xdr:colOff>
      <xdr:row>72</xdr:row>
      <xdr:rowOff>66125</xdr:rowOff>
    </xdr:from>
    <xdr:to>
      <xdr:col>30</xdr:col>
      <xdr:colOff>152400</xdr:colOff>
      <xdr:row>108</xdr:row>
      <xdr:rowOff>131703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47409</xdr:colOff>
      <xdr:row>64</xdr:row>
      <xdr:rowOff>39951</xdr:rowOff>
    </xdr:from>
    <xdr:to>
      <xdr:col>55</xdr:col>
      <xdr:colOff>163965</xdr:colOff>
      <xdr:row>96</xdr:row>
      <xdr:rowOff>90782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185170</xdr:colOff>
      <xdr:row>64</xdr:row>
      <xdr:rowOff>27445</xdr:rowOff>
    </xdr:from>
    <xdr:to>
      <xdr:col>66</xdr:col>
      <xdr:colOff>589671</xdr:colOff>
      <xdr:row>96</xdr:row>
      <xdr:rowOff>73855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594313</xdr:colOff>
      <xdr:row>64</xdr:row>
      <xdr:rowOff>30480</xdr:rowOff>
    </xdr:from>
    <xdr:to>
      <xdr:col>79</xdr:col>
      <xdr:colOff>453683</xdr:colOff>
      <xdr:row>96</xdr:row>
      <xdr:rowOff>89095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142694</xdr:colOff>
      <xdr:row>96</xdr:row>
      <xdr:rowOff>94423</xdr:rowOff>
    </xdr:from>
    <xdr:to>
      <xdr:col>66</xdr:col>
      <xdr:colOff>576775</xdr:colOff>
      <xdr:row>122</xdr:row>
      <xdr:rowOff>38307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45720</xdr:colOff>
      <xdr:row>96</xdr:row>
      <xdr:rowOff>72909</xdr:rowOff>
    </xdr:from>
    <xdr:to>
      <xdr:col>55</xdr:col>
      <xdr:colOff>137160</xdr:colOff>
      <xdr:row>122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0</xdr:colOff>
      <xdr:row>96</xdr:row>
      <xdr:rowOff>91440</xdr:rowOff>
    </xdr:from>
    <xdr:to>
      <xdr:col>79</xdr:col>
      <xdr:colOff>457200</xdr:colOff>
      <xdr:row>122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127000</xdr:colOff>
      <xdr:row>110</xdr:row>
      <xdr:rowOff>301646</xdr:rowOff>
    </xdr:from>
    <xdr:to>
      <xdr:col>30</xdr:col>
      <xdr:colOff>76200</xdr:colOff>
      <xdr:row>142</xdr:row>
      <xdr:rowOff>15231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119</xdr:col>
      <xdr:colOff>113783</xdr:colOff>
      <xdr:row>82</xdr:row>
      <xdr:rowOff>14653</xdr:rowOff>
    </xdr:from>
    <xdr:to>
      <xdr:col>132</xdr:col>
      <xdr:colOff>562018</xdr:colOff>
      <xdr:row>112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248824</xdr:colOff>
      <xdr:row>184</xdr:row>
      <xdr:rowOff>82315</xdr:rowOff>
    </xdr:from>
    <xdr:to>
      <xdr:col>30</xdr:col>
      <xdr:colOff>228600</xdr:colOff>
      <xdr:row>219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440487</xdr:colOff>
      <xdr:row>9</xdr:row>
      <xdr:rowOff>181473</xdr:rowOff>
    </xdr:from>
    <xdr:to>
      <xdr:col>5</xdr:col>
      <xdr:colOff>783565</xdr:colOff>
      <xdr:row>11</xdr:row>
      <xdr:rowOff>6220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9627" y="6795633"/>
          <a:ext cx="343078" cy="190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103909</xdr:colOff>
      <xdr:row>262</xdr:row>
      <xdr:rowOff>124690</xdr:rowOff>
    </xdr:from>
    <xdr:to>
      <xdr:col>30</xdr:col>
      <xdr:colOff>487402</xdr:colOff>
      <xdr:row>300</xdr:row>
      <xdr:rowOff>28376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15</xdr:row>
      <xdr:rowOff>139148</xdr:rowOff>
    </xdr:from>
    <xdr:to>
      <xdr:col>20</xdr:col>
      <xdr:colOff>191075</xdr:colOff>
      <xdr:row>19</xdr:row>
      <xdr:rowOff>114301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9004" y="2922105"/>
          <a:ext cx="1398680" cy="531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563880</xdr:colOff>
      <xdr:row>20</xdr:row>
      <xdr:rowOff>38100</xdr:rowOff>
    </xdr:from>
    <xdr:to>
      <xdr:col>20</xdr:col>
      <xdr:colOff>307782</xdr:colOff>
      <xdr:row>35</xdr:row>
      <xdr:rowOff>53339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1460" y="2415540"/>
          <a:ext cx="1600200" cy="563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38</xdr:row>
      <xdr:rowOff>57150</xdr:rowOff>
    </xdr:from>
    <xdr:to>
      <xdr:col>19</xdr:col>
      <xdr:colOff>259080</xdr:colOff>
      <xdr:row>53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223427</xdr:colOff>
      <xdr:row>5</xdr:row>
      <xdr:rowOff>38101</xdr:rowOff>
    </xdr:from>
    <xdr:to>
      <xdr:col>4</xdr:col>
      <xdr:colOff>51563</xdr:colOff>
      <xdr:row>6</xdr:row>
      <xdr:rowOff>2307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6540" y="965753"/>
          <a:ext cx="219075" cy="149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208722</xdr:colOff>
      <xdr:row>4</xdr:row>
      <xdr:rowOff>39963</xdr:rowOff>
    </xdr:from>
    <xdr:to>
      <xdr:col>4</xdr:col>
      <xdr:colOff>36858</xdr:colOff>
      <xdr:row>5</xdr:row>
      <xdr:rowOff>5427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1835" y="782085"/>
          <a:ext cx="219075" cy="145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171870</xdr:colOff>
      <xdr:row>6</xdr:row>
      <xdr:rowOff>31476</xdr:rowOff>
    </xdr:from>
    <xdr:to>
      <xdr:col>4</xdr:col>
      <xdr:colOff>6</xdr:colOff>
      <xdr:row>7</xdr:row>
      <xdr:rowOff>1495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4983" y="1144659"/>
          <a:ext cx="219075" cy="14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272705</xdr:colOff>
      <xdr:row>7</xdr:row>
      <xdr:rowOff>39964</xdr:rowOff>
    </xdr:from>
    <xdr:to>
      <xdr:col>4</xdr:col>
      <xdr:colOff>100841</xdr:colOff>
      <xdr:row>8</xdr:row>
      <xdr:rowOff>5428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5818" y="1338677"/>
          <a:ext cx="219075" cy="145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202095</xdr:colOff>
      <xdr:row>8</xdr:row>
      <xdr:rowOff>53216</xdr:rowOff>
    </xdr:from>
    <xdr:to>
      <xdr:col>4</xdr:col>
      <xdr:colOff>30231</xdr:colOff>
      <xdr:row>9</xdr:row>
      <xdr:rowOff>12866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5208" y="1537459"/>
          <a:ext cx="219075" cy="145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261318</xdr:colOff>
      <xdr:row>9</xdr:row>
      <xdr:rowOff>24849</xdr:rowOff>
    </xdr:from>
    <xdr:to>
      <xdr:col>4</xdr:col>
      <xdr:colOff>89454</xdr:colOff>
      <xdr:row>9</xdr:row>
      <xdr:rowOff>174585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4431" y="1694623"/>
          <a:ext cx="219075" cy="14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594980</xdr:colOff>
      <xdr:row>3</xdr:row>
      <xdr:rowOff>45761</xdr:rowOff>
    </xdr:from>
    <xdr:to>
      <xdr:col>5</xdr:col>
      <xdr:colOff>156416</xdr:colOff>
      <xdr:row>3</xdr:row>
      <xdr:rowOff>178904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3745" y="602352"/>
          <a:ext cx="157453" cy="133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172278</xdr:colOff>
      <xdr:row>38</xdr:row>
      <xdr:rowOff>46382</xdr:rowOff>
    </xdr:from>
    <xdr:to>
      <xdr:col>2</xdr:col>
      <xdr:colOff>329731</xdr:colOff>
      <xdr:row>38</xdr:row>
      <xdr:rowOff>179525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539" y="4684643"/>
          <a:ext cx="157453" cy="133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39757</xdr:colOff>
      <xdr:row>39</xdr:row>
      <xdr:rowOff>33130</xdr:rowOff>
    </xdr:from>
    <xdr:to>
      <xdr:col>2</xdr:col>
      <xdr:colOff>258832</xdr:colOff>
      <xdr:row>39</xdr:row>
      <xdr:rowOff>178311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018" y="4856921"/>
          <a:ext cx="219075" cy="145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821634</xdr:colOff>
      <xdr:row>35</xdr:row>
      <xdr:rowOff>33130</xdr:rowOff>
    </xdr:from>
    <xdr:to>
      <xdr:col>0</xdr:col>
      <xdr:colOff>1107674</xdr:colOff>
      <xdr:row>36</xdr:row>
      <xdr:rowOff>455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634" y="4300330"/>
          <a:ext cx="286040" cy="15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11</xdr:row>
      <xdr:rowOff>22860</xdr:rowOff>
    </xdr:from>
    <xdr:to>
      <xdr:col>0</xdr:col>
      <xdr:colOff>400340</xdr:colOff>
      <xdr:row>11</xdr:row>
      <xdr:rowOff>175715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851660"/>
          <a:ext cx="286040" cy="15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441960</xdr:colOff>
      <xdr:row>1</xdr:row>
      <xdr:rowOff>30480</xdr:rowOff>
    </xdr:from>
    <xdr:to>
      <xdr:col>21</xdr:col>
      <xdr:colOff>7620</xdr:colOff>
      <xdr:row>12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8760" y="213360"/>
          <a:ext cx="7650480" cy="2141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571500</xdr:colOff>
      <xdr:row>0</xdr:row>
      <xdr:rowOff>160020</xdr:rowOff>
    </xdr:from>
    <xdr:to>
      <xdr:col>8</xdr:col>
      <xdr:colOff>60960</xdr:colOff>
      <xdr:row>23</xdr:row>
      <xdr:rowOff>80010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60020"/>
          <a:ext cx="4366260" cy="422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525162</xdr:colOff>
      <xdr:row>20</xdr:row>
      <xdr:rowOff>154461</xdr:rowOff>
    </xdr:from>
    <xdr:to>
      <xdr:col>24</xdr:col>
      <xdr:colOff>72081</xdr:colOff>
      <xdr:row>34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506441</xdr:colOff>
      <xdr:row>59</xdr:row>
      <xdr:rowOff>80373</xdr:rowOff>
    </xdr:from>
    <xdr:to>
      <xdr:col>12</xdr:col>
      <xdr:colOff>283958</xdr:colOff>
      <xdr:row>70</xdr:row>
      <xdr:rowOff>85816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819" y="11695724"/>
          <a:ext cx="5121814" cy="204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278027</xdr:colOff>
      <xdr:row>59</xdr:row>
      <xdr:rowOff>164758</xdr:rowOff>
    </xdr:from>
    <xdr:to>
      <xdr:col>21</xdr:col>
      <xdr:colOff>424043</xdr:colOff>
      <xdr:row>70</xdr:row>
      <xdr:rowOff>109770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703" y="11780109"/>
          <a:ext cx="5006340" cy="1983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7</xdr:row>
      <xdr:rowOff>0</xdr:rowOff>
    </xdr:from>
    <xdr:to>
      <xdr:col>24</xdr:col>
      <xdr:colOff>154460</xdr:colOff>
      <xdr:row>20</xdr:row>
      <xdr:rowOff>72081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12</xdr:row>
      <xdr:rowOff>33337</xdr:rowOff>
    </xdr:from>
    <xdr:to>
      <xdr:col>17</xdr:col>
      <xdr:colOff>319087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4C807-CEC1-4BF5-8591-2FC19597A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113111</xdr:colOff>
      <xdr:row>13</xdr:row>
      <xdr:rowOff>23815</xdr:rowOff>
    </xdr:from>
    <xdr:to>
      <xdr:col>11</xdr:col>
      <xdr:colOff>577455</xdr:colOff>
      <xdr:row>14</xdr:row>
      <xdr:rowOff>65487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8AE3BF56-BE51-45C5-A022-4C3BCBAD2652}"/>
            </a:ext>
          </a:extLst>
        </xdr:cNvPr>
        <xdr:cNvSpPr txBox="1"/>
      </xdr:nvSpPr>
      <xdr:spPr>
        <a:xfrm>
          <a:off x="8133161" y="2500315"/>
          <a:ext cx="464344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SiO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xdr:txBody>
    </xdr:sp>
    <xdr:clientData/>
  </xdr:twoCellAnchor>
  <xdr:twoCellAnchor>
    <xdr:from>
      <xdr:col>11</xdr:col>
      <xdr:colOff>360762</xdr:colOff>
      <xdr:row>16</xdr:row>
      <xdr:rowOff>9526</xdr:rowOff>
    </xdr:from>
    <xdr:to>
      <xdr:col>12</xdr:col>
      <xdr:colOff>217887</xdr:colOff>
      <xdr:row>17</xdr:row>
      <xdr:rowOff>51198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C4FDE6BE-4665-4399-B26D-53E3D5843CD6}"/>
            </a:ext>
          </a:extLst>
        </xdr:cNvPr>
        <xdr:cNvSpPr txBox="1"/>
      </xdr:nvSpPr>
      <xdr:spPr>
        <a:xfrm>
          <a:off x="8380812" y="3057526"/>
          <a:ext cx="466725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Al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xdr:txBody>
    </xdr:sp>
    <xdr:clientData/>
  </xdr:twoCellAnchor>
  <xdr:twoCellAnchor>
    <xdr:from>
      <xdr:col>11</xdr:col>
      <xdr:colOff>55844</xdr:colOff>
      <xdr:row>15</xdr:row>
      <xdr:rowOff>157629</xdr:rowOff>
    </xdr:from>
    <xdr:to>
      <xdr:col>11</xdr:col>
      <xdr:colOff>520188</xdr:colOff>
      <xdr:row>17</xdr:row>
      <xdr:rowOff>8801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E8CE4DB2-F46C-4A05-B95B-B64A3127AE89}"/>
            </a:ext>
          </a:extLst>
        </xdr:cNvPr>
        <xdr:cNvSpPr txBox="1"/>
      </xdr:nvSpPr>
      <xdr:spPr>
        <a:xfrm>
          <a:off x="8075429" y="3015129"/>
          <a:ext cx="464344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A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224797</xdr:colOff>
      <xdr:row>16</xdr:row>
      <xdr:rowOff>171219</xdr:rowOff>
    </xdr:from>
    <xdr:to>
      <xdr:col>12</xdr:col>
      <xdr:colOff>81922</xdr:colOff>
      <xdr:row>18</xdr:row>
      <xdr:rowOff>22391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F588781D-3CDD-4894-A8CF-71E9A4438E45}"/>
            </a:ext>
          </a:extLst>
        </xdr:cNvPr>
        <xdr:cNvSpPr txBox="1"/>
      </xdr:nvSpPr>
      <xdr:spPr>
        <a:xfrm>
          <a:off x="8244382" y="3219219"/>
          <a:ext cx="465796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B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</xdr:colOff>
      <xdr:row>7</xdr:row>
      <xdr:rowOff>174812</xdr:rowOff>
    </xdr:from>
    <xdr:to>
      <xdr:col>6</xdr:col>
      <xdr:colOff>421341</xdr:colOff>
      <xdr:row>23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3313419</xdr:colOff>
      <xdr:row>7</xdr:row>
      <xdr:rowOff>163286</xdr:rowOff>
    </xdr:from>
    <xdr:to>
      <xdr:col>22</xdr:col>
      <xdr:colOff>152399</xdr:colOff>
      <xdr:row>23</xdr:row>
      <xdr:rowOff>3201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420701</xdr:colOff>
      <xdr:row>7</xdr:row>
      <xdr:rowOff>181856</xdr:rowOff>
    </xdr:from>
    <xdr:to>
      <xdr:col>13</xdr:col>
      <xdr:colOff>286231</xdr:colOff>
      <xdr:row>23</xdr:row>
      <xdr:rowOff>50587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184416</xdr:colOff>
      <xdr:row>23</xdr:row>
      <xdr:rowOff>94130</xdr:rowOff>
    </xdr:from>
    <xdr:to>
      <xdr:col>6</xdr:col>
      <xdr:colOff>399569</xdr:colOff>
      <xdr:row>38</xdr:row>
      <xdr:rowOff>147917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435429</xdr:colOff>
      <xdr:row>23</xdr:row>
      <xdr:rowOff>97972</xdr:rowOff>
    </xdr:from>
    <xdr:to>
      <xdr:col>13</xdr:col>
      <xdr:colOff>300959</xdr:colOff>
      <xdr:row>38</xdr:row>
      <xdr:rowOff>151759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370115</xdr:colOff>
      <xdr:row>23</xdr:row>
      <xdr:rowOff>108858</xdr:rowOff>
    </xdr:from>
    <xdr:to>
      <xdr:col>15</xdr:col>
      <xdr:colOff>3135087</xdr:colOff>
      <xdr:row>38</xdr:row>
      <xdr:rowOff>162645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337456</xdr:colOff>
      <xdr:row>8</xdr:row>
      <xdr:rowOff>10885</xdr:rowOff>
    </xdr:from>
    <xdr:to>
      <xdr:col>15</xdr:col>
      <xdr:colOff>3124199</xdr:colOff>
      <xdr:row>23</xdr:row>
      <xdr:rowOff>21772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0.33076</cdr:x>
      <cdr:y>0.45742</cdr:y>
    </cdr:from>
    <cdr:to>
      <cdr:x>0.43269</cdr:x>
      <cdr:y>0.54205</cdr:y>
    </cdr:to>
    <cdr:sp macro="" textlink="">
      <cdr:nvSpPr>
        <cdr:cNvPr id="2" name="Metin kutusu 3">
          <a:extLst xmlns:a="http://schemas.openxmlformats.org/drawingml/2006/main">
            <a:ext uri="{FF2B5EF4-FFF2-40B4-BE49-F238E27FC236}">
              <a16:creationId xmlns:a16="http://schemas.microsoft.com/office/drawing/2014/main" id="{01F68972-F435-42B5-A86D-466C505ABC2C}"/>
            </a:ext>
          </a:extLst>
        </cdr:cNvPr>
        <cdr:cNvSpPr txBox="1"/>
      </cdr:nvSpPr>
      <cdr:spPr>
        <a:xfrm xmlns:a="http://schemas.openxmlformats.org/drawingml/2006/main">
          <a:off x="1510062" y="1254795"/>
          <a:ext cx="465360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HfO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0.37446</cdr:x>
      <cdr:y>0.50034</cdr:y>
    </cdr:from>
    <cdr:to>
      <cdr:x>0.46733</cdr:x>
      <cdr:y>0.58498</cdr:y>
    </cdr:to>
    <cdr:sp macro="" textlink="">
      <cdr:nvSpPr>
        <cdr:cNvPr id="3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1709595" y="1372543"/>
          <a:ext cx="423998" cy="2321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La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0.89807</cdr:x>
      <cdr:y>0.56974</cdr:y>
    </cdr:from>
    <cdr:to>
      <cdr:x>1</cdr:x>
      <cdr:y>0.65437</cdr:y>
    </cdr:to>
    <cdr:sp macro="" textlink="">
      <cdr:nvSpPr>
        <cdr:cNvPr id="4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4091007" y="1562905"/>
          <a:ext cx="464325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TiO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0.19879</cdr:x>
      <cdr:y>0.47822</cdr:y>
    </cdr:from>
    <cdr:to>
      <cdr:x>0.30072</cdr:x>
      <cdr:y>0.56286</cdr:y>
    </cdr:to>
    <cdr:sp macro="" textlink="">
      <cdr:nvSpPr>
        <cdr:cNvPr id="5" name="Metin kutusu 4">
          <a:extLst xmlns:a="http://schemas.openxmlformats.org/drawingml/2006/main">
            <a:ext uri="{FF2B5EF4-FFF2-40B4-BE49-F238E27FC236}">
              <a16:creationId xmlns:a16="http://schemas.microsoft.com/office/drawing/2014/main" id="{F3EF1E24-A8C2-4DED-A1D7-425A25945E70}"/>
            </a:ext>
          </a:extLst>
        </cdr:cNvPr>
        <cdr:cNvSpPr txBox="1"/>
      </cdr:nvSpPr>
      <cdr:spPr>
        <a:xfrm xmlns:a="http://schemas.openxmlformats.org/drawingml/2006/main">
          <a:off x="907594" y="1311858"/>
          <a:ext cx="465361" cy="232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C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0.20775</cdr:x>
      <cdr:y>0.40941</cdr:y>
    </cdr:from>
    <cdr:to>
      <cdr:x>0.30969</cdr:x>
      <cdr:y>0.49404</cdr:y>
    </cdr:to>
    <cdr:sp macro="" textlink="">
      <cdr:nvSpPr>
        <cdr:cNvPr id="6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948502" y="1123107"/>
          <a:ext cx="465407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D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0.22707</cdr:x>
      <cdr:y>0.50511</cdr:y>
    </cdr:from>
    <cdr:to>
      <cdr:x>0.32901</cdr:x>
      <cdr:y>0.58975</cdr:y>
    </cdr:to>
    <cdr:sp macro="" textlink="">
      <cdr:nvSpPr>
        <cdr:cNvPr id="7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036697" y="1385608"/>
          <a:ext cx="465406" cy="232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E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0.24769</cdr:x>
      <cdr:y>0.51209</cdr:y>
    </cdr:from>
    <cdr:to>
      <cdr:x>0.29352</cdr:x>
      <cdr:y>0.59673</cdr:y>
    </cdr:to>
    <cdr:sp macro="" textlink="">
      <cdr:nvSpPr>
        <cdr:cNvPr id="8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130827" y="1404772"/>
          <a:ext cx="209237" cy="232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F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0.249</cdr:x>
      <cdr:y>0.39396</cdr:y>
    </cdr:from>
    <cdr:to>
      <cdr:x>0.35093</cdr:x>
      <cdr:y>0.47859</cdr:y>
    </cdr:to>
    <cdr:sp macro="" textlink="">
      <cdr:nvSpPr>
        <cdr:cNvPr id="9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134278" y="1080699"/>
          <a:ext cx="464325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G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0.26889</cdr:x>
      <cdr:y>0.43545</cdr:y>
    </cdr:from>
    <cdr:to>
      <cdr:x>0.32648</cdr:x>
      <cdr:y>0.52009</cdr:y>
    </cdr:to>
    <cdr:sp macro="" textlink="">
      <cdr:nvSpPr>
        <cdr:cNvPr id="10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227626" y="1194529"/>
          <a:ext cx="262927" cy="232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H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0.30069</cdr:x>
      <cdr:y>0.40147</cdr:y>
    </cdr:from>
    <cdr:to>
      <cdr:x>0.3426</cdr:x>
      <cdr:y>0.4861</cdr:y>
    </cdr:to>
    <cdr:sp macro="" textlink="">
      <cdr:nvSpPr>
        <cdr:cNvPr id="11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372778" y="1101318"/>
          <a:ext cx="191340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J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0.302</cdr:x>
      <cdr:y>0.28957</cdr:y>
    </cdr:from>
    <cdr:to>
      <cdr:x>0.40394</cdr:x>
      <cdr:y>0.37421</cdr:y>
    </cdr:to>
    <cdr:sp macro="" textlink="">
      <cdr:nvSpPr>
        <cdr:cNvPr id="12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378759" y="794346"/>
          <a:ext cx="465406" cy="232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just"/>
          <a:r>
            <a:rPr lang="tr-TR" sz="700" b="1">
              <a:solidFill>
                <a:srgbClr val="0000FF"/>
              </a:solidFill>
            </a:rPr>
            <a:t>K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0.38665</cdr:x>
      <cdr:y>0.60012</cdr:y>
    </cdr:from>
    <cdr:to>
      <cdr:x>0.48858</cdr:x>
      <cdr:y>0.68475</cdr:y>
    </cdr:to>
    <cdr:sp macro="" textlink="">
      <cdr:nvSpPr>
        <cdr:cNvPr id="13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765263" y="1646249"/>
          <a:ext cx="465361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L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0.45417</cdr:x>
      <cdr:y>0.5871</cdr:y>
    </cdr:from>
    <cdr:to>
      <cdr:x>0.55611</cdr:x>
      <cdr:y>0.67173</cdr:y>
    </cdr:to>
    <cdr:sp macro="" textlink="">
      <cdr:nvSpPr>
        <cdr:cNvPr id="14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068895" y="1610524"/>
          <a:ext cx="464371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M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0.65775</cdr:x>
      <cdr:y>0.62447</cdr:y>
    </cdr:from>
    <cdr:to>
      <cdr:x>0.75969</cdr:x>
      <cdr:y>0.70911</cdr:y>
    </cdr:to>
    <cdr:sp macro="" textlink="">
      <cdr:nvSpPr>
        <cdr:cNvPr id="15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3002944" y="1713036"/>
          <a:ext cx="465406" cy="2321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N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255984</xdr:colOff>
      <xdr:row>8</xdr:row>
      <xdr:rowOff>108857</xdr:rowOff>
    </xdr:from>
    <xdr:to>
      <xdr:col>17</xdr:col>
      <xdr:colOff>217884</xdr:colOff>
      <xdr:row>26</xdr:row>
      <xdr:rowOff>115490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9DA6C-C198-497C-8C7B-258C19FB7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250374</xdr:colOff>
      <xdr:row>11</xdr:row>
      <xdr:rowOff>159206</xdr:rowOff>
    </xdr:from>
    <xdr:to>
      <xdr:col>11</xdr:col>
      <xdr:colOff>107499</xdr:colOff>
      <xdr:row>13</xdr:row>
      <xdr:rowOff>10378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5C397DB0-8F8C-45F6-8D94-4D26679D67F7}"/>
            </a:ext>
          </a:extLst>
        </xdr:cNvPr>
        <xdr:cNvSpPr txBox="1"/>
      </xdr:nvSpPr>
      <xdr:spPr>
        <a:xfrm>
          <a:off x="6977745" y="2254706"/>
          <a:ext cx="466725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SiO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xdr:txBody>
    </xdr:sp>
    <xdr:clientData/>
  </xdr:twoCellAnchor>
  <xdr:twoCellAnchor>
    <xdr:from>
      <xdr:col>10</xdr:col>
      <xdr:colOff>567091</xdr:colOff>
      <xdr:row>15</xdr:row>
      <xdr:rowOff>183039</xdr:rowOff>
    </xdr:from>
    <xdr:to>
      <xdr:col>11</xdr:col>
      <xdr:colOff>424216</xdr:colOff>
      <xdr:row>17</xdr:row>
      <xdr:rowOff>34211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6E041F2E-DFA0-49C6-8F9A-977AF2F73671}"/>
            </a:ext>
          </a:extLst>
        </xdr:cNvPr>
        <xdr:cNvSpPr txBox="1"/>
      </xdr:nvSpPr>
      <xdr:spPr>
        <a:xfrm>
          <a:off x="7290347" y="3040539"/>
          <a:ext cx="465796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Al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xdr:txBody>
    </xdr:sp>
    <xdr:clientData/>
  </xdr:twoCellAnchor>
  <xdr:twoCellAnchor>
    <xdr:from>
      <xdr:col>10</xdr:col>
      <xdr:colOff>278869</xdr:colOff>
      <xdr:row>16</xdr:row>
      <xdr:rowOff>37695</xdr:rowOff>
    </xdr:from>
    <xdr:to>
      <xdr:col>10</xdr:col>
      <xdr:colOff>511098</xdr:colOff>
      <xdr:row>17</xdr:row>
      <xdr:rowOff>32524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91D3879D-11A2-47FE-BAF9-365BA4E628BA}"/>
            </a:ext>
          </a:extLst>
        </xdr:cNvPr>
        <xdr:cNvSpPr txBox="1"/>
      </xdr:nvSpPr>
      <xdr:spPr>
        <a:xfrm>
          <a:off x="7002125" y="3085695"/>
          <a:ext cx="232229" cy="18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A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546702</xdr:colOff>
      <xdr:row>18</xdr:row>
      <xdr:rowOff>37492</xdr:rowOff>
    </xdr:from>
    <xdr:to>
      <xdr:col>11</xdr:col>
      <xdr:colOff>144037</xdr:colOff>
      <xdr:row>19</xdr:row>
      <xdr:rowOff>46463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AB85B741-BD81-4BED-BC68-294991FB48C0}"/>
            </a:ext>
          </a:extLst>
        </xdr:cNvPr>
        <xdr:cNvSpPr txBox="1"/>
      </xdr:nvSpPr>
      <xdr:spPr>
        <a:xfrm>
          <a:off x="7269958" y="3466492"/>
          <a:ext cx="206006" cy="199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B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0.38117</cdr:x>
      <cdr:y>0.38046</cdr:y>
    </cdr:from>
    <cdr:to>
      <cdr:x>0.46029</cdr:x>
      <cdr:y>0.43489</cdr:y>
    </cdr:to>
    <cdr:sp macro="" textlink="">
      <cdr:nvSpPr>
        <cdr:cNvPr id="2" name="Metin kutusu 3">
          <a:extLst xmlns:a="http://schemas.openxmlformats.org/drawingml/2006/main">
            <a:ext uri="{FF2B5EF4-FFF2-40B4-BE49-F238E27FC236}">
              <a16:creationId xmlns:a16="http://schemas.microsoft.com/office/drawing/2014/main" id="{01F68972-F435-42B5-A86D-466C505ABC2C}"/>
            </a:ext>
          </a:extLst>
        </cdr:cNvPr>
        <cdr:cNvSpPr txBox="1"/>
      </cdr:nvSpPr>
      <cdr:spPr>
        <a:xfrm xmlns:a="http://schemas.openxmlformats.org/drawingml/2006/main">
          <a:off x="2073550" y="1307126"/>
          <a:ext cx="430393" cy="1870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HfO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0.41973</cdr:x>
      <cdr:y>0.34542</cdr:y>
    </cdr:from>
    <cdr:to>
      <cdr:x>0.49616</cdr:x>
      <cdr:y>0.40379</cdr:y>
    </cdr:to>
    <cdr:sp macro="" textlink="">
      <cdr:nvSpPr>
        <cdr:cNvPr id="3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2283294" y="1186745"/>
          <a:ext cx="415795" cy="2005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La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0.88378</cdr:x>
      <cdr:y>0.19711</cdr:y>
    </cdr:from>
    <cdr:to>
      <cdr:x>0.98571</cdr:x>
      <cdr:y>0.28174</cdr:y>
    </cdr:to>
    <cdr:sp macro="" textlink="">
      <cdr:nvSpPr>
        <cdr:cNvPr id="4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4807703" y="677182"/>
          <a:ext cx="554493" cy="2907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TiO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0.27711</cdr:x>
      <cdr:y>0.56146</cdr:y>
    </cdr:from>
    <cdr:to>
      <cdr:x>0.31338</cdr:x>
      <cdr:y>0.6107</cdr:y>
    </cdr:to>
    <cdr:sp macro="" textlink="">
      <cdr:nvSpPr>
        <cdr:cNvPr id="5" name="Metin kutusu 4">
          <a:extLst xmlns:a="http://schemas.openxmlformats.org/drawingml/2006/main">
            <a:ext uri="{FF2B5EF4-FFF2-40B4-BE49-F238E27FC236}">
              <a16:creationId xmlns:a16="http://schemas.microsoft.com/office/drawing/2014/main" id="{F3EF1E24-A8C2-4DED-A1D7-425A25945E70}"/>
            </a:ext>
          </a:extLst>
        </cdr:cNvPr>
        <cdr:cNvSpPr txBox="1"/>
      </cdr:nvSpPr>
      <cdr:spPr>
        <a:xfrm xmlns:a="http://schemas.openxmlformats.org/drawingml/2006/main">
          <a:off x="1507456" y="1928977"/>
          <a:ext cx="197315" cy="1691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C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0.28666</cdr:x>
      <cdr:y>0.45072</cdr:y>
    </cdr:from>
    <cdr:to>
      <cdr:x>0.31936</cdr:x>
      <cdr:y>0.50657</cdr:y>
    </cdr:to>
    <cdr:sp macro="" textlink="">
      <cdr:nvSpPr>
        <cdr:cNvPr id="6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559415" y="1548524"/>
          <a:ext cx="177881" cy="1918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D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0.30023</cdr:x>
      <cdr:y>0.35794</cdr:y>
    </cdr:from>
    <cdr:to>
      <cdr:x>0.33559</cdr:x>
      <cdr:y>0.41325</cdr:y>
    </cdr:to>
    <cdr:sp macro="" textlink="">
      <cdr:nvSpPr>
        <cdr:cNvPr id="7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633256" y="1229745"/>
          <a:ext cx="192322" cy="1900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E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0.32114</cdr:x>
      <cdr:y>0.46858</cdr:y>
    </cdr:from>
    <cdr:to>
      <cdr:x>0.35182</cdr:x>
      <cdr:y>0.51874</cdr:y>
    </cdr:to>
    <cdr:sp macro="" textlink="">
      <cdr:nvSpPr>
        <cdr:cNvPr id="8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747005" y="1609879"/>
          <a:ext cx="166854" cy="172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F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0.32245</cdr:x>
      <cdr:y>0.37955</cdr:y>
    </cdr:from>
    <cdr:to>
      <cdr:x>0.36121</cdr:x>
      <cdr:y>0.43895</cdr:y>
    </cdr:to>
    <cdr:sp macro="" textlink="">
      <cdr:nvSpPr>
        <cdr:cNvPr id="9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754129" y="1303999"/>
          <a:ext cx="210837" cy="2040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G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0.3408</cdr:x>
      <cdr:y>0.35089</cdr:y>
    </cdr:from>
    <cdr:to>
      <cdr:x>0.37573</cdr:x>
      <cdr:y>0.40108</cdr:y>
    </cdr:to>
    <cdr:sp macro="" textlink="">
      <cdr:nvSpPr>
        <cdr:cNvPr id="10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853939" y="1205541"/>
          <a:ext cx="190015" cy="1724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H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0.36728</cdr:x>
      <cdr:y>0.43909</cdr:y>
    </cdr:from>
    <cdr:to>
      <cdr:x>0.39965</cdr:x>
      <cdr:y>0.49575</cdr:y>
    </cdr:to>
    <cdr:sp macro="" textlink="">
      <cdr:nvSpPr>
        <cdr:cNvPr id="11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997993" y="1508544"/>
          <a:ext cx="176060" cy="1946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800" b="1">
              <a:solidFill>
                <a:srgbClr val="0000FF"/>
              </a:solidFill>
            </a:rPr>
            <a:t>J</a:t>
          </a:r>
          <a:endParaRPr lang="tr-TR" sz="8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0.36875</cdr:x>
      <cdr:y>0.52318</cdr:y>
    </cdr:from>
    <cdr:to>
      <cdr:x>0.41417</cdr:x>
      <cdr:y>0.57284</cdr:y>
    </cdr:to>
    <cdr:sp macro="" textlink="">
      <cdr:nvSpPr>
        <cdr:cNvPr id="12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005951" y="1797467"/>
          <a:ext cx="247089" cy="170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just"/>
          <a:r>
            <a:rPr lang="tr-TR" sz="700" b="1">
              <a:solidFill>
                <a:srgbClr val="0000FF"/>
              </a:solidFill>
            </a:rPr>
            <a:t>K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0.44299</cdr:x>
      <cdr:y>0.29136</cdr:y>
    </cdr:from>
    <cdr:to>
      <cdr:x>0.47481</cdr:x>
      <cdr:y>0.34428</cdr:y>
    </cdr:to>
    <cdr:sp macro="" textlink="">
      <cdr:nvSpPr>
        <cdr:cNvPr id="13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409837" y="1001012"/>
          <a:ext cx="173093" cy="1818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L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0.50542</cdr:x>
      <cdr:y>0.29567</cdr:y>
    </cdr:from>
    <cdr:to>
      <cdr:x>0.53972</cdr:x>
      <cdr:y>0.34969</cdr:y>
    </cdr:to>
    <cdr:sp macro="" textlink="">
      <cdr:nvSpPr>
        <cdr:cNvPr id="14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749437" y="1015817"/>
          <a:ext cx="186616" cy="185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M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0.6815</cdr:x>
      <cdr:y>0.30441</cdr:y>
    </cdr:from>
    <cdr:to>
      <cdr:x>0.72165</cdr:x>
      <cdr:y>0.35104</cdr:y>
    </cdr:to>
    <cdr:sp macro="" textlink="">
      <cdr:nvSpPr>
        <cdr:cNvPr id="15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3707314" y="1045850"/>
          <a:ext cx="218410" cy="1602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N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12</xdr:row>
      <xdr:rowOff>33337</xdr:rowOff>
    </xdr:from>
    <xdr:to>
      <xdr:col>17</xdr:col>
      <xdr:colOff>319087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6190E-062F-41F1-95C0-B087333A4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99583</xdr:colOff>
      <xdr:row>13</xdr:row>
      <xdr:rowOff>2</xdr:rowOff>
    </xdr:from>
    <xdr:to>
      <xdr:col>11</xdr:col>
      <xdr:colOff>467592</xdr:colOff>
      <xdr:row>14</xdr:row>
      <xdr:rowOff>41674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C199303A-B7E0-4E60-85B6-9078AF1B3F17}"/>
            </a:ext>
          </a:extLst>
        </xdr:cNvPr>
        <xdr:cNvSpPr txBox="1"/>
      </xdr:nvSpPr>
      <xdr:spPr>
        <a:xfrm>
          <a:off x="8126560" y="2476502"/>
          <a:ext cx="368009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600" b="1">
              <a:solidFill>
                <a:srgbClr val="C00000"/>
              </a:solidFill>
            </a:rPr>
            <a:t>SiO</a:t>
          </a:r>
          <a:r>
            <a:rPr lang="tr-TR" sz="600" b="1" baseline="-25000">
              <a:solidFill>
                <a:srgbClr val="C00000"/>
              </a:solidFill>
            </a:rPr>
            <a:t>2</a:t>
          </a:r>
        </a:p>
      </xdr:txBody>
    </xdr:sp>
    <xdr:clientData/>
  </xdr:twoCellAnchor>
  <xdr:twoCellAnchor>
    <xdr:from>
      <xdr:col>11</xdr:col>
      <xdr:colOff>412175</xdr:colOff>
      <xdr:row>13</xdr:row>
      <xdr:rowOff>187580</xdr:rowOff>
    </xdr:from>
    <xdr:to>
      <xdr:col>12</xdr:col>
      <xdr:colOff>269300</xdr:colOff>
      <xdr:row>15</xdr:row>
      <xdr:rowOff>38752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8105FB2D-D4A2-4521-B9FA-3808CC6B9E25}"/>
            </a:ext>
          </a:extLst>
        </xdr:cNvPr>
        <xdr:cNvSpPr txBox="1"/>
      </xdr:nvSpPr>
      <xdr:spPr>
        <a:xfrm>
          <a:off x="8439152" y="2664080"/>
          <a:ext cx="467591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600" b="1">
              <a:solidFill>
                <a:srgbClr val="C00000"/>
              </a:solidFill>
            </a:rPr>
            <a:t>Al</a:t>
          </a:r>
          <a:r>
            <a:rPr lang="tr-TR" sz="600" b="1" baseline="-25000">
              <a:solidFill>
                <a:srgbClr val="C00000"/>
              </a:solidFill>
            </a:rPr>
            <a:t>2</a:t>
          </a:r>
          <a:r>
            <a:rPr lang="tr-TR" sz="600" b="1">
              <a:solidFill>
                <a:srgbClr val="C00000"/>
              </a:solidFill>
            </a:rPr>
            <a:t>O</a:t>
          </a:r>
          <a:r>
            <a:rPr lang="tr-TR" sz="600" b="1" baseline="-25000">
              <a:solidFill>
                <a:srgbClr val="C00000"/>
              </a:solidFill>
            </a:rPr>
            <a:t>3</a:t>
          </a:r>
        </a:p>
      </xdr:txBody>
    </xdr:sp>
    <xdr:clientData/>
  </xdr:twoCellAnchor>
  <xdr:twoCellAnchor>
    <xdr:from>
      <xdr:col>11</xdr:col>
      <xdr:colOff>124800</xdr:colOff>
      <xdr:row>16</xdr:row>
      <xdr:rowOff>155649</xdr:rowOff>
    </xdr:from>
    <xdr:to>
      <xdr:col>11</xdr:col>
      <xdr:colOff>350694</xdr:colOff>
      <xdr:row>17</xdr:row>
      <xdr:rowOff>160193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D466AF47-51C9-4AEC-85A2-9BCBC1D1B363}"/>
            </a:ext>
          </a:extLst>
        </xdr:cNvPr>
        <xdr:cNvSpPr txBox="1"/>
      </xdr:nvSpPr>
      <xdr:spPr>
        <a:xfrm>
          <a:off x="8151777" y="3203649"/>
          <a:ext cx="225894" cy="195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600" b="1">
              <a:solidFill>
                <a:srgbClr val="0000FF"/>
              </a:solidFill>
            </a:rPr>
            <a:t>A</a:t>
          </a:r>
          <a:endParaRPr lang="tr-TR" sz="600" b="1" baseline="-25000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381650</xdr:colOff>
      <xdr:row>18</xdr:row>
      <xdr:rowOff>164634</xdr:rowOff>
    </xdr:from>
    <xdr:to>
      <xdr:col>12</xdr:col>
      <xdr:colOff>1</xdr:colOff>
      <xdr:row>20</xdr:row>
      <xdr:rowOff>15806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EEAC4923-626C-42B2-9FAA-6436C0E8C919}"/>
            </a:ext>
          </a:extLst>
        </xdr:cNvPr>
        <xdr:cNvSpPr txBox="1"/>
      </xdr:nvSpPr>
      <xdr:spPr>
        <a:xfrm>
          <a:off x="8408627" y="3593634"/>
          <a:ext cx="228817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600" b="1">
              <a:solidFill>
                <a:srgbClr val="0000FF"/>
              </a:solidFill>
            </a:rPr>
            <a:t>B</a:t>
          </a:r>
          <a:endParaRPr lang="tr-TR" sz="600" b="1" baseline="-25000">
            <a:solidFill>
              <a:srgbClr val="0000FF"/>
            </a:solidFill>
          </a:endParaRPr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0.32859</cdr:x>
      <cdr:y>0.31504</cdr:y>
    </cdr:from>
    <cdr:to>
      <cdr:x>0.43052</cdr:x>
      <cdr:y>0.39967</cdr:y>
    </cdr:to>
    <cdr:sp macro="" textlink="">
      <cdr:nvSpPr>
        <cdr:cNvPr id="2" name="Metin kutusu 3">
          <a:extLst xmlns:a="http://schemas.openxmlformats.org/drawingml/2006/main">
            <a:ext uri="{FF2B5EF4-FFF2-40B4-BE49-F238E27FC236}">
              <a16:creationId xmlns:a16="http://schemas.microsoft.com/office/drawing/2014/main" id="{01F68972-F435-42B5-A86D-466C505ABC2C}"/>
            </a:ext>
          </a:extLst>
        </cdr:cNvPr>
        <cdr:cNvSpPr txBox="1"/>
      </cdr:nvSpPr>
      <cdr:spPr>
        <a:xfrm xmlns:a="http://schemas.openxmlformats.org/drawingml/2006/main">
          <a:off x="1504286" y="864207"/>
          <a:ext cx="466642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C00000"/>
              </a:solidFill>
            </a:rPr>
            <a:t>HfO</a:t>
          </a:r>
          <a:r>
            <a:rPr lang="tr-TR" sz="6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0.37541</cdr:x>
      <cdr:y>0.35687</cdr:y>
    </cdr:from>
    <cdr:to>
      <cdr:x>0.47734</cdr:x>
      <cdr:y>0.44151</cdr:y>
    </cdr:to>
    <cdr:sp macro="" textlink="">
      <cdr:nvSpPr>
        <cdr:cNvPr id="3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1718650" y="978954"/>
          <a:ext cx="466642" cy="2321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C00000"/>
              </a:solidFill>
            </a:rPr>
            <a:t>La</a:t>
          </a:r>
          <a:r>
            <a:rPr lang="tr-TR" sz="600" b="1" baseline="-25000">
              <a:solidFill>
                <a:srgbClr val="C00000"/>
              </a:solidFill>
            </a:rPr>
            <a:t>2</a:t>
          </a:r>
          <a:r>
            <a:rPr lang="tr-TR" sz="600" b="1">
              <a:solidFill>
                <a:srgbClr val="C00000"/>
              </a:solidFill>
            </a:rPr>
            <a:t>O</a:t>
          </a:r>
          <a:r>
            <a:rPr lang="tr-TR" sz="600" b="1" baseline="-25000">
              <a:solidFill>
                <a:srgbClr val="C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0.90658</cdr:x>
      <cdr:y>0.53067</cdr:y>
    </cdr:from>
    <cdr:to>
      <cdr:x>0.98042</cdr:x>
      <cdr:y>0.6153</cdr:y>
    </cdr:to>
    <cdr:sp macro="" textlink="">
      <cdr:nvSpPr>
        <cdr:cNvPr id="4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4150386" y="1455744"/>
          <a:ext cx="338055" cy="232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C00000"/>
              </a:solidFill>
            </a:rPr>
            <a:t>TiO</a:t>
          </a:r>
          <a:r>
            <a:rPr lang="tr-TR" sz="6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0.21473</cdr:x>
      <cdr:y>0.37975</cdr:y>
    </cdr:from>
    <cdr:to>
      <cdr:x>0.25411</cdr:x>
      <cdr:y>0.44713</cdr:y>
    </cdr:to>
    <cdr:sp macro="" textlink="">
      <cdr:nvSpPr>
        <cdr:cNvPr id="5" name="Metin kutusu 4">
          <a:extLst xmlns:a="http://schemas.openxmlformats.org/drawingml/2006/main">
            <a:ext uri="{FF2B5EF4-FFF2-40B4-BE49-F238E27FC236}">
              <a16:creationId xmlns:a16="http://schemas.microsoft.com/office/drawing/2014/main" id="{F3EF1E24-A8C2-4DED-A1D7-425A25945E70}"/>
            </a:ext>
          </a:extLst>
        </cdr:cNvPr>
        <cdr:cNvSpPr txBox="1"/>
      </cdr:nvSpPr>
      <cdr:spPr>
        <a:xfrm xmlns:a="http://schemas.openxmlformats.org/drawingml/2006/main">
          <a:off x="983040" y="1041736"/>
          <a:ext cx="180309" cy="1848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C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0.22398</cdr:x>
      <cdr:y>0.54587</cdr:y>
    </cdr:from>
    <cdr:to>
      <cdr:x>0.26452</cdr:x>
      <cdr:y>0.60969</cdr:y>
    </cdr:to>
    <cdr:sp macro="" textlink="">
      <cdr:nvSpPr>
        <cdr:cNvPr id="6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025381" y="1497429"/>
          <a:ext cx="185593" cy="175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D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0.2438</cdr:x>
      <cdr:y>0.41131</cdr:y>
    </cdr:from>
    <cdr:to>
      <cdr:x>0.28816</cdr:x>
      <cdr:y>0.4708</cdr:y>
    </cdr:to>
    <cdr:sp macro="" textlink="">
      <cdr:nvSpPr>
        <cdr:cNvPr id="7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116126" y="1128317"/>
          <a:ext cx="203088" cy="1631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E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0.2666</cdr:x>
      <cdr:y>0.35943</cdr:y>
    </cdr:from>
    <cdr:to>
      <cdr:x>0.30424</cdr:x>
      <cdr:y>0.42345</cdr:y>
    </cdr:to>
    <cdr:sp macro="" textlink="">
      <cdr:nvSpPr>
        <cdr:cNvPr id="8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220533" y="985977"/>
          <a:ext cx="172284" cy="175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F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0.25184</cdr:x>
      <cdr:y>0.32135</cdr:y>
    </cdr:from>
    <cdr:to>
      <cdr:x>0.29383</cdr:x>
      <cdr:y>0.38084</cdr:y>
    </cdr:to>
    <cdr:sp macro="" textlink="">
      <cdr:nvSpPr>
        <cdr:cNvPr id="9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152927" y="881527"/>
          <a:ext cx="192264" cy="1631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G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0.28598</cdr:x>
      <cdr:y>0.46221</cdr:y>
    </cdr:from>
    <cdr:to>
      <cdr:x>0.3241</cdr:x>
      <cdr:y>0.51815</cdr:y>
    </cdr:to>
    <cdr:sp macro="" textlink="">
      <cdr:nvSpPr>
        <cdr:cNvPr id="10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309254" y="1267942"/>
          <a:ext cx="174482" cy="1534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H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0.31671</cdr:x>
      <cdr:y>0.56737</cdr:y>
    </cdr:from>
    <cdr:to>
      <cdr:x>0.35341</cdr:x>
      <cdr:y>0.63337</cdr:y>
    </cdr:to>
    <cdr:sp macro="" textlink="">
      <cdr:nvSpPr>
        <cdr:cNvPr id="11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449912" y="1556418"/>
          <a:ext cx="168041" cy="1810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J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0.3164</cdr:x>
      <cdr:y>0.53067</cdr:y>
    </cdr:from>
    <cdr:to>
      <cdr:x>0.35909</cdr:x>
      <cdr:y>0.58602</cdr:y>
    </cdr:to>
    <cdr:sp macro="" textlink="">
      <cdr:nvSpPr>
        <cdr:cNvPr id="12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448486" y="1455736"/>
          <a:ext cx="195443" cy="1518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just"/>
          <a:r>
            <a:rPr lang="tr-TR" sz="600" b="1">
              <a:solidFill>
                <a:srgbClr val="0000FF"/>
              </a:solidFill>
            </a:rPr>
            <a:t>K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0.40193</cdr:x>
      <cdr:y>0.43262</cdr:y>
    </cdr:from>
    <cdr:to>
      <cdr:x>0.43947</cdr:x>
      <cdr:y>0.49448</cdr:y>
    </cdr:to>
    <cdr:sp macro="" textlink="">
      <cdr:nvSpPr>
        <cdr:cNvPr id="13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840074" y="1186765"/>
          <a:ext cx="171867" cy="169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L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0.47119</cdr:x>
      <cdr:y>0.48924</cdr:y>
    </cdr:from>
    <cdr:to>
      <cdr:x>0.51324</cdr:x>
      <cdr:y>0.54814</cdr:y>
    </cdr:to>
    <cdr:sp macro="" textlink="">
      <cdr:nvSpPr>
        <cdr:cNvPr id="14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157157" y="1342090"/>
          <a:ext cx="192488" cy="1615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M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0.67375</cdr:x>
      <cdr:y>0.5354</cdr:y>
    </cdr:from>
    <cdr:to>
      <cdr:x>0.72886</cdr:x>
      <cdr:y>0.58917</cdr:y>
    </cdr:to>
    <cdr:sp macro="" textlink="">
      <cdr:nvSpPr>
        <cdr:cNvPr id="15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3084484" y="1468717"/>
          <a:ext cx="252298" cy="1475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600" b="1">
              <a:solidFill>
                <a:srgbClr val="0000FF"/>
              </a:solidFill>
            </a:rPr>
            <a:t>N</a:t>
          </a:r>
          <a:endParaRPr lang="tr-TR" sz="600" b="1" baseline="-25000">
            <a:solidFill>
              <a:srgbClr val="0000FF"/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339328</xdr:colOff>
      <xdr:row>10</xdr:row>
      <xdr:rowOff>17859</xdr:rowOff>
    </xdr:from>
    <xdr:to>
      <xdr:col>19</xdr:col>
      <xdr:colOff>154781</xdr:colOff>
      <xdr:row>26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28171-81E7-4B00-B8F1-C5E48092D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136922</xdr:colOff>
      <xdr:row>13</xdr:row>
      <xdr:rowOff>77392</xdr:rowOff>
    </xdr:from>
    <xdr:to>
      <xdr:col>11</xdr:col>
      <xdr:colOff>511967</xdr:colOff>
      <xdr:row>14</xdr:row>
      <xdr:rowOff>119064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148E9C6C-7976-4CCB-92AF-23BFFA66D84B}"/>
            </a:ext>
          </a:extLst>
        </xdr:cNvPr>
        <xdr:cNvSpPr txBox="1"/>
      </xdr:nvSpPr>
      <xdr:spPr>
        <a:xfrm>
          <a:off x="8143875" y="2553892"/>
          <a:ext cx="375045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SiO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xdr:txBody>
    </xdr:sp>
    <xdr:clientData/>
  </xdr:twoCellAnchor>
  <xdr:twoCellAnchor>
    <xdr:from>
      <xdr:col>11</xdr:col>
      <xdr:colOff>378622</xdr:colOff>
      <xdr:row>14</xdr:row>
      <xdr:rowOff>39292</xdr:rowOff>
    </xdr:from>
    <xdr:to>
      <xdr:col>12</xdr:col>
      <xdr:colOff>178595</xdr:colOff>
      <xdr:row>15</xdr:row>
      <xdr:rowOff>80964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D7D2D1B4-EB49-48BE-9FB0-74CDD5F9DE16}"/>
            </a:ext>
          </a:extLst>
        </xdr:cNvPr>
        <xdr:cNvSpPr txBox="1"/>
      </xdr:nvSpPr>
      <xdr:spPr>
        <a:xfrm>
          <a:off x="8385575" y="2706292"/>
          <a:ext cx="407192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Al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xdr:txBody>
    </xdr:sp>
    <xdr:clientData/>
  </xdr:twoCellAnchor>
  <xdr:twoCellAnchor>
    <xdr:from>
      <xdr:col>11</xdr:col>
      <xdr:colOff>188118</xdr:colOff>
      <xdr:row>14</xdr:row>
      <xdr:rowOff>80964</xdr:rowOff>
    </xdr:from>
    <xdr:to>
      <xdr:col>11</xdr:col>
      <xdr:colOff>404811</xdr:colOff>
      <xdr:row>15</xdr:row>
      <xdr:rowOff>122636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F92C7A10-0DF6-4C9B-9738-6F89A773B553}"/>
            </a:ext>
          </a:extLst>
        </xdr:cNvPr>
        <xdr:cNvSpPr txBox="1"/>
      </xdr:nvSpPr>
      <xdr:spPr>
        <a:xfrm>
          <a:off x="8195071" y="2747964"/>
          <a:ext cx="216693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A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489348</xdr:colOff>
      <xdr:row>22</xdr:row>
      <xdr:rowOff>144067</xdr:rowOff>
    </xdr:from>
    <xdr:to>
      <xdr:col>12</xdr:col>
      <xdr:colOff>83344</xdr:colOff>
      <xdr:row>23</xdr:row>
      <xdr:rowOff>185739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B6086043-D3EE-44C8-816F-F3BA2948AE30}"/>
            </a:ext>
          </a:extLst>
        </xdr:cNvPr>
        <xdr:cNvSpPr txBox="1"/>
      </xdr:nvSpPr>
      <xdr:spPr>
        <a:xfrm>
          <a:off x="8496301" y="4335067"/>
          <a:ext cx="201215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B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0.34577</cdr:x>
      <cdr:y>0.70132</cdr:y>
    </cdr:from>
    <cdr:to>
      <cdr:x>0.41153</cdr:x>
      <cdr:y>0.78595</cdr:y>
    </cdr:to>
    <cdr:sp macro="" textlink="">
      <cdr:nvSpPr>
        <cdr:cNvPr id="2" name="Metin kutusu 3">
          <a:extLst xmlns:a="http://schemas.openxmlformats.org/drawingml/2006/main">
            <a:ext uri="{FF2B5EF4-FFF2-40B4-BE49-F238E27FC236}">
              <a16:creationId xmlns:a16="http://schemas.microsoft.com/office/drawing/2014/main" id="{01F68972-F435-42B5-A86D-466C505ABC2C}"/>
            </a:ext>
          </a:extLst>
        </cdr:cNvPr>
        <cdr:cNvSpPr txBox="1"/>
      </cdr:nvSpPr>
      <cdr:spPr>
        <a:xfrm xmlns:a="http://schemas.openxmlformats.org/drawingml/2006/main">
          <a:off x="2035764" y="2233637"/>
          <a:ext cx="387171" cy="269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HfO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0.3578</cdr:x>
      <cdr:y>0.51262</cdr:y>
    </cdr:from>
    <cdr:to>
      <cdr:x>0.42973</cdr:x>
      <cdr:y>0.59726</cdr:y>
    </cdr:to>
    <cdr:sp macro="" textlink="">
      <cdr:nvSpPr>
        <cdr:cNvPr id="3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2106573" y="1632660"/>
          <a:ext cx="423498" cy="269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La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0.89301</cdr:x>
      <cdr:y>0.54306</cdr:y>
    </cdr:from>
    <cdr:to>
      <cdr:x>0.99494</cdr:x>
      <cdr:y>0.62769</cdr:y>
    </cdr:to>
    <cdr:sp macro="" textlink="">
      <cdr:nvSpPr>
        <cdr:cNvPr id="4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5257748" y="1729609"/>
          <a:ext cx="600127" cy="269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TiO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0.23463</cdr:x>
      <cdr:y>0.424</cdr:y>
    </cdr:from>
    <cdr:to>
      <cdr:x>0.26896</cdr:x>
      <cdr:y>0.50864</cdr:y>
    </cdr:to>
    <cdr:sp macro="" textlink="">
      <cdr:nvSpPr>
        <cdr:cNvPr id="5" name="Metin kutusu 4">
          <a:extLst xmlns:a="http://schemas.openxmlformats.org/drawingml/2006/main">
            <a:ext uri="{FF2B5EF4-FFF2-40B4-BE49-F238E27FC236}">
              <a16:creationId xmlns:a16="http://schemas.microsoft.com/office/drawing/2014/main" id="{F3EF1E24-A8C2-4DED-A1D7-425A25945E70}"/>
            </a:ext>
          </a:extLst>
        </cdr:cNvPr>
        <cdr:cNvSpPr txBox="1"/>
      </cdr:nvSpPr>
      <cdr:spPr>
        <a:xfrm xmlns:a="http://schemas.openxmlformats.org/drawingml/2006/main">
          <a:off x="1381432" y="1350410"/>
          <a:ext cx="202123" cy="269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C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0.24538</cdr:x>
      <cdr:y>0.33043</cdr:y>
    </cdr:from>
    <cdr:to>
      <cdr:x>0.29774</cdr:x>
      <cdr:y>0.41506</cdr:y>
    </cdr:to>
    <cdr:sp macro="" textlink="">
      <cdr:nvSpPr>
        <cdr:cNvPr id="6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444731" y="1052394"/>
          <a:ext cx="308277" cy="269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D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0.26247</cdr:x>
      <cdr:y>0.46703</cdr:y>
    </cdr:from>
    <cdr:to>
      <cdr:x>0.30699</cdr:x>
      <cdr:y>0.55167</cdr:y>
    </cdr:to>
    <cdr:sp macro="" textlink="">
      <cdr:nvSpPr>
        <cdr:cNvPr id="7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545317" y="1487462"/>
          <a:ext cx="262118" cy="269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E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0.28207</cdr:x>
      <cdr:y>0.27103</cdr:y>
    </cdr:from>
    <cdr:to>
      <cdr:x>0.31446</cdr:x>
      <cdr:y>0.33628</cdr:y>
    </cdr:to>
    <cdr:sp macro="" textlink="">
      <cdr:nvSpPr>
        <cdr:cNvPr id="8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660708" y="863194"/>
          <a:ext cx="190701" cy="2078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F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0.28438</cdr:x>
      <cdr:y>0.5503</cdr:y>
    </cdr:from>
    <cdr:to>
      <cdr:x>0.32153</cdr:x>
      <cdr:y>0.63493</cdr:y>
    </cdr:to>
    <cdr:sp macro="" textlink="">
      <cdr:nvSpPr>
        <cdr:cNvPr id="9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674355" y="1752674"/>
          <a:ext cx="218726" cy="269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G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0.30328</cdr:x>
      <cdr:y>0.6687</cdr:y>
    </cdr:from>
    <cdr:to>
      <cdr:x>0.34682</cdr:x>
      <cdr:y>0.75334</cdr:y>
    </cdr:to>
    <cdr:sp macro="" textlink="">
      <cdr:nvSpPr>
        <cdr:cNvPr id="10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785585" y="2129768"/>
          <a:ext cx="256348" cy="269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H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0.3321</cdr:x>
      <cdr:y>0.32796</cdr:y>
    </cdr:from>
    <cdr:to>
      <cdr:x>0.36602</cdr:x>
      <cdr:y>0.41259</cdr:y>
    </cdr:to>
    <cdr:sp macro="" textlink="">
      <cdr:nvSpPr>
        <cdr:cNvPr id="11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955294" y="1044521"/>
          <a:ext cx="199709" cy="269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J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0.33304</cdr:x>
      <cdr:y>0.24609</cdr:y>
    </cdr:from>
    <cdr:to>
      <cdr:x>0.37007</cdr:x>
      <cdr:y>0.33073</cdr:y>
    </cdr:to>
    <cdr:sp macro="" textlink="">
      <cdr:nvSpPr>
        <cdr:cNvPr id="12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960808" y="783793"/>
          <a:ext cx="218019" cy="269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just"/>
          <a:r>
            <a:rPr lang="tr-TR" sz="700" b="1">
              <a:solidFill>
                <a:srgbClr val="0000FF"/>
              </a:solidFill>
            </a:rPr>
            <a:t>K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0.41221</cdr:x>
      <cdr:y>0.5559</cdr:y>
    </cdr:from>
    <cdr:to>
      <cdr:x>0.44591</cdr:x>
      <cdr:y>0.64053</cdr:y>
    </cdr:to>
    <cdr:sp macro="" textlink="">
      <cdr:nvSpPr>
        <cdr:cNvPr id="13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426926" y="1770504"/>
          <a:ext cx="198413" cy="2695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L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0.47987</cdr:x>
      <cdr:y>0.44964</cdr:y>
    </cdr:from>
    <cdr:to>
      <cdr:x>0.51972</cdr:x>
      <cdr:y>0.53427</cdr:y>
    </cdr:to>
    <cdr:sp macro="" textlink="">
      <cdr:nvSpPr>
        <cdr:cNvPr id="14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825303" y="1432055"/>
          <a:ext cx="234622" cy="2695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M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0.67392</cdr:x>
      <cdr:y>0.51957</cdr:y>
    </cdr:from>
    <cdr:to>
      <cdr:x>0.70981</cdr:x>
      <cdr:y>0.60421</cdr:y>
    </cdr:to>
    <cdr:sp macro="" textlink="">
      <cdr:nvSpPr>
        <cdr:cNvPr id="15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3967793" y="1654776"/>
          <a:ext cx="211307" cy="269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N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118241</xdr:colOff>
      <xdr:row>8</xdr:row>
      <xdr:rowOff>124810</xdr:rowOff>
    </xdr:from>
    <xdr:to>
      <xdr:col>20</xdr:col>
      <xdr:colOff>374431</xdr:colOff>
      <xdr:row>27</xdr:row>
      <xdr:rowOff>78827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EB373-D55D-4340-98B4-7BB460D84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582575</xdr:colOff>
      <xdr:row>21</xdr:row>
      <xdr:rowOff>152637</xdr:rowOff>
    </xdr:from>
    <xdr:to>
      <xdr:col>11</xdr:col>
      <xdr:colOff>439700</xdr:colOff>
      <xdr:row>23</xdr:row>
      <xdr:rowOff>3809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B23D4A7B-CE15-43C5-84D5-0EFD2E3062B8}"/>
            </a:ext>
          </a:extLst>
        </xdr:cNvPr>
        <xdr:cNvSpPr txBox="1"/>
      </xdr:nvSpPr>
      <xdr:spPr>
        <a:xfrm>
          <a:off x="7993025" y="4153137"/>
          <a:ext cx="466725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SiO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xdr:txBody>
    </xdr:sp>
    <xdr:clientData/>
  </xdr:twoCellAnchor>
  <xdr:twoCellAnchor>
    <xdr:from>
      <xdr:col>11</xdr:col>
      <xdr:colOff>468418</xdr:colOff>
      <xdr:row>14</xdr:row>
      <xdr:rowOff>130143</xdr:rowOff>
    </xdr:from>
    <xdr:to>
      <xdr:col>12</xdr:col>
      <xdr:colOff>326857</xdr:colOff>
      <xdr:row>15</xdr:row>
      <xdr:rowOff>171815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CB50EC9A-CCA2-4E0D-96F7-C36DCA0AA87C}"/>
            </a:ext>
          </a:extLst>
        </xdr:cNvPr>
        <xdr:cNvSpPr txBox="1"/>
      </xdr:nvSpPr>
      <xdr:spPr>
        <a:xfrm>
          <a:off x="8491189" y="2797143"/>
          <a:ext cx="468039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Al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xdr:txBody>
    </xdr:sp>
    <xdr:clientData/>
  </xdr:twoCellAnchor>
  <xdr:twoCellAnchor>
    <xdr:from>
      <xdr:col>11</xdr:col>
      <xdr:colOff>36747</xdr:colOff>
      <xdr:row>14</xdr:row>
      <xdr:rowOff>45926</xdr:rowOff>
    </xdr:from>
    <xdr:to>
      <xdr:col>11</xdr:col>
      <xdr:colOff>499777</xdr:colOff>
      <xdr:row>15</xdr:row>
      <xdr:rowOff>87598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898337D7-D9C4-4F21-AC72-AC0804764869}"/>
            </a:ext>
          </a:extLst>
        </xdr:cNvPr>
        <xdr:cNvSpPr txBox="1"/>
      </xdr:nvSpPr>
      <xdr:spPr>
        <a:xfrm>
          <a:off x="8056797" y="2712926"/>
          <a:ext cx="463030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A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415335</xdr:colOff>
      <xdr:row>11</xdr:row>
      <xdr:rowOff>111023</xdr:rowOff>
    </xdr:from>
    <xdr:to>
      <xdr:col>12</xdr:col>
      <xdr:colOff>272460</xdr:colOff>
      <xdr:row>12</xdr:row>
      <xdr:rowOff>152695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C3F2AD45-847B-425D-A7A6-DC6C809A19CD}"/>
            </a:ext>
          </a:extLst>
        </xdr:cNvPr>
        <xdr:cNvSpPr txBox="1"/>
      </xdr:nvSpPr>
      <xdr:spPr>
        <a:xfrm>
          <a:off x="8435385" y="2206523"/>
          <a:ext cx="466725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B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0.3362</cdr:x>
      <cdr:y>0.4129</cdr:y>
    </cdr:from>
    <cdr:to>
      <cdr:x>0.43813</cdr:x>
      <cdr:y>0.49753</cdr:y>
    </cdr:to>
    <cdr:sp macro="" textlink="">
      <cdr:nvSpPr>
        <cdr:cNvPr id="2" name="Metin kutusu 3">
          <a:extLst xmlns:a="http://schemas.openxmlformats.org/drawingml/2006/main">
            <a:ext uri="{FF2B5EF4-FFF2-40B4-BE49-F238E27FC236}">
              <a16:creationId xmlns:a16="http://schemas.microsoft.com/office/drawing/2014/main" id="{01F68972-F435-42B5-A86D-466C505ABC2C}"/>
            </a:ext>
          </a:extLst>
        </cdr:cNvPr>
        <cdr:cNvSpPr txBox="1"/>
      </cdr:nvSpPr>
      <cdr:spPr>
        <a:xfrm xmlns:a="http://schemas.openxmlformats.org/drawingml/2006/main">
          <a:off x="2340566" y="1475506"/>
          <a:ext cx="709615" cy="302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HfO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0.37854</cdr:x>
      <cdr:y>0.45376</cdr:y>
    </cdr:from>
    <cdr:to>
      <cdr:x>0.48047</cdr:x>
      <cdr:y>0.5384</cdr:y>
    </cdr:to>
    <cdr:sp macro="" textlink="">
      <cdr:nvSpPr>
        <cdr:cNvPr id="3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2635316" y="1621531"/>
          <a:ext cx="709615" cy="302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La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0.91683</cdr:x>
      <cdr:y>0.62754</cdr:y>
    </cdr:from>
    <cdr:to>
      <cdr:x>0.97202</cdr:x>
      <cdr:y>0.71217</cdr:y>
    </cdr:to>
    <cdr:sp macro="" textlink="">
      <cdr:nvSpPr>
        <cdr:cNvPr id="4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6382804" y="2242511"/>
          <a:ext cx="384170" cy="302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TiO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0.21965</cdr:x>
      <cdr:y>0.07586</cdr:y>
    </cdr:from>
    <cdr:to>
      <cdr:x>0.32158</cdr:x>
      <cdr:y>0.1605</cdr:y>
    </cdr:to>
    <cdr:sp macro="" textlink="">
      <cdr:nvSpPr>
        <cdr:cNvPr id="5" name="Metin kutusu 4">
          <a:extLst xmlns:a="http://schemas.openxmlformats.org/drawingml/2006/main">
            <a:ext uri="{FF2B5EF4-FFF2-40B4-BE49-F238E27FC236}">
              <a16:creationId xmlns:a16="http://schemas.microsoft.com/office/drawing/2014/main" id="{F3EF1E24-A8C2-4DED-A1D7-425A25945E70}"/>
            </a:ext>
          </a:extLst>
        </cdr:cNvPr>
        <cdr:cNvSpPr txBox="1"/>
      </cdr:nvSpPr>
      <cdr:spPr>
        <a:xfrm xmlns:a="http://schemas.openxmlformats.org/drawingml/2006/main">
          <a:off x="1529137" y="271083"/>
          <a:ext cx="709616" cy="3024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C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0.23068</cdr:x>
      <cdr:y>0.25311</cdr:y>
    </cdr:from>
    <cdr:to>
      <cdr:x>0.33262</cdr:x>
      <cdr:y>0.33774</cdr:y>
    </cdr:to>
    <cdr:sp macro="" textlink="">
      <cdr:nvSpPr>
        <cdr:cNvPr id="6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605946" y="904493"/>
          <a:ext cx="709685" cy="302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D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0.24765</cdr:x>
      <cdr:y>0.4135</cdr:y>
    </cdr:from>
    <cdr:to>
      <cdr:x>0.28011</cdr:x>
      <cdr:y>0.49814</cdr:y>
    </cdr:to>
    <cdr:sp macro="" textlink="">
      <cdr:nvSpPr>
        <cdr:cNvPr id="7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724068" y="1477640"/>
          <a:ext cx="225978" cy="302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E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0.25685</cdr:x>
      <cdr:y>0.19527</cdr:y>
    </cdr:from>
    <cdr:to>
      <cdr:x>0.35879</cdr:x>
      <cdr:y>0.27991</cdr:y>
    </cdr:to>
    <cdr:sp macro="" textlink="">
      <cdr:nvSpPr>
        <cdr:cNvPr id="8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788124" y="697798"/>
          <a:ext cx="709685" cy="302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F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0.27265</cdr:x>
      <cdr:y>0.39378</cdr:y>
    </cdr:from>
    <cdr:to>
      <cdr:x>0.37458</cdr:x>
      <cdr:y>0.47841</cdr:y>
    </cdr:to>
    <cdr:sp macro="" textlink="">
      <cdr:nvSpPr>
        <cdr:cNvPr id="9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898138" y="1407167"/>
          <a:ext cx="709615" cy="302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G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0.28091</cdr:x>
      <cdr:y>0.42923</cdr:y>
    </cdr:from>
    <cdr:to>
      <cdr:x>0.30669</cdr:x>
      <cdr:y>0.51387</cdr:y>
    </cdr:to>
    <cdr:sp macro="" textlink="">
      <cdr:nvSpPr>
        <cdr:cNvPr id="10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955649" y="1533851"/>
          <a:ext cx="179453" cy="302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H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0.31974</cdr:x>
      <cdr:y>0.27192</cdr:y>
    </cdr:from>
    <cdr:to>
      <cdr:x>0.42168</cdr:x>
      <cdr:y>0.35655</cdr:y>
    </cdr:to>
    <cdr:sp macro="" textlink="">
      <cdr:nvSpPr>
        <cdr:cNvPr id="11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225981" y="971709"/>
          <a:ext cx="709685" cy="302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J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0.32368</cdr:x>
      <cdr:y>0.12445</cdr:y>
    </cdr:from>
    <cdr:to>
      <cdr:x>0.42562</cdr:x>
      <cdr:y>0.20909</cdr:y>
    </cdr:to>
    <cdr:sp macro="" textlink="">
      <cdr:nvSpPr>
        <cdr:cNvPr id="12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253411" y="444734"/>
          <a:ext cx="709685" cy="302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just"/>
          <a:r>
            <a:rPr lang="tr-TR" sz="700" b="1">
              <a:solidFill>
                <a:srgbClr val="0000FF"/>
              </a:solidFill>
            </a:rPr>
            <a:t>K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0.40656</cdr:x>
      <cdr:y>0.54913</cdr:y>
    </cdr:from>
    <cdr:to>
      <cdr:x>0.50849</cdr:x>
      <cdr:y>0.63376</cdr:y>
    </cdr:to>
    <cdr:sp macro="" textlink="">
      <cdr:nvSpPr>
        <cdr:cNvPr id="13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830399" y="1962312"/>
          <a:ext cx="709615" cy="302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L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0.47796</cdr:x>
      <cdr:y>0.52904</cdr:y>
    </cdr:from>
    <cdr:to>
      <cdr:x>0.5799</cdr:x>
      <cdr:y>0.61367</cdr:y>
    </cdr:to>
    <cdr:sp macro="" textlink="">
      <cdr:nvSpPr>
        <cdr:cNvPr id="14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3327463" y="1890534"/>
          <a:ext cx="709685" cy="302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M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0.68079</cdr:x>
      <cdr:y>0.52132</cdr:y>
    </cdr:from>
    <cdr:to>
      <cdr:x>0.78273</cdr:x>
      <cdr:y>0.60596</cdr:y>
    </cdr:to>
    <cdr:sp macro="" textlink="">
      <cdr:nvSpPr>
        <cdr:cNvPr id="15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4739524" y="1862957"/>
          <a:ext cx="709685" cy="302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N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12</xdr:row>
      <xdr:rowOff>33337</xdr:rowOff>
    </xdr:from>
    <xdr:to>
      <xdr:col>17</xdr:col>
      <xdr:colOff>319087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60D55-FDBD-48FB-82CE-5093FF862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83950</xdr:colOff>
      <xdr:row>23</xdr:row>
      <xdr:rowOff>16144</xdr:rowOff>
    </xdr:from>
    <xdr:to>
      <xdr:col>11</xdr:col>
      <xdr:colOff>484322</xdr:colOff>
      <xdr:row>23</xdr:row>
      <xdr:rowOff>165543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9E269BAB-F28F-4965-ADD1-6A24DC79CEF3}"/>
            </a:ext>
          </a:extLst>
        </xdr:cNvPr>
        <xdr:cNvSpPr txBox="1"/>
      </xdr:nvSpPr>
      <xdr:spPr>
        <a:xfrm>
          <a:off x="8343255" y="4397644"/>
          <a:ext cx="400372" cy="149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500" b="1">
              <a:solidFill>
                <a:srgbClr val="C00000"/>
              </a:solidFill>
            </a:rPr>
            <a:t>SiO</a:t>
          </a:r>
          <a:r>
            <a:rPr lang="tr-TR" sz="500" b="1" baseline="-25000">
              <a:solidFill>
                <a:srgbClr val="C00000"/>
              </a:solidFill>
            </a:rPr>
            <a:t>2</a:t>
          </a:r>
        </a:p>
      </xdr:txBody>
    </xdr:sp>
    <xdr:clientData/>
  </xdr:twoCellAnchor>
  <xdr:twoCellAnchor>
    <xdr:from>
      <xdr:col>11</xdr:col>
      <xdr:colOff>162319</xdr:colOff>
      <xdr:row>18</xdr:row>
      <xdr:rowOff>40718</xdr:rowOff>
    </xdr:from>
    <xdr:to>
      <xdr:col>11</xdr:col>
      <xdr:colOff>490781</xdr:colOff>
      <xdr:row>19</xdr:row>
      <xdr:rowOff>6458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E2CCEBD0-AF1A-4E0A-8CD4-779E7ADD8AAC}"/>
            </a:ext>
          </a:extLst>
        </xdr:cNvPr>
        <xdr:cNvSpPr txBox="1"/>
      </xdr:nvSpPr>
      <xdr:spPr>
        <a:xfrm>
          <a:off x="8421624" y="3469718"/>
          <a:ext cx="328462" cy="15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500" b="1">
              <a:solidFill>
                <a:srgbClr val="C00000"/>
              </a:solidFill>
            </a:rPr>
            <a:t>Al</a:t>
          </a:r>
          <a:r>
            <a:rPr lang="tr-TR" sz="500" b="1" baseline="-25000">
              <a:solidFill>
                <a:srgbClr val="C00000"/>
              </a:solidFill>
            </a:rPr>
            <a:t>2</a:t>
          </a:r>
          <a:r>
            <a:rPr lang="tr-TR" sz="500" b="1">
              <a:solidFill>
                <a:srgbClr val="C00000"/>
              </a:solidFill>
            </a:rPr>
            <a:t>O</a:t>
          </a:r>
          <a:r>
            <a:rPr lang="tr-TR" sz="500" b="1" baseline="-25000">
              <a:solidFill>
                <a:srgbClr val="C00000"/>
              </a:solidFill>
            </a:rPr>
            <a:t>3</a:t>
          </a:r>
          <a:endParaRPr lang="tr-TR" sz="600" b="1" baseline="-25000">
            <a:solidFill>
              <a:srgbClr val="C00000"/>
            </a:solidFill>
          </a:endParaRPr>
        </a:p>
      </xdr:txBody>
    </xdr:sp>
    <xdr:clientData/>
  </xdr:twoCellAnchor>
  <xdr:twoCellAnchor>
    <xdr:from>
      <xdr:col>11</xdr:col>
      <xdr:colOff>95302</xdr:colOff>
      <xdr:row>19</xdr:row>
      <xdr:rowOff>8150</xdr:rowOff>
    </xdr:from>
    <xdr:to>
      <xdr:col>11</xdr:col>
      <xdr:colOff>196960</xdr:colOff>
      <xdr:row>19</xdr:row>
      <xdr:rowOff>158211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4C57C136-3BE4-471F-B7DD-3E297BAC091C}"/>
            </a:ext>
          </a:extLst>
        </xdr:cNvPr>
        <xdr:cNvSpPr txBox="1"/>
      </xdr:nvSpPr>
      <xdr:spPr>
        <a:xfrm>
          <a:off x="8354607" y="3627650"/>
          <a:ext cx="101658" cy="150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500" b="1">
              <a:solidFill>
                <a:srgbClr val="0000FF"/>
              </a:solidFill>
            </a:rPr>
            <a:t>A</a:t>
          </a:r>
          <a:endParaRPr lang="tr-TR" sz="500" b="1" baseline="-25000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1116296</xdr:colOff>
      <xdr:row>9</xdr:row>
      <xdr:rowOff>142267</xdr:rowOff>
    </xdr:from>
    <xdr:to>
      <xdr:col>2</xdr:col>
      <xdr:colOff>314426</xdr:colOff>
      <xdr:row>10</xdr:row>
      <xdr:rowOff>183924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BD122D45-2955-4F19-951B-F7CA2C05A4AA}"/>
            </a:ext>
          </a:extLst>
        </xdr:cNvPr>
        <xdr:cNvSpPr txBox="1"/>
      </xdr:nvSpPr>
      <xdr:spPr>
        <a:xfrm>
          <a:off x="1278221" y="1856767"/>
          <a:ext cx="464955" cy="2321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800" b="1">
              <a:solidFill>
                <a:srgbClr val="0000FF"/>
              </a:solidFill>
            </a:rPr>
            <a:t>B</a:t>
          </a:r>
          <a:endParaRPr lang="tr-TR" sz="800" b="1" baseline="-25000">
            <a:solidFill>
              <a:srgbClr val="0000FF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108216</xdr:colOff>
      <xdr:row>13</xdr:row>
      <xdr:rowOff>55068</xdr:rowOff>
    </xdr:from>
    <xdr:to>
      <xdr:col>6</xdr:col>
      <xdr:colOff>323369</xdr:colOff>
      <xdr:row>28</xdr:row>
      <xdr:rowOff>114620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468085</xdr:colOff>
      <xdr:row>13</xdr:row>
      <xdr:rowOff>76200</xdr:rowOff>
    </xdr:from>
    <xdr:to>
      <xdr:col>12</xdr:col>
      <xdr:colOff>421981</xdr:colOff>
      <xdr:row>28</xdr:row>
      <xdr:rowOff>135751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29</xdr:row>
      <xdr:rowOff>54429</xdr:rowOff>
    </xdr:from>
    <xdr:to>
      <xdr:col>6</xdr:col>
      <xdr:colOff>291353</xdr:colOff>
      <xdr:row>44</xdr:row>
      <xdr:rowOff>113979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446314</xdr:colOff>
      <xdr:row>29</xdr:row>
      <xdr:rowOff>43543</xdr:rowOff>
    </xdr:from>
    <xdr:to>
      <xdr:col>12</xdr:col>
      <xdr:colOff>400210</xdr:colOff>
      <xdr:row>44</xdr:row>
      <xdr:rowOff>103093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544285</xdr:colOff>
      <xdr:row>13</xdr:row>
      <xdr:rowOff>65314</xdr:rowOff>
    </xdr:from>
    <xdr:to>
      <xdr:col>15</xdr:col>
      <xdr:colOff>2577353</xdr:colOff>
      <xdr:row>28</xdr:row>
      <xdr:rowOff>124865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576942</xdr:colOff>
      <xdr:row>29</xdr:row>
      <xdr:rowOff>97971</xdr:rowOff>
    </xdr:from>
    <xdr:to>
      <xdr:col>15</xdr:col>
      <xdr:colOff>2610010</xdr:colOff>
      <xdr:row>44</xdr:row>
      <xdr:rowOff>157522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2808514</xdr:colOff>
      <xdr:row>13</xdr:row>
      <xdr:rowOff>97971</xdr:rowOff>
    </xdr:from>
    <xdr:to>
      <xdr:col>22</xdr:col>
      <xdr:colOff>432867</xdr:colOff>
      <xdr:row>28</xdr:row>
      <xdr:rowOff>157523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2819400</xdr:colOff>
      <xdr:row>29</xdr:row>
      <xdr:rowOff>119743</xdr:rowOff>
    </xdr:from>
    <xdr:to>
      <xdr:col>22</xdr:col>
      <xdr:colOff>443753</xdr:colOff>
      <xdr:row>44</xdr:row>
      <xdr:rowOff>179295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0.31493</cdr:x>
      <cdr:y>0.27293</cdr:y>
    </cdr:from>
    <cdr:to>
      <cdr:x>0.38773</cdr:x>
      <cdr:y>0.3233</cdr:y>
    </cdr:to>
    <cdr:sp macro="" textlink="">
      <cdr:nvSpPr>
        <cdr:cNvPr id="2" name="Metin kutusu 3">
          <a:extLst xmlns:a="http://schemas.openxmlformats.org/drawingml/2006/main">
            <a:ext uri="{FF2B5EF4-FFF2-40B4-BE49-F238E27FC236}">
              <a16:creationId xmlns:a16="http://schemas.microsoft.com/office/drawing/2014/main" id="{01F68972-F435-42B5-A86D-466C505ABC2C}"/>
            </a:ext>
          </a:extLst>
        </cdr:cNvPr>
        <cdr:cNvSpPr txBox="1"/>
      </cdr:nvSpPr>
      <cdr:spPr>
        <a:xfrm xmlns:a="http://schemas.openxmlformats.org/drawingml/2006/main">
          <a:off x="1441285" y="748698"/>
          <a:ext cx="333191" cy="1381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C00000"/>
              </a:solidFill>
            </a:rPr>
            <a:t>HfO</a:t>
          </a:r>
          <a:r>
            <a:rPr lang="tr-TR" sz="5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0.35803</cdr:x>
      <cdr:y>0.24596</cdr:y>
    </cdr:from>
    <cdr:to>
      <cdr:x>0.44559</cdr:x>
      <cdr:y>0.29034</cdr:y>
    </cdr:to>
    <cdr:sp macro="" textlink="">
      <cdr:nvSpPr>
        <cdr:cNvPr id="3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1638550" y="674731"/>
          <a:ext cx="400689" cy="121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C00000"/>
              </a:solidFill>
            </a:rPr>
            <a:t>La</a:t>
          </a:r>
          <a:r>
            <a:rPr lang="tr-TR" sz="500" b="1" baseline="-25000">
              <a:solidFill>
                <a:srgbClr val="C00000"/>
              </a:solidFill>
            </a:rPr>
            <a:t>2</a:t>
          </a:r>
          <a:r>
            <a:rPr lang="tr-TR" sz="500" b="1">
              <a:solidFill>
                <a:srgbClr val="C00000"/>
              </a:solidFill>
            </a:rPr>
            <a:t>O</a:t>
          </a:r>
          <a:r>
            <a:rPr lang="tr-TR" sz="500" b="1" baseline="-25000">
              <a:solidFill>
                <a:srgbClr val="C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0.90442</cdr:x>
      <cdr:y>0.10184</cdr:y>
    </cdr:from>
    <cdr:to>
      <cdr:x>0.9846</cdr:x>
      <cdr:y>0.14204</cdr:y>
    </cdr:to>
    <cdr:sp macro="" textlink="">
      <cdr:nvSpPr>
        <cdr:cNvPr id="4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4139096" y="279360"/>
          <a:ext cx="366957" cy="1102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C00000"/>
              </a:solidFill>
            </a:rPr>
            <a:t>TiO</a:t>
          </a:r>
          <a:r>
            <a:rPr lang="tr-TR" sz="5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0.20357</cdr:x>
      <cdr:y>0.35563</cdr:y>
    </cdr:from>
    <cdr:to>
      <cdr:x>0.23323</cdr:x>
      <cdr:y>0.40098</cdr:y>
    </cdr:to>
    <cdr:sp macro="" textlink="">
      <cdr:nvSpPr>
        <cdr:cNvPr id="5" name="Metin kutusu 4">
          <a:extLst xmlns:a="http://schemas.openxmlformats.org/drawingml/2006/main">
            <a:ext uri="{FF2B5EF4-FFF2-40B4-BE49-F238E27FC236}">
              <a16:creationId xmlns:a16="http://schemas.microsoft.com/office/drawing/2014/main" id="{F3EF1E24-A8C2-4DED-A1D7-425A25945E70}"/>
            </a:ext>
          </a:extLst>
        </cdr:cNvPr>
        <cdr:cNvSpPr txBox="1"/>
      </cdr:nvSpPr>
      <cdr:spPr>
        <a:xfrm xmlns:a="http://schemas.openxmlformats.org/drawingml/2006/main">
          <a:off x="931665" y="975564"/>
          <a:ext cx="135700" cy="124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C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0.21541</cdr:x>
      <cdr:y>0.37636</cdr:y>
    </cdr:from>
    <cdr:to>
      <cdr:x>0.25282</cdr:x>
      <cdr:y>0.4305</cdr:y>
    </cdr:to>
    <cdr:sp macro="" textlink="">
      <cdr:nvSpPr>
        <cdr:cNvPr id="6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982388" y="1032423"/>
          <a:ext cx="170644" cy="1485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D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0.23261</cdr:x>
      <cdr:y>0.24005</cdr:y>
    </cdr:from>
    <cdr:to>
      <cdr:x>0.26356</cdr:x>
      <cdr:y>0.28681</cdr:y>
    </cdr:to>
    <cdr:sp macro="" textlink="">
      <cdr:nvSpPr>
        <cdr:cNvPr id="7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064539" y="658495"/>
          <a:ext cx="141666" cy="128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E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0.25135</cdr:x>
      <cdr:y>0.32583</cdr:y>
    </cdr:from>
    <cdr:to>
      <cdr:x>0.28543</cdr:x>
      <cdr:y>0.375</cdr:y>
    </cdr:to>
    <cdr:sp macro="" textlink="">
      <cdr:nvSpPr>
        <cdr:cNvPr id="8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151700" y="893807"/>
          <a:ext cx="156180" cy="134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F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0.25166</cdr:x>
      <cdr:y>0.25976</cdr:y>
    </cdr:from>
    <cdr:to>
      <cdr:x>0.29108</cdr:x>
      <cdr:y>0.31388</cdr:y>
    </cdr:to>
    <cdr:sp macro="" textlink="">
      <cdr:nvSpPr>
        <cdr:cNvPr id="9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151712" y="712581"/>
          <a:ext cx="180416" cy="1484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G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0.27289</cdr:x>
      <cdr:y>0.24993</cdr:y>
    </cdr:from>
    <cdr:to>
      <cdr:x>0.32214</cdr:x>
      <cdr:y>0.31035</cdr:y>
    </cdr:to>
    <cdr:sp macro="" textlink="">
      <cdr:nvSpPr>
        <cdr:cNvPr id="10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244546" y="685609"/>
          <a:ext cx="224635" cy="1657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H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0.30599</cdr:x>
      <cdr:y>0.38071</cdr:y>
    </cdr:from>
    <cdr:to>
      <cdr:x>0.33482</cdr:x>
      <cdr:y>0.43398</cdr:y>
    </cdr:to>
    <cdr:sp macro="" textlink="">
      <cdr:nvSpPr>
        <cdr:cNvPr id="11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402071" y="1044358"/>
          <a:ext cx="132100" cy="146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J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0.3025</cdr:x>
      <cdr:y>0.48819</cdr:y>
    </cdr:from>
    <cdr:to>
      <cdr:x>0.34399</cdr:x>
      <cdr:y>0.53046</cdr:y>
    </cdr:to>
    <cdr:sp macro="" textlink="">
      <cdr:nvSpPr>
        <cdr:cNvPr id="12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384383" y="1339203"/>
          <a:ext cx="189908" cy="115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just"/>
          <a:r>
            <a:rPr lang="tr-TR" sz="500" b="1">
              <a:solidFill>
                <a:srgbClr val="0000FF"/>
              </a:solidFill>
            </a:rPr>
            <a:t>K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0.38718</cdr:x>
      <cdr:y>0.17015</cdr:y>
    </cdr:from>
    <cdr:to>
      <cdr:x>0.41948</cdr:x>
      <cdr:y>0.21501</cdr:y>
    </cdr:to>
    <cdr:sp macro="" textlink="">
      <cdr:nvSpPr>
        <cdr:cNvPr id="13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771932" y="466752"/>
          <a:ext cx="147842" cy="1230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L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0.45548</cdr:x>
      <cdr:y>0.18172</cdr:y>
    </cdr:from>
    <cdr:to>
      <cdr:x>0.49858</cdr:x>
      <cdr:y>0.21832</cdr:y>
    </cdr:to>
    <cdr:sp macro="" textlink="">
      <cdr:nvSpPr>
        <cdr:cNvPr id="14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087019" y="498503"/>
          <a:ext cx="197507" cy="100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M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0.65827</cdr:x>
      <cdr:y>0.13105</cdr:y>
    </cdr:from>
    <cdr:to>
      <cdr:x>0.70252</cdr:x>
      <cdr:y>0.17675</cdr:y>
    </cdr:to>
    <cdr:sp macro="" textlink="">
      <cdr:nvSpPr>
        <cdr:cNvPr id="15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3002133" y="359509"/>
          <a:ext cx="201814" cy="1253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N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0.20182</cdr:x>
      <cdr:y>0.47746</cdr:y>
    </cdr:from>
    <cdr:to>
      <cdr:x>0.23393</cdr:x>
      <cdr:y>0.52575</cdr:y>
    </cdr:to>
    <cdr:sp macro="" textlink="">
      <cdr:nvSpPr>
        <cdr:cNvPr id="16" name="Metin kutusu 1">
          <a:extLst xmlns:a="http://schemas.openxmlformats.org/drawingml/2006/main">
            <a:ext uri="{FF2B5EF4-FFF2-40B4-BE49-F238E27FC236}">
              <a16:creationId xmlns:a16="http://schemas.microsoft.com/office/drawing/2014/main" id="{A962C162-8478-44AA-8372-6B73F097CC80}"/>
            </a:ext>
          </a:extLst>
        </cdr:cNvPr>
        <cdr:cNvSpPr txBox="1"/>
      </cdr:nvSpPr>
      <cdr:spPr>
        <a:xfrm xmlns:a="http://schemas.openxmlformats.org/drawingml/2006/main">
          <a:off x="923626" y="1309766"/>
          <a:ext cx="146968" cy="132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500" b="1">
              <a:solidFill>
                <a:srgbClr val="0000FF"/>
              </a:solidFill>
            </a:rPr>
            <a:t>B</a:t>
          </a:r>
          <a:endParaRPr lang="tr-TR" sz="500" b="1" baseline="-25000">
            <a:solidFill>
              <a:srgbClr val="0000FF"/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28226</xdr:colOff>
      <xdr:row>11</xdr:row>
      <xdr:rowOff>140203</xdr:rowOff>
    </xdr:from>
    <xdr:to>
      <xdr:col>17</xdr:col>
      <xdr:colOff>492512</xdr:colOff>
      <xdr:row>26</xdr:row>
      <xdr:rowOff>25903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33A6A-CEF8-4666-84DA-CC6BE8459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144040</xdr:colOff>
      <xdr:row>12</xdr:row>
      <xdr:rowOff>900230</xdr:rowOff>
    </xdr:from>
    <xdr:to>
      <xdr:col>12</xdr:col>
      <xdr:colOff>1164</xdr:colOff>
      <xdr:row>14</xdr:row>
      <xdr:rowOff>17280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42677A0C-745D-4EA4-9ED4-6534FC5270DE}"/>
            </a:ext>
          </a:extLst>
        </xdr:cNvPr>
        <xdr:cNvSpPr txBox="1"/>
      </xdr:nvSpPr>
      <xdr:spPr>
        <a:xfrm>
          <a:off x="8163625" y="3186230"/>
          <a:ext cx="465795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SiO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xdr:txBody>
    </xdr:sp>
    <xdr:clientData/>
  </xdr:twoCellAnchor>
  <xdr:twoCellAnchor>
    <xdr:from>
      <xdr:col>11</xdr:col>
      <xdr:colOff>455577</xdr:colOff>
      <xdr:row>15</xdr:row>
      <xdr:rowOff>57587</xdr:rowOff>
    </xdr:from>
    <xdr:to>
      <xdr:col>12</xdr:col>
      <xdr:colOff>312702</xdr:colOff>
      <xdr:row>16</xdr:row>
      <xdr:rowOff>99259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1B8EFF38-2155-452A-80D6-5B96EB5EF7AC}"/>
            </a:ext>
          </a:extLst>
        </xdr:cNvPr>
        <xdr:cNvSpPr txBox="1"/>
      </xdr:nvSpPr>
      <xdr:spPr>
        <a:xfrm>
          <a:off x="8475162" y="3649209"/>
          <a:ext cx="465796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C00000"/>
              </a:solidFill>
            </a:rPr>
            <a:t>Al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xdr:txBody>
    </xdr:sp>
    <xdr:clientData/>
  </xdr:twoCellAnchor>
  <xdr:twoCellAnchor>
    <xdr:from>
      <xdr:col>2</xdr:col>
      <xdr:colOff>170902</xdr:colOff>
      <xdr:row>12</xdr:row>
      <xdr:rowOff>440405</xdr:rowOff>
    </xdr:from>
    <xdr:to>
      <xdr:col>2</xdr:col>
      <xdr:colOff>366713</xdr:colOff>
      <xdr:row>12</xdr:row>
      <xdr:rowOff>631090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C2BFCFFF-5544-4F04-B3BE-FE49C6B8A872}"/>
            </a:ext>
          </a:extLst>
        </xdr:cNvPr>
        <xdr:cNvSpPr txBox="1"/>
      </xdr:nvSpPr>
      <xdr:spPr>
        <a:xfrm>
          <a:off x="1601975" y="2726405"/>
          <a:ext cx="195811" cy="190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A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444481</xdr:colOff>
      <xdr:row>16</xdr:row>
      <xdr:rowOff>186175</xdr:rowOff>
    </xdr:from>
    <xdr:to>
      <xdr:col>12</xdr:col>
      <xdr:colOff>0</xdr:colOff>
      <xdr:row>17</xdr:row>
      <xdr:rowOff>185853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DAAF5E6F-BDBF-49FC-A9A6-CD56530E09BD}"/>
            </a:ext>
          </a:extLst>
        </xdr:cNvPr>
        <xdr:cNvSpPr txBox="1"/>
      </xdr:nvSpPr>
      <xdr:spPr>
        <a:xfrm>
          <a:off x="8464066" y="3968297"/>
          <a:ext cx="164190" cy="19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700" b="1">
              <a:solidFill>
                <a:srgbClr val="0000FF"/>
              </a:solidFill>
            </a:rPr>
            <a:t>B</a:t>
          </a:r>
          <a:endParaRPr lang="tr-TR" sz="700" b="1" baseline="-25000">
            <a:solidFill>
              <a:srgbClr val="0000FF"/>
            </a:solidFill>
          </a:endParaRPr>
        </a:p>
      </xdr:txBody>
    </xdr:sp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0.33365</cdr:x>
      <cdr:y>0.53019</cdr:y>
    </cdr:from>
    <cdr:to>
      <cdr:x>0.41589</cdr:x>
      <cdr:y>0.58635</cdr:y>
    </cdr:to>
    <cdr:sp macro="" textlink="">
      <cdr:nvSpPr>
        <cdr:cNvPr id="2" name="Metin kutusu 3">
          <a:extLst xmlns:a="http://schemas.openxmlformats.org/drawingml/2006/main">
            <a:ext uri="{FF2B5EF4-FFF2-40B4-BE49-F238E27FC236}">
              <a16:creationId xmlns:a16="http://schemas.microsoft.com/office/drawing/2014/main" id="{01F68972-F435-42B5-A86D-466C505ABC2C}"/>
            </a:ext>
          </a:extLst>
        </cdr:cNvPr>
        <cdr:cNvSpPr txBox="1"/>
      </cdr:nvSpPr>
      <cdr:spPr>
        <a:xfrm xmlns:a="http://schemas.openxmlformats.org/drawingml/2006/main">
          <a:off x="1576491" y="1843636"/>
          <a:ext cx="388563" cy="1952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HfO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0.37643</cdr:x>
      <cdr:y>0.56424</cdr:y>
    </cdr:from>
    <cdr:to>
      <cdr:x>0.47489</cdr:x>
      <cdr:y>0.6251</cdr:y>
    </cdr:to>
    <cdr:sp macro="" textlink="">
      <cdr:nvSpPr>
        <cdr:cNvPr id="3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1778609" y="1962028"/>
          <a:ext cx="465226" cy="2116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La</a:t>
          </a:r>
          <a:r>
            <a:rPr lang="tr-TR" sz="700" b="1" baseline="-25000">
              <a:solidFill>
                <a:srgbClr val="C00000"/>
              </a:solidFill>
            </a:rPr>
            <a:t>2</a:t>
          </a:r>
          <a:r>
            <a:rPr lang="tr-TR" sz="700" b="1">
              <a:solidFill>
                <a:srgbClr val="C00000"/>
              </a:solidFill>
            </a:rPr>
            <a:t>O</a:t>
          </a:r>
          <a:r>
            <a:rPr lang="tr-TR" sz="700" b="1" baseline="-25000">
              <a:solidFill>
                <a:srgbClr val="C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0.90378</cdr:x>
      <cdr:y>0.62551</cdr:y>
    </cdr:from>
    <cdr:to>
      <cdr:x>0.97935</cdr:x>
      <cdr:y>0.68523</cdr:y>
    </cdr:to>
    <cdr:sp macro="" textlink="">
      <cdr:nvSpPr>
        <cdr:cNvPr id="4" name="Metin kutusu 3">
          <a:extLst xmlns:a="http://schemas.openxmlformats.org/drawingml/2006/main">
            <a:ext uri="{FF2B5EF4-FFF2-40B4-BE49-F238E27FC236}">
              <a16:creationId xmlns:a16="http://schemas.microsoft.com/office/drawing/2014/main" id="{3681B682-3991-78B6-7DE1-93817734AC77}"/>
            </a:ext>
          </a:extLst>
        </cdr:cNvPr>
        <cdr:cNvSpPr txBox="1"/>
      </cdr:nvSpPr>
      <cdr:spPr>
        <a:xfrm xmlns:a="http://schemas.openxmlformats.org/drawingml/2006/main">
          <a:off x="4270361" y="2175090"/>
          <a:ext cx="357047" cy="207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C00000"/>
              </a:solidFill>
            </a:rPr>
            <a:t>TiO</a:t>
          </a:r>
          <a:r>
            <a:rPr lang="tr-TR" sz="700" b="1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0.21317</cdr:x>
      <cdr:y>0.57828</cdr:y>
    </cdr:from>
    <cdr:to>
      <cdr:x>0.25462</cdr:x>
      <cdr:y>0.63312</cdr:y>
    </cdr:to>
    <cdr:sp macro="" textlink="">
      <cdr:nvSpPr>
        <cdr:cNvPr id="5" name="Metin kutusu 4">
          <a:extLst xmlns:a="http://schemas.openxmlformats.org/drawingml/2006/main">
            <a:ext uri="{FF2B5EF4-FFF2-40B4-BE49-F238E27FC236}">
              <a16:creationId xmlns:a16="http://schemas.microsoft.com/office/drawing/2014/main" id="{F3EF1E24-A8C2-4DED-A1D7-425A25945E70}"/>
            </a:ext>
          </a:extLst>
        </cdr:cNvPr>
        <cdr:cNvSpPr txBox="1"/>
      </cdr:nvSpPr>
      <cdr:spPr>
        <a:xfrm xmlns:a="http://schemas.openxmlformats.org/drawingml/2006/main">
          <a:off x="1007243" y="2010868"/>
          <a:ext cx="195811" cy="190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C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0.22552</cdr:x>
      <cdr:y>0.55258</cdr:y>
    </cdr:from>
    <cdr:to>
      <cdr:x>0.27625</cdr:x>
      <cdr:y>0.60239</cdr:y>
    </cdr:to>
    <cdr:sp macro="" textlink="">
      <cdr:nvSpPr>
        <cdr:cNvPr id="6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065596" y="1921508"/>
          <a:ext cx="239678" cy="1731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D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0.24251</cdr:x>
      <cdr:y>0.6317</cdr:y>
    </cdr:from>
    <cdr:to>
      <cdr:x>0.28215</cdr:x>
      <cdr:y>0.68656</cdr:y>
    </cdr:to>
    <cdr:sp macro="" textlink="">
      <cdr:nvSpPr>
        <cdr:cNvPr id="7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145872" y="2196613"/>
          <a:ext cx="187279" cy="1907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E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0.26342</cdr:x>
      <cdr:y>0.59411</cdr:y>
    </cdr:from>
    <cdr:to>
      <cdr:x>0.3087</cdr:x>
      <cdr:y>0.65182</cdr:y>
    </cdr:to>
    <cdr:sp macro="" textlink="">
      <cdr:nvSpPr>
        <cdr:cNvPr id="8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244671" y="2065922"/>
          <a:ext cx="213930" cy="2006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F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0.26768</cdr:x>
      <cdr:y>0.65047</cdr:y>
    </cdr:from>
    <cdr:to>
      <cdr:x>0.31067</cdr:x>
      <cdr:y>0.69993</cdr:y>
    </cdr:to>
    <cdr:sp macro="" textlink="">
      <cdr:nvSpPr>
        <cdr:cNvPr id="9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264801" y="2261879"/>
          <a:ext cx="203095" cy="1719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G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0.29056</cdr:x>
      <cdr:y>0.62068</cdr:y>
    </cdr:from>
    <cdr:to>
      <cdr:x>0.3382</cdr:x>
      <cdr:y>0.67721</cdr:y>
    </cdr:to>
    <cdr:sp macro="" textlink="">
      <cdr:nvSpPr>
        <cdr:cNvPr id="10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372895" y="2158290"/>
          <a:ext cx="225100" cy="1965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H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0.31769</cdr:x>
      <cdr:y>0.55977</cdr:y>
    </cdr:from>
    <cdr:to>
      <cdr:x>0.35984</cdr:x>
      <cdr:y>0.61174</cdr:y>
    </cdr:to>
    <cdr:sp macro="" textlink="">
      <cdr:nvSpPr>
        <cdr:cNvPr id="11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501067" y="1946485"/>
          <a:ext cx="199147" cy="1807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J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0.31995</cdr:x>
      <cdr:y>0.49334</cdr:y>
    </cdr:from>
    <cdr:to>
      <cdr:x>0.37164</cdr:x>
      <cdr:y>0.55295</cdr:y>
    </cdr:to>
    <cdr:sp macro="" textlink="">
      <cdr:nvSpPr>
        <cdr:cNvPr id="12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511776" y="1715503"/>
          <a:ext cx="244193" cy="207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just"/>
          <a:r>
            <a:rPr lang="tr-TR" sz="700" b="1">
              <a:solidFill>
                <a:srgbClr val="0000FF"/>
              </a:solidFill>
            </a:rPr>
            <a:t>K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0.40359</cdr:x>
      <cdr:y>0.65772</cdr:y>
    </cdr:from>
    <cdr:to>
      <cdr:x>0.45227</cdr:x>
      <cdr:y>0.70394</cdr:y>
    </cdr:to>
    <cdr:sp macro="" textlink="">
      <cdr:nvSpPr>
        <cdr:cNvPr id="13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1906972" y="2287089"/>
          <a:ext cx="229996" cy="1607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L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0.47482</cdr:x>
      <cdr:y>0.69263</cdr:y>
    </cdr:from>
    <cdr:to>
      <cdr:x>0.53389</cdr:x>
      <cdr:y>0.74402</cdr:y>
    </cdr:to>
    <cdr:sp macro="" textlink="">
      <cdr:nvSpPr>
        <cdr:cNvPr id="14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2243518" y="2408489"/>
          <a:ext cx="279097" cy="1787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M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0.6764</cdr:x>
      <cdr:y>0.75641</cdr:y>
    </cdr:from>
    <cdr:to>
      <cdr:x>0.72466</cdr:x>
      <cdr:y>0.81083</cdr:y>
    </cdr:to>
    <cdr:sp macro="" textlink="">
      <cdr:nvSpPr>
        <cdr:cNvPr id="15" name="Metin kutusu 1">
          <a:extLst xmlns:a="http://schemas.openxmlformats.org/drawingml/2006/main">
            <a:ext uri="{FF2B5EF4-FFF2-40B4-BE49-F238E27FC236}">
              <a16:creationId xmlns:a16="http://schemas.microsoft.com/office/drawing/2014/main" id="{EF4AF491-92F1-2DF0-8958-385A77154988}"/>
            </a:ext>
          </a:extLst>
        </cdr:cNvPr>
        <cdr:cNvSpPr txBox="1"/>
      </cdr:nvSpPr>
      <cdr:spPr>
        <a:xfrm xmlns:a="http://schemas.openxmlformats.org/drawingml/2006/main">
          <a:off x="3195964" y="2630288"/>
          <a:ext cx="228042" cy="1892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N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0.16022</cdr:x>
      <cdr:y>0.43283</cdr:y>
    </cdr:from>
    <cdr:to>
      <cdr:x>0.20166</cdr:x>
      <cdr:y>0.48767</cdr:y>
    </cdr:to>
    <cdr:sp macro="" textlink="">
      <cdr:nvSpPr>
        <cdr:cNvPr id="16" name="Metin kutusu 1">
          <a:extLst xmlns:a="http://schemas.openxmlformats.org/drawingml/2006/main">
            <a:ext uri="{FF2B5EF4-FFF2-40B4-BE49-F238E27FC236}">
              <a16:creationId xmlns:a16="http://schemas.microsoft.com/office/drawing/2014/main" id="{CAC64DA2-6B88-5E8C-BBC0-B2467D039F3A}"/>
            </a:ext>
          </a:extLst>
        </cdr:cNvPr>
        <cdr:cNvSpPr txBox="1"/>
      </cdr:nvSpPr>
      <cdr:spPr>
        <a:xfrm xmlns:a="http://schemas.openxmlformats.org/drawingml/2006/main">
          <a:off x="757044" y="1505105"/>
          <a:ext cx="195811" cy="190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700" b="1">
              <a:solidFill>
                <a:srgbClr val="0000FF"/>
              </a:solidFill>
            </a:rPr>
            <a:t>A</a:t>
          </a:r>
          <a:endParaRPr lang="tr-TR" sz="700" b="1" baseline="-25000">
            <a:solidFill>
              <a:srgbClr val="0000FF"/>
            </a:solidFill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239961</xdr:colOff>
      <xdr:row>48</xdr:row>
      <xdr:rowOff>89287</xdr:rowOff>
    </xdr:from>
    <xdr:to>
      <xdr:col>30</xdr:col>
      <xdr:colOff>152400</xdr:colOff>
      <xdr:row>69</xdr:row>
      <xdr:rowOff>526373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119</xdr:col>
      <xdr:colOff>62347</xdr:colOff>
      <xdr:row>113</xdr:row>
      <xdr:rowOff>144864</xdr:rowOff>
    </xdr:from>
    <xdr:to>
      <xdr:col>132</xdr:col>
      <xdr:colOff>199399</xdr:colOff>
      <xdr:row>148</xdr:row>
      <xdr:rowOff>99289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588372</xdr:colOff>
      <xdr:row>145</xdr:row>
      <xdr:rowOff>87492</xdr:rowOff>
    </xdr:from>
    <xdr:to>
      <xdr:col>29</xdr:col>
      <xdr:colOff>1066800</xdr:colOff>
      <xdr:row>180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554275</xdr:colOff>
      <xdr:row>223</xdr:row>
      <xdr:rowOff>10230</xdr:rowOff>
    </xdr:from>
    <xdr:to>
      <xdr:col>30</xdr:col>
      <xdr:colOff>533400</xdr:colOff>
      <xdr:row>258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119</xdr:col>
      <xdr:colOff>114885</xdr:colOff>
      <xdr:row>54</xdr:row>
      <xdr:rowOff>120782</xdr:rowOff>
    </xdr:from>
    <xdr:to>
      <xdr:col>140</xdr:col>
      <xdr:colOff>125524</xdr:colOff>
      <xdr:row>70</xdr:row>
      <xdr:rowOff>169731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240830</xdr:colOff>
      <xdr:row>72</xdr:row>
      <xdr:rowOff>66125</xdr:rowOff>
    </xdr:from>
    <xdr:to>
      <xdr:col>30</xdr:col>
      <xdr:colOff>152400</xdr:colOff>
      <xdr:row>108</xdr:row>
      <xdr:rowOff>131703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47409</xdr:colOff>
      <xdr:row>64</xdr:row>
      <xdr:rowOff>39951</xdr:rowOff>
    </xdr:from>
    <xdr:to>
      <xdr:col>55</xdr:col>
      <xdr:colOff>163965</xdr:colOff>
      <xdr:row>96</xdr:row>
      <xdr:rowOff>90782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185170</xdr:colOff>
      <xdr:row>64</xdr:row>
      <xdr:rowOff>27445</xdr:rowOff>
    </xdr:from>
    <xdr:to>
      <xdr:col>66</xdr:col>
      <xdr:colOff>589671</xdr:colOff>
      <xdr:row>96</xdr:row>
      <xdr:rowOff>73855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594313</xdr:colOff>
      <xdr:row>64</xdr:row>
      <xdr:rowOff>30480</xdr:rowOff>
    </xdr:from>
    <xdr:to>
      <xdr:col>79</xdr:col>
      <xdr:colOff>453683</xdr:colOff>
      <xdr:row>96</xdr:row>
      <xdr:rowOff>89095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142694</xdr:colOff>
      <xdr:row>96</xdr:row>
      <xdr:rowOff>94423</xdr:rowOff>
    </xdr:from>
    <xdr:to>
      <xdr:col>66</xdr:col>
      <xdr:colOff>576775</xdr:colOff>
      <xdr:row>122</xdr:row>
      <xdr:rowOff>38307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45720</xdr:colOff>
      <xdr:row>96</xdr:row>
      <xdr:rowOff>72909</xdr:rowOff>
    </xdr:from>
    <xdr:to>
      <xdr:col>55</xdr:col>
      <xdr:colOff>137160</xdr:colOff>
      <xdr:row>122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0</xdr:colOff>
      <xdr:row>96</xdr:row>
      <xdr:rowOff>91440</xdr:rowOff>
    </xdr:from>
    <xdr:to>
      <xdr:col>79</xdr:col>
      <xdr:colOff>457200</xdr:colOff>
      <xdr:row>122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127000</xdr:colOff>
      <xdr:row>110</xdr:row>
      <xdr:rowOff>301646</xdr:rowOff>
    </xdr:from>
    <xdr:to>
      <xdr:col>30</xdr:col>
      <xdr:colOff>76200</xdr:colOff>
      <xdr:row>142</xdr:row>
      <xdr:rowOff>15231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119</xdr:col>
      <xdr:colOff>113783</xdr:colOff>
      <xdr:row>82</xdr:row>
      <xdr:rowOff>14653</xdr:rowOff>
    </xdr:from>
    <xdr:to>
      <xdr:col>132</xdr:col>
      <xdr:colOff>562018</xdr:colOff>
      <xdr:row>112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248824</xdr:colOff>
      <xdr:row>184</xdr:row>
      <xdr:rowOff>82315</xdr:rowOff>
    </xdr:from>
    <xdr:to>
      <xdr:col>30</xdr:col>
      <xdr:colOff>228600</xdr:colOff>
      <xdr:row>219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440487</xdr:colOff>
      <xdr:row>9</xdr:row>
      <xdr:rowOff>181473</xdr:rowOff>
    </xdr:from>
    <xdr:to>
      <xdr:col>5</xdr:col>
      <xdr:colOff>783565</xdr:colOff>
      <xdr:row>11</xdr:row>
      <xdr:rowOff>6220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9627" y="2406513"/>
          <a:ext cx="343078" cy="190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103909</xdr:colOff>
      <xdr:row>262</xdr:row>
      <xdr:rowOff>124690</xdr:rowOff>
    </xdr:from>
    <xdr:to>
      <xdr:col>30</xdr:col>
      <xdr:colOff>487402</xdr:colOff>
      <xdr:row>300</xdr:row>
      <xdr:rowOff>28376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30078</xdr:colOff>
      <xdr:row>42</xdr:row>
      <xdr:rowOff>110289</xdr:rowOff>
    </xdr:from>
    <xdr:to>
      <xdr:col>4</xdr:col>
      <xdr:colOff>319639</xdr:colOff>
      <xdr:row>44</xdr:row>
      <xdr:rowOff>171249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289" y="7910763"/>
          <a:ext cx="2635718" cy="391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63745</xdr:colOff>
      <xdr:row>36</xdr:row>
      <xdr:rowOff>3399</xdr:rowOff>
    </xdr:from>
    <xdr:to>
      <xdr:col>6</xdr:col>
      <xdr:colOff>596347</xdr:colOff>
      <xdr:row>51</xdr:row>
      <xdr:rowOff>147727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4260</xdr:colOff>
      <xdr:row>55</xdr:row>
      <xdr:rowOff>175592</xdr:rowOff>
    </xdr:from>
    <xdr:to>
      <xdr:col>12</xdr:col>
      <xdr:colOff>587633</xdr:colOff>
      <xdr:row>71</xdr:row>
      <xdr:rowOff>47404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837419</xdr:colOff>
      <xdr:row>37</xdr:row>
      <xdr:rowOff>20812</xdr:rowOff>
    </xdr:from>
    <xdr:to>
      <xdr:col>22</xdr:col>
      <xdr:colOff>441745</xdr:colOff>
      <xdr:row>52</xdr:row>
      <xdr:rowOff>102801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501536</xdr:colOff>
      <xdr:row>55</xdr:row>
      <xdr:rowOff>135288</xdr:rowOff>
    </xdr:from>
    <xdr:to>
      <xdr:col>8</xdr:col>
      <xdr:colOff>35781</xdr:colOff>
      <xdr:row>71</xdr:row>
      <xdr:rowOff>14719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654725</xdr:colOff>
      <xdr:row>36</xdr:row>
      <xdr:rowOff>3398</xdr:rowOff>
    </xdr:from>
    <xdr:to>
      <xdr:col>12</xdr:col>
      <xdr:colOff>408615</xdr:colOff>
      <xdr:row>51</xdr:row>
      <xdr:rowOff>102753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400253</xdr:colOff>
      <xdr:row>36</xdr:row>
      <xdr:rowOff>53772</xdr:rowOff>
    </xdr:from>
    <xdr:to>
      <xdr:col>18</xdr:col>
      <xdr:colOff>828268</xdr:colOff>
      <xdr:row>51</xdr:row>
      <xdr:rowOff>102789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684701</xdr:colOff>
      <xdr:row>56</xdr:row>
      <xdr:rowOff>36530</xdr:rowOff>
    </xdr:from>
    <xdr:to>
      <xdr:col>20</xdr:col>
      <xdr:colOff>519049</xdr:colOff>
      <xdr:row>72</xdr:row>
      <xdr:rowOff>2890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79402</xdr:colOff>
      <xdr:row>56</xdr:row>
      <xdr:rowOff>97658</xdr:rowOff>
    </xdr:from>
    <xdr:to>
      <xdr:col>18</xdr:col>
      <xdr:colOff>410623</xdr:colOff>
      <xdr:row>71</xdr:row>
      <xdr:rowOff>157210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55217</xdr:colOff>
      <xdr:row>19</xdr:row>
      <xdr:rowOff>176696</xdr:rowOff>
    </xdr:from>
    <xdr:to>
      <xdr:col>6</xdr:col>
      <xdr:colOff>585303</xdr:colOff>
      <xdr:row>35</xdr:row>
      <xdr:rowOff>135436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773043</xdr:colOff>
      <xdr:row>20</xdr:row>
      <xdr:rowOff>44172</xdr:rowOff>
    </xdr:from>
    <xdr:to>
      <xdr:col>17</xdr:col>
      <xdr:colOff>839303</xdr:colOff>
      <xdr:row>36</xdr:row>
      <xdr:rowOff>2913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662608</xdr:colOff>
      <xdr:row>20</xdr:row>
      <xdr:rowOff>55219</xdr:rowOff>
    </xdr:from>
    <xdr:to>
      <xdr:col>11</xdr:col>
      <xdr:colOff>728869</xdr:colOff>
      <xdr:row>36</xdr:row>
      <xdr:rowOff>13960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20</xdr:row>
      <xdr:rowOff>110436</xdr:rowOff>
    </xdr:from>
    <xdr:to>
      <xdr:col>19</xdr:col>
      <xdr:colOff>2506869</xdr:colOff>
      <xdr:row>36</xdr:row>
      <xdr:rowOff>69177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668432</xdr:colOff>
      <xdr:row>38</xdr:row>
      <xdr:rowOff>154634</xdr:rowOff>
    </xdr:from>
    <xdr:to>
      <xdr:col>14</xdr:col>
      <xdr:colOff>332510</xdr:colOff>
      <xdr:row>54</xdr:row>
      <xdr:rowOff>164379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55217</xdr:colOff>
      <xdr:row>22</xdr:row>
      <xdr:rowOff>176696</xdr:rowOff>
    </xdr:from>
    <xdr:to>
      <xdr:col>6</xdr:col>
      <xdr:colOff>555812</xdr:colOff>
      <xdr:row>38</xdr:row>
      <xdr:rowOff>135436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484909</xdr:colOff>
      <xdr:row>21</xdr:row>
      <xdr:rowOff>166255</xdr:rowOff>
    </xdr:from>
    <xdr:to>
      <xdr:col>19</xdr:col>
      <xdr:colOff>358819</xdr:colOff>
      <xdr:row>38</xdr:row>
      <xdr:rowOff>7312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635620</xdr:colOff>
      <xdr:row>22</xdr:row>
      <xdr:rowOff>158750</xdr:rowOff>
    </xdr:from>
    <xdr:to>
      <xdr:col>14</xdr:col>
      <xdr:colOff>346363</xdr:colOff>
      <xdr:row>38</xdr:row>
      <xdr:rowOff>136228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45838</xdr:colOff>
      <xdr:row>38</xdr:row>
      <xdr:rowOff>148679</xdr:rowOff>
    </xdr:from>
    <xdr:to>
      <xdr:col>6</xdr:col>
      <xdr:colOff>650426</xdr:colOff>
      <xdr:row>54</xdr:row>
      <xdr:rowOff>176789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443345</xdr:colOff>
      <xdr:row>38</xdr:row>
      <xdr:rowOff>118823</xdr:rowOff>
    </xdr:from>
    <xdr:to>
      <xdr:col>19</xdr:col>
      <xdr:colOff>311920</xdr:colOff>
      <xdr:row>54</xdr:row>
      <xdr:rowOff>75623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499826</xdr:colOff>
      <xdr:row>22</xdr:row>
      <xdr:rowOff>13759</xdr:rowOff>
    </xdr:from>
    <xdr:to>
      <xdr:col>22</xdr:col>
      <xdr:colOff>2700537</xdr:colOff>
      <xdr:row>37</xdr:row>
      <xdr:rowOff>170096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38</xdr:row>
      <xdr:rowOff>169846</xdr:rowOff>
    </xdr:from>
    <xdr:to>
      <xdr:col>22</xdr:col>
      <xdr:colOff>1959255</xdr:colOff>
      <xdr:row>55</xdr:row>
      <xdr:rowOff>18039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1668664</xdr:colOff>
      <xdr:row>39</xdr:row>
      <xdr:rowOff>43008</xdr:rowOff>
    </xdr:from>
    <xdr:to>
      <xdr:col>29</xdr:col>
      <xdr:colOff>292830</xdr:colOff>
      <xdr:row>55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1968500</xdr:colOff>
      <xdr:row>39</xdr:row>
      <xdr:rowOff>10583</xdr:rowOff>
    </xdr:from>
    <xdr:to>
      <xdr:col>23</xdr:col>
      <xdr:colOff>1629278</xdr:colOff>
      <xdr:row>55</xdr:row>
      <xdr:rowOff>20327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158749</xdr:colOff>
      <xdr:row>72</xdr:row>
      <xdr:rowOff>31749</xdr:rowOff>
    </xdr:from>
    <xdr:to>
      <xdr:col>12</xdr:col>
      <xdr:colOff>522940</xdr:colOff>
      <xdr:row>98</xdr:row>
      <xdr:rowOff>153146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611189</xdr:colOff>
      <xdr:row>72</xdr:row>
      <xdr:rowOff>10583</xdr:rowOff>
    </xdr:from>
    <xdr:to>
      <xdr:col>21</xdr:col>
      <xdr:colOff>274000</xdr:colOff>
      <xdr:row>98</xdr:row>
      <xdr:rowOff>131980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381000</xdr:colOff>
      <xdr:row>72</xdr:row>
      <xdr:rowOff>21167</xdr:rowOff>
    </xdr:from>
    <xdr:to>
      <xdr:col>25</xdr:col>
      <xdr:colOff>4358</xdr:colOff>
      <xdr:row>98</xdr:row>
      <xdr:rowOff>142564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101</xdr:row>
      <xdr:rowOff>0</xdr:rowOff>
    </xdr:from>
    <xdr:to>
      <xdr:col>22</xdr:col>
      <xdr:colOff>3217955</xdr:colOff>
      <xdr:row>124</xdr:row>
      <xdr:rowOff>91514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72</xdr:row>
      <xdr:rowOff>0</xdr:rowOff>
    </xdr:from>
    <xdr:to>
      <xdr:col>38</xdr:col>
      <xdr:colOff>17555</xdr:colOff>
      <xdr:row>99</xdr:row>
      <xdr:rowOff>152474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101</xdr:row>
      <xdr:rowOff>0</xdr:rowOff>
    </xdr:from>
    <xdr:to>
      <xdr:col>31</xdr:col>
      <xdr:colOff>568539</xdr:colOff>
      <xdr:row>124</xdr:row>
      <xdr:rowOff>91514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668432</xdr:colOff>
      <xdr:row>51</xdr:row>
      <xdr:rowOff>154634</xdr:rowOff>
    </xdr:from>
    <xdr:to>
      <xdr:col>14</xdr:col>
      <xdr:colOff>332510</xdr:colOff>
      <xdr:row>67</xdr:row>
      <xdr:rowOff>164379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55217</xdr:colOff>
      <xdr:row>35</xdr:row>
      <xdr:rowOff>176696</xdr:rowOff>
    </xdr:from>
    <xdr:to>
      <xdr:col>6</xdr:col>
      <xdr:colOff>555812</xdr:colOff>
      <xdr:row>51</xdr:row>
      <xdr:rowOff>135436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357909</xdr:colOff>
      <xdr:row>35</xdr:row>
      <xdr:rowOff>88101</xdr:rowOff>
    </xdr:from>
    <xdr:to>
      <xdr:col>19</xdr:col>
      <xdr:colOff>231819</xdr:colOff>
      <xdr:row>51</xdr:row>
      <xdr:rowOff>124543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635620</xdr:colOff>
      <xdr:row>35</xdr:row>
      <xdr:rowOff>158750</xdr:rowOff>
    </xdr:from>
    <xdr:to>
      <xdr:col>14</xdr:col>
      <xdr:colOff>346363</xdr:colOff>
      <xdr:row>51</xdr:row>
      <xdr:rowOff>136228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45838</xdr:colOff>
      <xdr:row>51</xdr:row>
      <xdr:rowOff>148679</xdr:rowOff>
    </xdr:from>
    <xdr:to>
      <xdr:col>6</xdr:col>
      <xdr:colOff>650426</xdr:colOff>
      <xdr:row>67</xdr:row>
      <xdr:rowOff>176789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443345</xdr:colOff>
      <xdr:row>51</xdr:row>
      <xdr:rowOff>118823</xdr:rowOff>
    </xdr:from>
    <xdr:to>
      <xdr:col>19</xdr:col>
      <xdr:colOff>311920</xdr:colOff>
      <xdr:row>67</xdr:row>
      <xdr:rowOff>75623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499826</xdr:colOff>
      <xdr:row>35</xdr:row>
      <xdr:rowOff>13759</xdr:rowOff>
    </xdr:from>
    <xdr:to>
      <xdr:col>22</xdr:col>
      <xdr:colOff>2700537</xdr:colOff>
      <xdr:row>50</xdr:row>
      <xdr:rowOff>170096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51</xdr:row>
      <xdr:rowOff>169846</xdr:rowOff>
    </xdr:from>
    <xdr:to>
      <xdr:col>22</xdr:col>
      <xdr:colOff>1959255</xdr:colOff>
      <xdr:row>68</xdr:row>
      <xdr:rowOff>18039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1668664</xdr:colOff>
      <xdr:row>52</xdr:row>
      <xdr:rowOff>43008</xdr:rowOff>
    </xdr:from>
    <xdr:to>
      <xdr:col>29</xdr:col>
      <xdr:colOff>292830</xdr:colOff>
      <xdr:row>68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1968500</xdr:colOff>
      <xdr:row>52</xdr:row>
      <xdr:rowOff>10583</xdr:rowOff>
    </xdr:from>
    <xdr:to>
      <xdr:col>23</xdr:col>
      <xdr:colOff>1629278</xdr:colOff>
      <xdr:row>68</xdr:row>
      <xdr:rowOff>20327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158749</xdr:colOff>
      <xdr:row>85</xdr:row>
      <xdr:rowOff>31749</xdr:rowOff>
    </xdr:from>
    <xdr:to>
      <xdr:col>12</xdr:col>
      <xdr:colOff>522940</xdr:colOff>
      <xdr:row>111</xdr:row>
      <xdr:rowOff>153146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611189</xdr:colOff>
      <xdr:row>85</xdr:row>
      <xdr:rowOff>10583</xdr:rowOff>
    </xdr:from>
    <xdr:to>
      <xdr:col>21</xdr:col>
      <xdr:colOff>274000</xdr:colOff>
      <xdr:row>111</xdr:row>
      <xdr:rowOff>131980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381000</xdr:colOff>
      <xdr:row>85</xdr:row>
      <xdr:rowOff>21167</xdr:rowOff>
    </xdr:from>
    <xdr:to>
      <xdr:col>25</xdr:col>
      <xdr:colOff>4358</xdr:colOff>
      <xdr:row>111</xdr:row>
      <xdr:rowOff>142564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314960</xdr:colOff>
      <xdr:row>111</xdr:row>
      <xdr:rowOff>152400</xdr:rowOff>
    </xdr:from>
    <xdr:to>
      <xdr:col>17</xdr:col>
      <xdr:colOff>355375</xdr:colOff>
      <xdr:row>135</xdr:row>
      <xdr:rowOff>50874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85</xdr:row>
      <xdr:rowOff>0</xdr:rowOff>
    </xdr:from>
    <xdr:to>
      <xdr:col>38</xdr:col>
      <xdr:colOff>17555</xdr:colOff>
      <xdr:row>112</xdr:row>
      <xdr:rowOff>152474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114</xdr:row>
      <xdr:rowOff>0</xdr:rowOff>
    </xdr:from>
    <xdr:to>
      <xdr:col>31</xdr:col>
      <xdr:colOff>568539</xdr:colOff>
      <xdr:row>137</xdr:row>
      <xdr:rowOff>91514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154</xdr:row>
      <xdr:rowOff>0</xdr:rowOff>
    </xdr:from>
    <xdr:to>
      <xdr:col>14</xdr:col>
      <xdr:colOff>293071</xdr:colOff>
      <xdr:row>180</xdr:row>
      <xdr:rowOff>121397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23</xdr:col>
      <xdr:colOff>191471</xdr:colOff>
      <xdr:row>180</xdr:row>
      <xdr:rowOff>121397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12329</xdr:colOff>
      <xdr:row>105</xdr:row>
      <xdr:rowOff>107956</xdr:rowOff>
    </xdr:from>
    <xdr:to>
      <xdr:col>13</xdr:col>
      <xdr:colOff>456096</xdr:colOff>
      <xdr:row>142</xdr:row>
      <xdr:rowOff>6387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162778</xdr:colOff>
      <xdr:row>105</xdr:row>
      <xdr:rowOff>80210</xdr:rowOff>
    </xdr:from>
    <xdr:to>
      <xdr:col>27</xdr:col>
      <xdr:colOff>213252</xdr:colOff>
      <xdr:row>141</xdr:row>
      <xdr:rowOff>69272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297143</xdr:colOff>
      <xdr:row>105</xdr:row>
      <xdr:rowOff>68005</xdr:rowOff>
    </xdr:from>
    <xdr:to>
      <xdr:col>35</xdr:col>
      <xdr:colOff>327526</xdr:colOff>
      <xdr:row>141</xdr:row>
      <xdr:rowOff>113489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596949</xdr:colOff>
      <xdr:row>142</xdr:row>
      <xdr:rowOff>42301</xdr:rowOff>
    </xdr:from>
    <xdr:to>
      <xdr:col>26</xdr:col>
      <xdr:colOff>1062181</xdr:colOff>
      <xdr:row>174</xdr:row>
      <xdr:rowOff>69856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547626</xdr:colOff>
      <xdr:row>142</xdr:row>
      <xdr:rowOff>110434</xdr:rowOff>
    </xdr:from>
    <xdr:to>
      <xdr:col>13</xdr:col>
      <xdr:colOff>408687</xdr:colOff>
      <xdr:row>175</xdr:row>
      <xdr:rowOff>8865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302647</xdr:colOff>
      <xdr:row>142</xdr:row>
      <xdr:rowOff>9683</xdr:rowOff>
    </xdr:from>
    <xdr:to>
      <xdr:col>35</xdr:col>
      <xdr:colOff>333030</xdr:colOff>
      <xdr:row>174</xdr:row>
      <xdr:rowOff>28000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47409</xdr:colOff>
      <xdr:row>55</xdr:row>
      <xdr:rowOff>39951</xdr:rowOff>
    </xdr:from>
    <xdr:to>
      <xdr:col>53</xdr:col>
      <xdr:colOff>163965</xdr:colOff>
      <xdr:row>87</xdr:row>
      <xdr:rowOff>90782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185170</xdr:colOff>
      <xdr:row>55</xdr:row>
      <xdr:rowOff>27445</xdr:rowOff>
    </xdr:from>
    <xdr:to>
      <xdr:col>64</xdr:col>
      <xdr:colOff>589671</xdr:colOff>
      <xdr:row>87</xdr:row>
      <xdr:rowOff>73855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594313</xdr:colOff>
      <xdr:row>55</xdr:row>
      <xdr:rowOff>30480</xdr:rowOff>
    </xdr:from>
    <xdr:to>
      <xdr:col>77</xdr:col>
      <xdr:colOff>453683</xdr:colOff>
      <xdr:row>87</xdr:row>
      <xdr:rowOff>89095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142694</xdr:colOff>
      <xdr:row>87</xdr:row>
      <xdr:rowOff>94423</xdr:rowOff>
    </xdr:from>
    <xdr:to>
      <xdr:col>64</xdr:col>
      <xdr:colOff>576775</xdr:colOff>
      <xdr:row>113</xdr:row>
      <xdr:rowOff>38307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45720</xdr:colOff>
      <xdr:row>87</xdr:row>
      <xdr:rowOff>72909</xdr:rowOff>
    </xdr:from>
    <xdr:to>
      <xdr:col>53</xdr:col>
      <xdr:colOff>137160</xdr:colOff>
      <xdr:row>113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0</xdr:colOff>
      <xdr:row>87</xdr:row>
      <xdr:rowOff>91440</xdr:rowOff>
    </xdr:from>
    <xdr:to>
      <xdr:col>77</xdr:col>
      <xdr:colOff>457200</xdr:colOff>
      <xdr:row>113</xdr:row>
      <xdr:rowOff>45720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134471</xdr:colOff>
      <xdr:row>176</xdr:row>
      <xdr:rowOff>44824</xdr:rowOff>
    </xdr:from>
    <xdr:to>
      <xdr:col>27</xdr:col>
      <xdr:colOff>130074</xdr:colOff>
      <xdr:row>211</xdr:row>
      <xdr:rowOff>63210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494783</xdr:colOff>
      <xdr:row>176</xdr:row>
      <xdr:rowOff>14653</xdr:rowOff>
    </xdr:from>
    <xdr:to>
      <xdr:col>36</xdr:col>
      <xdr:colOff>562018</xdr:colOff>
      <xdr:row>211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12329</xdr:colOff>
      <xdr:row>105</xdr:row>
      <xdr:rowOff>107956</xdr:rowOff>
    </xdr:from>
    <xdr:to>
      <xdr:col>13</xdr:col>
      <xdr:colOff>456096</xdr:colOff>
      <xdr:row>142</xdr:row>
      <xdr:rowOff>6387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162778</xdr:colOff>
      <xdr:row>105</xdr:row>
      <xdr:rowOff>80210</xdr:rowOff>
    </xdr:from>
    <xdr:to>
      <xdr:col>27</xdr:col>
      <xdr:colOff>213252</xdr:colOff>
      <xdr:row>141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297143</xdr:colOff>
      <xdr:row>105</xdr:row>
      <xdr:rowOff>68005</xdr:rowOff>
    </xdr:from>
    <xdr:to>
      <xdr:col>35</xdr:col>
      <xdr:colOff>327526</xdr:colOff>
      <xdr:row>141</xdr:row>
      <xdr:rowOff>113489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596949</xdr:colOff>
      <xdr:row>142</xdr:row>
      <xdr:rowOff>42301</xdr:rowOff>
    </xdr:from>
    <xdr:to>
      <xdr:col>26</xdr:col>
      <xdr:colOff>1062181</xdr:colOff>
      <xdr:row>174</xdr:row>
      <xdr:rowOff>69856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547626</xdr:colOff>
      <xdr:row>142</xdr:row>
      <xdr:rowOff>110434</xdr:rowOff>
    </xdr:from>
    <xdr:to>
      <xdr:col>13</xdr:col>
      <xdr:colOff>408687</xdr:colOff>
      <xdr:row>175</xdr:row>
      <xdr:rowOff>8865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302647</xdr:colOff>
      <xdr:row>142</xdr:row>
      <xdr:rowOff>9683</xdr:rowOff>
    </xdr:from>
    <xdr:to>
      <xdr:col>35</xdr:col>
      <xdr:colOff>333030</xdr:colOff>
      <xdr:row>174</xdr:row>
      <xdr:rowOff>28000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47409</xdr:colOff>
      <xdr:row>55</xdr:row>
      <xdr:rowOff>39951</xdr:rowOff>
    </xdr:from>
    <xdr:to>
      <xdr:col>53</xdr:col>
      <xdr:colOff>163965</xdr:colOff>
      <xdr:row>87</xdr:row>
      <xdr:rowOff>90782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185170</xdr:colOff>
      <xdr:row>55</xdr:row>
      <xdr:rowOff>27445</xdr:rowOff>
    </xdr:from>
    <xdr:to>
      <xdr:col>64</xdr:col>
      <xdr:colOff>589671</xdr:colOff>
      <xdr:row>87</xdr:row>
      <xdr:rowOff>73855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594313</xdr:colOff>
      <xdr:row>55</xdr:row>
      <xdr:rowOff>30480</xdr:rowOff>
    </xdr:from>
    <xdr:to>
      <xdr:col>77</xdr:col>
      <xdr:colOff>453683</xdr:colOff>
      <xdr:row>87</xdr:row>
      <xdr:rowOff>89095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142694</xdr:colOff>
      <xdr:row>87</xdr:row>
      <xdr:rowOff>94423</xdr:rowOff>
    </xdr:from>
    <xdr:to>
      <xdr:col>64</xdr:col>
      <xdr:colOff>576775</xdr:colOff>
      <xdr:row>113</xdr:row>
      <xdr:rowOff>38307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45720</xdr:colOff>
      <xdr:row>87</xdr:row>
      <xdr:rowOff>72909</xdr:rowOff>
    </xdr:from>
    <xdr:to>
      <xdr:col>53</xdr:col>
      <xdr:colOff>137160</xdr:colOff>
      <xdr:row>113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0</xdr:colOff>
      <xdr:row>87</xdr:row>
      <xdr:rowOff>91440</xdr:rowOff>
    </xdr:from>
    <xdr:to>
      <xdr:col>77</xdr:col>
      <xdr:colOff>457200</xdr:colOff>
      <xdr:row>113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134471</xdr:colOff>
      <xdr:row>176</xdr:row>
      <xdr:rowOff>44824</xdr:rowOff>
    </xdr:from>
    <xdr:to>
      <xdr:col>27</xdr:col>
      <xdr:colOff>130074</xdr:colOff>
      <xdr:row>211</xdr:row>
      <xdr:rowOff>63210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494783</xdr:colOff>
      <xdr:row>176</xdr:row>
      <xdr:rowOff>14653</xdr:rowOff>
    </xdr:from>
    <xdr:to>
      <xdr:col>36</xdr:col>
      <xdr:colOff>562018</xdr:colOff>
      <xdr:row>211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32381</xdr:colOff>
      <xdr:row>107</xdr:row>
      <xdr:rowOff>168114</xdr:rowOff>
    </xdr:from>
    <xdr:to>
      <xdr:col>13</xdr:col>
      <xdr:colOff>476148</xdr:colOff>
      <xdr:row>144</xdr:row>
      <xdr:rowOff>66545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40105</xdr:colOff>
      <xdr:row>107</xdr:row>
      <xdr:rowOff>80210</xdr:rowOff>
    </xdr:from>
    <xdr:to>
      <xdr:col>28</xdr:col>
      <xdr:colOff>213252</xdr:colOff>
      <xdr:row>143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297143</xdr:colOff>
      <xdr:row>107</xdr:row>
      <xdr:rowOff>68005</xdr:rowOff>
    </xdr:from>
    <xdr:to>
      <xdr:col>36</xdr:col>
      <xdr:colOff>327526</xdr:colOff>
      <xdr:row>143</xdr:row>
      <xdr:rowOff>113489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596949</xdr:colOff>
      <xdr:row>144</xdr:row>
      <xdr:rowOff>42301</xdr:rowOff>
    </xdr:from>
    <xdr:to>
      <xdr:col>27</xdr:col>
      <xdr:colOff>1062181</xdr:colOff>
      <xdr:row>176</xdr:row>
      <xdr:rowOff>69856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547626</xdr:colOff>
      <xdr:row>144</xdr:row>
      <xdr:rowOff>110434</xdr:rowOff>
    </xdr:from>
    <xdr:to>
      <xdr:col>13</xdr:col>
      <xdr:colOff>408687</xdr:colOff>
      <xdr:row>177</xdr:row>
      <xdr:rowOff>8865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302647</xdr:colOff>
      <xdr:row>144</xdr:row>
      <xdr:rowOff>9683</xdr:rowOff>
    </xdr:from>
    <xdr:to>
      <xdr:col>36</xdr:col>
      <xdr:colOff>333030</xdr:colOff>
      <xdr:row>176</xdr:row>
      <xdr:rowOff>28000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47409</xdr:colOff>
      <xdr:row>57</xdr:row>
      <xdr:rowOff>39951</xdr:rowOff>
    </xdr:from>
    <xdr:to>
      <xdr:col>54</xdr:col>
      <xdr:colOff>163965</xdr:colOff>
      <xdr:row>89</xdr:row>
      <xdr:rowOff>90782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185170</xdr:colOff>
      <xdr:row>57</xdr:row>
      <xdr:rowOff>27445</xdr:rowOff>
    </xdr:from>
    <xdr:to>
      <xdr:col>65</xdr:col>
      <xdr:colOff>589671</xdr:colOff>
      <xdr:row>89</xdr:row>
      <xdr:rowOff>73855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594313</xdr:colOff>
      <xdr:row>57</xdr:row>
      <xdr:rowOff>30480</xdr:rowOff>
    </xdr:from>
    <xdr:to>
      <xdr:col>78</xdr:col>
      <xdr:colOff>453683</xdr:colOff>
      <xdr:row>89</xdr:row>
      <xdr:rowOff>89095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142694</xdr:colOff>
      <xdr:row>89</xdr:row>
      <xdr:rowOff>94423</xdr:rowOff>
    </xdr:from>
    <xdr:to>
      <xdr:col>65</xdr:col>
      <xdr:colOff>576775</xdr:colOff>
      <xdr:row>115</xdr:row>
      <xdr:rowOff>38307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45720</xdr:colOff>
      <xdr:row>89</xdr:row>
      <xdr:rowOff>72909</xdr:rowOff>
    </xdr:from>
    <xdr:to>
      <xdr:col>54</xdr:col>
      <xdr:colOff>137160</xdr:colOff>
      <xdr:row>115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66</xdr:col>
      <xdr:colOff>0</xdr:colOff>
      <xdr:row>89</xdr:row>
      <xdr:rowOff>91440</xdr:rowOff>
    </xdr:from>
    <xdr:to>
      <xdr:col>78</xdr:col>
      <xdr:colOff>457200</xdr:colOff>
      <xdr:row>115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134471</xdr:colOff>
      <xdr:row>178</xdr:row>
      <xdr:rowOff>44824</xdr:rowOff>
    </xdr:from>
    <xdr:to>
      <xdr:col>28</xdr:col>
      <xdr:colOff>130074</xdr:colOff>
      <xdr:row>213</xdr:row>
      <xdr:rowOff>63210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494783</xdr:colOff>
      <xdr:row>178</xdr:row>
      <xdr:rowOff>14653</xdr:rowOff>
    </xdr:from>
    <xdr:to>
      <xdr:col>37</xdr:col>
      <xdr:colOff>562018</xdr:colOff>
      <xdr:row>213</xdr:row>
      <xdr:rowOff>131885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57:M68" totalsRowShown="0" headerRowDxfId="219" dataDxfId="218">
  <autoFilter ref="E57:M68" xr:uid="{00000000-0009-0000-0100-000001000000}"/>
  <tableColumns count="9">
    <tableColumn id="1" xr3:uid="{00000000-0010-0000-0000-000001000000}" name="Column1" dataDxfId="217"/>
    <tableColumn id="2" xr3:uid="{00000000-0010-0000-0000-000002000000}" name="Column2" dataDxfId="216"/>
    <tableColumn id="3" xr3:uid="{00000000-0010-0000-0000-000003000000}" name="Column3" dataDxfId="215"/>
    <tableColumn id="4" xr3:uid="{00000000-0010-0000-0000-000004000000}" name="Column4" dataDxfId="214"/>
    <tableColumn id="5" xr3:uid="{00000000-0010-0000-0000-000005000000}" name="Column5" dataDxfId="213"/>
    <tableColumn id="6" xr3:uid="{00000000-0010-0000-0000-000006000000}" name="Column6" dataDxfId="212"/>
    <tableColumn id="7" xr3:uid="{00000000-0010-0000-0000-000007000000}" name="Column7" dataDxfId="211"/>
    <tableColumn id="8" xr3:uid="{00000000-0010-0000-0000-000008000000}" name="Column8" dataDxfId="210"/>
    <tableColumn id="9" xr3:uid="{00000000-0010-0000-0000-000009000000}" name="Column9" dataDxfId="209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4746891011" displayName="Table4746891011" ref="AN45:BG52" totalsRowShown="0" headerRowDxfId="43" dataDxfId="42">
  <autoFilter ref="AN45:BG52" xr:uid="{00000000-0009-0000-0100-00000A000000}"/>
  <tableColumns count="20">
    <tableColumn id="1" xr3:uid="{00000000-0010-0000-0900-000001000000}" name="FGM #" dataDxfId="41"/>
    <tableColumn id="2" xr3:uid="{00000000-0010-0000-0900-000002000000}" name="SiO2" dataDxfId="40"/>
    <tableColumn id="3" xr3:uid="{00000000-0010-0000-0900-000003000000}" name="Al2O3" dataDxfId="39"/>
    <tableColumn id="4" xr3:uid="{00000000-0010-0000-0900-000004000000}" name="HfO2" dataDxfId="38"/>
    <tableColumn id="5" xr3:uid="{00000000-0010-0000-0900-000005000000}" name="La2O3" dataDxfId="37"/>
    <tableColumn id="6" xr3:uid="{00000000-0010-0000-0900-000006000000}" name="TiO2" dataDxfId="36"/>
    <tableColumn id="7" xr3:uid="{00000000-0010-0000-0900-000007000000}" name="SiO22" dataDxfId="35"/>
    <tableColumn id="8" xr3:uid="{00000000-0010-0000-0900-000008000000}" name="A" dataDxfId="34"/>
    <tableColumn id="9" xr3:uid="{00000000-0010-0000-0900-000009000000}" name="B" dataDxfId="33"/>
    <tableColumn id="10" xr3:uid="{00000000-0010-0000-0900-00000A000000}" name="C" dataDxfId="32"/>
    <tableColumn id="11" xr3:uid="{00000000-0010-0000-0900-00000B000000}" name="D" dataDxfId="31"/>
    <tableColumn id="12" xr3:uid="{00000000-0010-0000-0900-00000C000000}" name="E" dataDxfId="30"/>
    <tableColumn id="13" xr3:uid="{00000000-0010-0000-0900-00000D000000}" name="F" dataDxfId="29"/>
    <tableColumn id="14" xr3:uid="{00000000-0010-0000-0900-00000E000000}" name="G" dataDxfId="28"/>
    <tableColumn id="15" xr3:uid="{00000000-0010-0000-0900-00000F000000}" name="H" dataDxfId="27"/>
    <tableColumn id="16" xr3:uid="{00000000-0010-0000-0900-000010000000}" name="J" dataDxfId="26"/>
    <tableColumn id="17" xr3:uid="{00000000-0010-0000-0900-000011000000}" name="K" dataDxfId="25"/>
    <tableColumn id="18" xr3:uid="{00000000-0010-0000-0900-000012000000}" name="L" dataDxfId="24"/>
    <tableColumn id="19" xr3:uid="{00000000-0010-0000-0900-000013000000}" name="M" dataDxfId="23"/>
    <tableColumn id="20" xr3:uid="{00000000-0010-0000-0900-000014000000}" name="TiO23" dataDxfId="22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474689101112" displayName="Table474689101112" ref="AN45:BG52" totalsRowShown="0" headerRowDxfId="21" dataDxfId="20">
  <autoFilter ref="AN45:BG52" xr:uid="{00000000-0009-0000-0100-00000B000000}"/>
  <tableColumns count="20">
    <tableColumn id="1" xr3:uid="{00000000-0010-0000-0A00-000001000000}" name="FGM #" dataDxfId="19"/>
    <tableColumn id="2" xr3:uid="{00000000-0010-0000-0A00-000002000000}" name="SiO2" dataDxfId="18"/>
    <tableColumn id="3" xr3:uid="{00000000-0010-0000-0A00-000003000000}" name="Al2O3" dataDxfId="17"/>
    <tableColumn id="4" xr3:uid="{00000000-0010-0000-0A00-000004000000}" name="HfO2" dataDxfId="16"/>
    <tableColumn id="5" xr3:uid="{00000000-0010-0000-0A00-000005000000}" name="La2O3" dataDxfId="15"/>
    <tableColumn id="6" xr3:uid="{00000000-0010-0000-0A00-000006000000}" name="TiO2" dataDxfId="14"/>
    <tableColumn id="7" xr3:uid="{00000000-0010-0000-0A00-000007000000}" name="SiO22" dataDxfId="13"/>
    <tableColumn id="8" xr3:uid="{00000000-0010-0000-0A00-000008000000}" name="A" dataDxfId="12"/>
    <tableColumn id="9" xr3:uid="{00000000-0010-0000-0A00-000009000000}" name="B" dataDxfId="11"/>
    <tableColumn id="10" xr3:uid="{00000000-0010-0000-0A00-00000A000000}" name="C" dataDxfId="10"/>
    <tableColumn id="11" xr3:uid="{00000000-0010-0000-0A00-00000B000000}" name="D" dataDxfId="9"/>
    <tableColumn id="12" xr3:uid="{00000000-0010-0000-0A00-00000C000000}" name="E" dataDxfId="8"/>
    <tableColumn id="13" xr3:uid="{00000000-0010-0000-0A00-00000D000000}" name="F" dataDxfId="7"/>
    <tableColumn id="14" xr3:uid="{00000000-0010-0000-0A00-00000E000000}" name="G" dataDxfId="6"/>
    <tableColumn id="15" xr3:uid="{00000000-0010-0000-0A00-00000F000000}" name="H" dataDxfId="5"/>
    <tableColumn id="16" xr3:uid="{00000000-0010-0000-0A00-000010000000}" name="J" dataDxfId="4"/>
    <tableColumn id="17" xr3:uid="{00000000-0010-0000-0A00-000011000000}" name="K" dataDxfId="3"/>
    <tableColumn id="18" xr3:uid="{00000000-0010-0000-0A00-000012000000}" name="L" dataDxfId="2"/>
    <tableColumn id="19" xr3:uid="{00000000-0010-0000-0A00-000013000000}" name="M" dataDxfId="1"/>
    <tableColumn id="20" xr3:uid="{00000000-0010-0000-0A00-000014000000}" name="TiO23" dataDxfId="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E70:M81" totalsRowShown="0" headerRowDxfId="208" dataDxfId="207">
  <autoFilter ref="E70:M81" xr:uid="{00000000-0009-0000-0100-000002000000}"/>
  <tableColumns count="9">
    <tableColumn id="1" xr3:uid="{00000000-0010-0000-0100-000001000000}" name="Column1" dataDxfId="206"/>
    <tableColumn id="2" xr3:uid="{00000000-0010-0000-0100-000002000000}" name="Column2" dataDxfId="205"/>
    <tableColumn id="3" xr3:uid="{00000000-0010-0000-0100-000003000000}" name="Column3" dataDxfId="204"/>
    <tableColumn id="4" xr3:uid="{00000000-0010-0000-0100-000004000000}" name="Column4" dataDxfId="203"/>
    <tableColumn id="5" xr3:uid="{00000000-0010-0000-0100-000005000000}" name="Column5" dataDxfId="202"/>
    <tableColumn id="6" xr3:uid="{00000000-0010-0000-0100-000006000000}" name="Column6" dataDxfId="201"/>
    <tableColumn id="7" xr3:uid="{00000000-0010-0000-0100-000007000000}" name="Column7" dataDxfId="200"/>
    <tableColumn id="8" xr3:uid="{00000000-0010-0000-0100-000008000000}" name="Column8" dataDxfId="199"/>
    <tableColumn id="9" xr3:uid="{00000000-0010-0000-0100-000009000000}" name="Column9" dataDxfId="19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L37:BE44" totalsRowShown="0" headerRowDxfId="197" dataDxfId="196">
  <autoFilter ref="AL37:BE44" xr:uid="{00000000-0009-0000-0100-000004000000}"/>
  <tableColumns count="20">
    <tableColumn id="1" xr3:uid="{00000000-0010-0000-0200-000001000000}" name="FGM #" dataDxfId="195"/>
    <tableColumn id="2" xr3:uid="{00000000-0010-0000-0200-000002000000}" name="SiO2" dataDxfId="194"/>
    <tableColumn id="3" xr3:uid="{00000000-0010-0000-0200-000003000000}" name="Al2O3" dataDxfId="193"/>
    <tableColumn id="4" xr3:uid="{00000000-0010-0000-0200-000004000000}" name="HfO2" dataDxfId="192"/>
    <tableColumn id="5" xr3:uid="{00000000-0010-0000-0200-000005000000}" name="La2O3" dataDxfId="191"/>
    <tableColumn id="6" xr3:uid="{00000000-0010-0000-0200-000006000000}" name="TiO2" dataDxfId="190"/>
    <tableColumn id="7" xr3:uid="{00000000-0010-0000-0200-000007000000}" name="SiO22" dataDxfId="189"/>
    <tableColumn id="8" xr3:uid="{00000000-0010-0000-0200-000008000000}" name="A" dataDxfId="188"/>
    <tableColumn id="9" xr3:uid="{00000000-0010-0000-0200-000009000000}" name="B" dataDxfId="187"/>
    <tableColumn id="10" xr3:uid="{00000000-0010-0000-0200-00000A000000}" name="C" dataDxfId="186"/>
    <tableColumn id="11" xr3:uid="{00000000-0010-0000-0200-00000B000000}" name="D" dataDxfId="185"/>
    <tableColumn id="12" xr3:uid="{00000000-0010-0000-0200-00000C000000}" name="E" dataDxfId="184"/>
    <tableColumn id="13" xr3:uid="{00000000-0010-0000-0200-00000D000000}" name="F" dataDxfId="183"/>
    <tableColumn id="14" xr3:uid="{00000000-0010-0000-0200-00000E000000}" name="G" dataDxfId="182"/>
    <tableColumn id="15" xr3:uid="{00000000-0010-0000-0200-00000F000000}" name="H" dataDxfId="181"/>
    <tableColumn id="16" xr3:uid="{00000000-0010-0000-0200-000010000000}" name="J" dataDxfId="180"/>
    <tableColumn id="17" xr3:uid="{00000000-0010-0000-0200-000011000000}" name="K" dataDxfId="179"/>
    <tableColumn id="18" xr3:uid="{00000000-0010-0000-0200-000012000000}" name="L" dataDxfId="178"/>
    <tableColumn id="19" xr3:uid="{00000000-0010-0000-0200-000013000000}" name="M" dataDxfId="177"/>
    <tableColumn id="20" xr3:uid="{00000000-0010-0000-0200-000014000000}" name="TiO23" dataDxfId="176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47" displayName="Table47" ref="AL37:BE44" totalsRowShown="0" headerRowDxfId="175" dataDxfId="174">
  <autoFilter ref="AL37:BE44" xr:uid="{00000000-0009-0000-0100-000006000000}"/>
  <tableColumns count="20">
    <tableColumn id="1" xr3:uid="{00000000-0010-0000-0300-000001000000}" name="FGM #" dataDxfId="173"/>
    <tableColumn id="2" xr3:uid="{00000000-0010-0000-0300-000002000000}" name="SiO2" dataDxfId="172"/>
    <tableColumn id="3" xr3:uid="{00000000-0010-0000-0300-000003000000}" name="Al2O3" dataDxfId="171"/>
    <tableColumn id="4" xr3:uid="{00000000-0010-0000-0300-000004000000}" name="HfO2" dataDxfId="170"/>
    <tableColumn id="5" xr3:uid="{00000000-0010-0000-0300-000005000000}" name="La2O3" dataDxfId="169"/>
    <tableColumn id="6" xr3:uid="{00000000-0010-0000-0300-000006000000}" name="TiO2" dataDxfId="168"/>
    <tableColumn id="7" xr3:uid="{00000000-0010-0000-0300-000007000000}" name="SiO22" dataDxfId="167"/>
    <tableColumn id="8" xr3:uid="{00000000-0010-0000-0300-000008000000}" name="A" dataDxfId="166"/>
    <tableColumn id="9" xr3:uid="{00000000-0010-0000-0300-000009000000}" name="B" dataDxfId="165"/>
    <tableColumn id="10" xr3:uid="{00000000-0010-0000-0300-00000A000000}" name="C" dataDxfId="164"/>
    <tableColumn id="11" xr3:uid="{00000000-0010-0000-0300-00000B000000}" name="D" dataDxfId="163"/>
    <tableColumn id="12" xr3:uid="{00000000-0010-0000-0300-00000C000000}" name="E" dataDxfId="162"/>
    <tableColumn id="13" xr3:uid="{00000000-0010-0000-0300-00000D000000}" name="F" dataDxfId="161"/>
    <tableColumn id="14" xr3:uid="{00000000-0010-0000-0300-00000E000000}" name="G" dataDxfId="160"/>
    <tableColumn id="15" xr3:uid="{00000000-0010-0000-0300-00000F000000}" name="H" dataDxfId="159"/>
    <tableColumn id="16" xr3:uid="{00000000-0010-0000-0300-000010000000}" name="J" dataDxfId="158"/>
    <tableColumn id="17" xr3:uid="{00000000-0010-0000-0300-000011000000}" name="K" dataDxfId="157"/>
    <tableColumn id="18" xr3:uid="{00000000-0010-0000-0300-000012000000}" name="L" dataDxfId="156"/>
    <tableColumn id="19" xr3:uid="{00000000-0010-0000-0300-000013000000}" name="M" dataDxfId="155"/>
    <tableColumn id="20" xr3:uid="{00000000-0010-0000-0300-000014000000}" name="TiO23" dataDxfId="154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474" displayName="Table474" ref="AM38:BF45" totalsRowShown="0" headerRowDxfId="153" dataDxfId="152">
  <autoFilter ref="AM38:BF45" xr:uid="{00000000-0009-0000-0100-000003000000}"/>
  <tableColumns count="20">
    <tableColumn id="1" xr3:uid="{00000000-0010-0000-0400-000001000000}" name="FGM #" dataDxfId="151"/>
    <tableColumn id="2" xr3:uid="{00000000-0010-0000-0400-000002000000}" name="SiO2" dataDxfId="150"/>
    <tableColumn id="3" xr3:uid="{00000000-0010-0000-0400-000003000000}" name="Al2O3" dataDxfId="149"/>
    <tableColumn id="4" xr3:uid="{00000000-0010-0000-0400-000004000000}" name="HfO2" dataDxfId="148"/>
    <tableColumn id="5" xr3:uid="{00000000-0010-0000-0400-000005000000}" name="La2O3" dataDxfId="147"/>
    <tableColumn id="6" xr3:uid="{00000000-0010-0000-0400-000006000000}" name="TiO2" dataDxfId="146"/>
    <tableColumn id="7" xr3:uid="{00000000-0010-0000-0400-000007000000}" name="SiO22" dataDxfId="145"/>
    <tableColumn id="8" xr3:uid="{00000000-0010-0000-0400-000008000000}" name="A" dataDxfId="144"/>
    <tableColumn id="9" xr3:uid="{00000000-0010-0000-0400-000009000000}" name="B" dataDxfId="143"/>
    <tableColumn id="10" xr3:uid="{00000000-0010-0000-0400-00000A000000}" name="C" dataDxfId="142"/>
    <tableColumn id="11" xr3:uid="{00000000-0010-0000-0400-00000B000000}" name="D" dataDxfId="141"/>
    <tableColumn id="12" xr3:uid="{00000000-0010-0000-0400-00000C000000}" name="E" dataDxfId="140"/>
    <tableColumn id="13" xr3:uid="{00000000-0010-0000-0400-00000D000000}" name="F" dataDxfId="139"/>
    <tableColumn id="14" xr3:uid="{00000000-0010-0000-0400-00000E000000}" name="G" dataDxfId="138"/>
    <tableColumn id="15" xr3:uid="{00000000-0010-0000-0400-00000F000000}" name="H" dataDxfId="137"/>
    <tableColumn id="16" xr3:uid="{00000000-0010-0000-0400-000010000000}" name="J" dataDxfId="136"/>
    <tableColumn id="17" xr3:uid="{00000000-0010-0000-0400-000011000000}" name="K" dataDxfId="135"/>
    <tableColumn id="18" xr3:uid="{00000000-0010-0000-0400-000012000000}" name="L" dataDxfId="134"/>
    <tableColumn id="19" xr3:uid="{00000000-0010-0000-0400-000013000000}" name="M" dataDxfId="133"/>
    <tableColumn id="20" xr3:uid="{00000000-0010-0000-0400-000014000000}" name="TiO23" dataDxfId="132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4746" displayName="Table4746" ref="AN43:BG50" totalsRowShown="0" headerRowDxfId="131" dataDxfId="130">
  <autoFilter ref="AN43:BG50" xr:uid="{00000000-0009-0000-0100-000005000000}"/>
  <tableColumns count="20">
    <tableColumn id="1" xr3:uid="{00000000-0010-0000-0500-000001000000}" name="FGM #" dataDxfId="129"/>
    <tableColumn id="2" xr3:uid="{00000000-0010-0000-0500-000002000000}" name="SiO2" dataDxfId="128"/>
    <tableColumn id="3" xr3:uid="{00000000-0010-0000-0500-000003000000}" name="Al2O3" dataDxfId="127"/>
    <tableColumn id="4" xr3:uid="{00000000-0010-0000-0500-000004000000}" name="HfO2" dataDxfId="126"/>
    <tableColumn id="5" xr3:uid="{00000000-0010-0000-0500-000005000000}" name="La2O3" dataDxfId="125"/>
    <tableColumn id="6" xr3:uid="{00000000-0010-0000-0500-000006000000}" name="TiO2" dataDxfId="124"/>
    <tableColumn id="7" xr3:uid="{00000000-0010-0000-0500-000007000000}" name="SiO22" dataDxfId="123"/>
    <tableColumn id="8" xr3:uid="{00000000-0010-0000-0500-000008000000}" name="A" dataDxfId="122"/>
    <tableColumn id="9" xr3:uid="{00000000-0010-0000-0500-000009000000}" name="B" dataDxfId="121"/>
    <tableColumn id="10" xr3:uid="{00000000-0010-0000-0500-00000A000000}" name="C" dataDxfId="120"/>
    <tableColumn id="11" xr3:uid="{00000000-0010-0000-0500-00000B000000}" name="D" dataDxfId="119"/>
    <tableColumn id="12" xr3:uid="{00000000-0010-0000-0500-00000C000000}" name="E" dataDxfId="118"/>
    <tableColumn id="13" xr3:uid="{00000000-0010-0000-0500-00000D000000}" name="F" dataDxfId="117"/>
    <tableColumn id="14" xr3:uid="{00000000-0010-0000-0500-00000E000000}" name="G" dataDxfId="116"/>
    <tableColumn id="15" xr3:uid="{00000000-0010-0000-0500-00000F000000}" name="H" dataDxfId="115"/>
    <tableColumn id="16" xr3:uid="{00000000-0010-0000-0500-000010000000}" name="J" dataDxfId="114"/>
    <tableColumn id="17" xr3:uid="{00000000-0010-0000-0500-000011000000}" name="K" dataDxfId="113"/>
    <tableColumn id="18" xr3:uid="{00000000-0010-0000-0500-000012000000}" name="L" dataDxfId="112"/>
    <tableColumn id="19" xr3:uid="{00000000-0010-0000-0500-000013000000}" name="M" dataDxfId="111"/>
    <tableColumn id="20" xr3:uid="{00000000-0010-0000-0500-000014000000}" name="TiO23" dataDxfId="110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7468" displayName="Table47468" ref="AN44:BG51" totalsRowShown="0" headerRowDxfId="109" dataDxfId="108">
  <autoFilter ref="AN44:BG51" xr:uid="{00000000-0009-0000-0100-000007000000}"/>
  <tableColumns count="20">
    <tableColumn id="1" xr3:uid="{00000000-0010-0000-0600-000001000000}" name="FGM #" dataDxfId="107"/>
    <tableColumn id="2" xr3:uid="{00000000-0010-0000-0600-000002000000}" name="SiO2" dataDxfId="106"/>
    <tableColumn id="3" xr3:uid="{00000000-0010-0000-0600-000003000000}" name="Al2O3" dataDxfId="105"/>
    <tableColumn id="4" xr3:uid="{00000000-0010-0000-0600-000004000000}" name="HfO2" dataDxfId="104"/>
    <tableColumn id="5" xr3:uid="{00000000-0010-0000-0600-000005000000}" name="La2O3" dataDxfId="103"/>
    <tableColumn id="6" xr3:uid="{00000000-0010-0000-0600-000006000000}" name="TiO2" dataDxfId="102"/>
    <tableColumn id="7" xr3:uid="{00000000-0010-0000-0600-000007000000}" name="SiO22" dataDxfId="101"/>
    <tableColumn id="8" xr3:uid="{00000000-0010-0000-0600-000008000000}" name="A" dataDxfId="100"/>
    <tableColumn id="9" xr3:uid="{00000000-0010-0000-0600-000009000000}" name="B" dataDxfId="99"/>
    <tableColumn id="10" xr3:uid="{00000000-0010-0000-0600-00000A000000}" name="C" dataDxfId="98"/>
    <tableColumn id="11" xr3:uid="{00000000-0010-0000-0600-00000B000000}" name="D" dataDxfId="97"/>
    <tableColumn id="12" xr3:uid="{00000000-0010-0000-0600-00000C000000}" name="E" dataDxfId="96"/>
    <tableColumn id="13" xr3:uid="{00000000-0010-0000-0600-00000D000000}" name="F" dataDxfId="95"/>
    <tableColumn id="14" xr3:uid="{00000000-0010-0000-0600-00000E000000}" name="G" dataDxfId="94"/>
    <tableColumn id="15" xr3:uid="{00000000-0010-0000-0600-00000F000000}" name="H" dataDxfId="93"/>
    <tableColumn id="16" xr3:uid="{00000000-0010-0000-0600-000010000000}" name="J" dataDxfId="92"/>
    <tableColumn id="17" xr3:uid="{00000000-0010-0000-0600-000011000000}" name="K" dataDxfId="91"/>
    <tableColumn id="18" xr3:uid="{00000000-0010-0000-0600-000012000000}" name="L" dataDxfId="90"/>
    <tableColumn id="19" xr3:uid="{00000000-0010-0000-0600-000013000000}" name="M" dataDxfId="89"/>
    <tableColumn id="20" xr3:uid="{00000000-0010-0000-0600-000014000000}" name="TiO23" dataDxfId="88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74689" displayName="Table474689" ref="AN45:BG52" totalsRowShown="0" headerRowDxfId="87" dataDxfId="86">
  <autoFilter ref="AN45:BG52" xr:uid="{00000000-0009-0000-0100-000008000000}"/>
  <tableColumns count="20">
    <tableColumn id="1" xr3:uid="{00000000-0010-0000-0700-000001000000}" name="FGM #" dataDxfId="85"/>
    <tableColumn id="2" xr3:uid="{00000000-0010-0000-0700-000002000000}" name="SiO2" dataDxfId="84"/>
    <tableColumn id="3" xr3:uid="{00000000-0010-0000-0700-000003000000}" name="Al2O3" dataDxfId="83"/>
    <tableColumn id="4" xr3:uid="{00000000-0010-0000-0700-000004000000}" name="HfO2" dataDxfId="82"/>
    <tableColumn id="5" xr3:uid="{00000000-0010-0000-0700-000005000000}" name="La2O3" dataDxfId="81"/>
    <tableColumn id="6" xr3:uid="{00000000-0010-0000-0700-000006000000}" name="TiO2" dataDxfId="80"/>
    <tableColumn id="7" xr3:uid="{00000000-0010-0000-0700-000007000000}" name="SiO22" dataDxfId="79"/>
    <tableColumn id="8" xr3:uid="{00000000-0010-0000-0700-000008000000}" name="A" dataDxfId="78"/>
    <tableColumn id="9" xr3:uid="{00000000-0010-0000-0700-000009000000}" name="B" dataDxfId="77"/>
    <tableColumn id="10" xr3:uid="{00000000-0010-0000-0700-00000A000000}" name="C" dataDxfId="76"/>
    <tableColumn id="11" xr3:uid="{00000000-0010-0000-0700-00000B000000}" name="D" dataDxfId="75"/>
    <tableColumn id="12" xr3:uid="{00000000-0010-0000-0700-00000C000000}" name="E" dataDxfId="74"/>
    <tableColumn id="13" xr3:uid="{00000000-0010-0000-0700-00000D000000}" name="F" dataDxfId="73"/>
    <tableColumn id="14" xr3:uid="{00000000-0010-0000-0700-00000E000000}" name="G" dataDxfId="72"/>
    <tableColumn id="15" xr3:uid="{00000000-0010-0000-0700-00000F000000}" name="H" dataDxfId="71"/>
    <tableColumn id="16" xr3:uid="{00000000-0010-0000-0700-000010000000}" name="J" dataDxfId="70"/>
    <tableColumn id="17" xr3:uid="{00000000-0010-0000-0700-000011000000}" name="K" dataDxfId="69"/>
    <tableColumn id="18" xr3:uid="{00000000-0010-0000-0700-000012000000}" name="L" dataDxfId="68"/>
    <tableColumn id="19" xr3:uid="{00000000-0010-0000-0700-000013000000}" name="M" dataDxfId="67"/>
    <tableColumn id="20" xr3:uid="{00000000-0010-0000-0700-000014000000}" name="TiO23" dataDxfId="66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7468910" displayName="Table47468910" ref="AN45:BG52" totalsRowShown="0" headerRowDxfId="65" dataDxfId="64">
  <autoFilter ref="AN45:BG52" xr:uid="{00000000-0009-0000-0100-000009000000}"/>
  <tableColumns count="20">
    <tableColumn id="1" xr3:uid="{00000000-0010-0000-0800-000001000000}" name="FGM #" dataDxfId="63"/>
    <tableColumn id="2" xr3:uid="{00000000-0010-0000-0800-000002000000}" name="SiO2" dataDxfId="62"/>
    <tableColumn id="3" xr3:uid="{00000000-0010-0000-0800-000003000000}" name="Al2O3" dataDxfId="61"/>
    <tableColumn id="4" xr3:uid="{00000000-0010-0000-0800-000004000000}" name="HfO2" dataDxfId="60"/>
    <tableColumn id="5" xr3:uid="{00000000-0010-0000-0800-000005000000}" name="La2O3" dataDxfId="59"/>
    <tableColumn id="6" xr3:uid="{00000000-0010-0000-0800-000006000000}" name="TiO2" dataDxfId="58"/>
    <tableColumn id="7" xr3:uid="{00000000-0010-0000-0800-000007000000}" name="SiO22" dataDxfId="57"/>
    <tableColumn id="8" xr3:uid="{00000000-0010-0000-0800-000008000000}" name="A" dataDxfId="56"/>
    <tableColumn id="9" xr3:uid="{00000000-0010-0000-0800-000009000000}" name="B" dataDxfId="55"/>
    <tableColumn id="10" xr3:uid="{00000000-0010-0000-0800-00000A000000}" name="C" dataDxfId="54"/>
    <tableColumn id="11" xr3:uid="{00000000-0010-0000-0800-00000B000000}" name="D" dataDxfId="53"/>
    <tableColumn id="12" xr3:uid="{00000000-0010-0000-0800-00000C000000}" name="E" dataDxfId="52"/>
    <tableColumn id="13" xr3:uid="{00000000-0010-0000-0800-00000D000000}" name="F" dataDxfId="51"/>
    <tableColumn id="14" xr3:uid="{00000000-0010-0000-0800-00000E000000}" name="G" dataDxfId="50"/>
    <tableColumn id="15" xr3:uid="{00000000-0010-0000-0800-00000F000000}" name="H" dataDxfId="49"/>
    <tableColumn id="16" xr3:uid="{00000000-0010-0000-0800-000010000000}" name="J" dataDxfId="48"/>
    <tableColumn id="17" xr3:uid="{00000000-0010-0000-0800-000011000000}" name="K" dataDxfId="47"/>
    <tableColumn id="18" xr3:uid="{00000000-0010-0000-0800-000012000000}" name="L" dataDxfId="46"/>
    <tableColumn id="19" xr3:uid="{00000000-0010-0000-0800-000013000000}" name="M" dataDxfId="45"/>
    <tableColumn id="20" xr3:uid="{00000000-0010-0000-0800-000014000000}" name="TiO23" dataDxfId="4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4"/>
  <sheetViews>
    <sheetView zoomScale="70" zoomScaleNormal="70" workbookViewId="0">
      <selection activeCell="D5" sqref="D5"/>
    </sheetView>
  </sheetViews>
  <sheetFormatPr defaultRowHeight="15"/>
  <cols>
    <col min="1" max="3" width="18.42578125" customWidth="1"/>
    <col min="9" max="9" width="10" bestFit="1" customWidth="1"/>
    <col min="11" max="11" width="14.140625" bestFit="1" customWidth="1"/>
  </cols>
  <sheetData>
    <row r="1" spans="2:16">
      <c r="D1" s="5" t="s">
        <v>10</v>
      </c>
    </row>
    <row r="2" spans="2:16" s="6" customFormat="1">
      <c r="B2" s="6" t="s">
        <v>8</v>
      </c>
      <c r="C2" s="6" t="s">
        <v>9</v>
      </c>
      <c r="D2" s="6" t="s">
        <v>1</v>
      </c>
      <c r="E2" s="6" t="s">
        <v>0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</row>
    <row r="3" spans="2:16" s="2" customFormat="1">
      <c r="B3" s="2">
        <v>100</v>
      </c>
      <c r="C3" s="2">
        <v>0</v>
      </c>
      <c r="D3" s="2">
        <v>1.0266</v>
      </c>
      <c r="E3" s="2">
        <v>162.19999999999999</v>
      </c>
      <c r="F3" s="2">
        <v>0</v>
      </c>
      <c r="G3" s="3">
        <v>9.9999999999999995E-8</v>
      </c>
      <c r="H3" s="3">
        <v>1E+16</v>
      </c>
      <c r="I3" s="3">
        <v>9.2299999999999999E-24</v>
      </c>
      <c r="J3" s="3">
        <v>3.3639999999999999E-6</v>
      </c>
      <c r="K3" s="2">
        <f>364200000000000000</f>
        <v>3.642E+17</v>
      </c>
    </row>
    <row r="4" spans="2:16" s="1" customFormat="1">
      <c r="B4" s="1">
        <v>75</v>
      </c>
      <c r="C4" s="1">
        <v>25</v>
      </c>
      <c r="D4" s="1">
        <v>0.99150000000000005</v>
      </c>
      <c r="E4" s="1">
        <v>245.4</v>
      </c>
      <c r="F4" s="1">
        <v>0</v>
      </c>
      <c r="G4" s="4">
        <v>9.9999999999999995E-8</v>
      </c>
      <c r="H4" s="4">
        <v>1000000000000000</v>
      </c>
      <c r="I4" s="4">
        <v>2.3620000000000001E-23</v>
      </c>
      <c r="J4" s="4">
        <v>2.6900000000000001E-6</v>
      </c>
      <c r="K4" s="4">
        <v>1.13E+17</v>
      </c>
    </row>
    <row r="5" spans="2:16" s="2" customFormat="1">
      <c r="B5" s="2">
        <v>50</v>
      </c>
      <c r="C5" s="2">
        <v>50</v>
      </c>
      <c r="D5" s="2">
        <v>0.96299999999999997</v>
      </c>
      <c r="E5" s="2">
        <v>239.2</v>
      </c>
      <c r="F5" s="2">
        <v>0</v>
      </c>
      <c r="G5" s="4">
        <v>9.9999999999999995E-8</v>
      </c>
      <c r="H5" s="3">
        <v>100000000000000</v>
      </c>
      <c r="I5" s="3">
        <v>4.4600000000000002E-22</v>
      </c>
      <c r="J5" s="3">
        <v>3.6789999999999998E-6</v>
      </c>
      <c r="K5" s="3">
        <v>8246000000000000</v>
      </c>
    </row>
    <row r="6" spans="2:16" s="2" customFormat="1">
      <c r="B6" s="2">
        <v>25</v>
      </c>
      <c r="C6" s="2">
        <v>75</v>
      </c>
      <c r="D6" s="2">
        <v>0.93700000000000006</v>
      </c>
      <c r="E6" s="2">
        <v>290</v>
      </c>
      <c r="F6" s="2">
        <v>0</v>
      </c>
      <c r="G6" s="4">
        <v>9.9999999999999995E-8</v>
      </c>
      <c r="H6" s="3">
        <v>100000000000000</v>
      </c>
      <c r="I6" s="3">
        <v>4.4099999999999998E-22</v>
      </c>
      <c r="J6" s="3">
        <v>3.54E-6</v>
      </c>
      <c r="K6" s="3">
        <v>8560000000000000</v>
      </c>
    </row>
    <row r="7" spans="2:16" s="1" customFormat="1" ht="28.5">
      <c r="B7" s="1">
        <v>0</v>
      </c>
      <c r="C7" s="1">
        <v>100</v>
      </c>
      <c r="D7" s="1">
        <v>0.90639999999999998</v>
      </c>
      <c r="E7" s="1">
        <v>372</v>
      </c>
      <c r="F7" s="1">
        <v>0</v>
      </c>
      <c r="G7" s="4">
        <v>9.9999999999999995E-8</v>
      </c>
      <c r="H7" s="4">
        <v>10000000000000</v>
      </c>
      <c r="I7" s="4">
        <v>1.09E-21</v>
      </c>
      <c r="J7" s="4">
        <v>3.7570000000000002E-6</v>
      </c>
      <c r="K7" s="4">
        <v>3440000000000000</v>
      </c>
      <c r="P7" s="7" t="s">
        <v>11</v>
      </c>
    </row>
    <row r="8" spans="2:16" s="2" customFormat="1"/>
    <row r="9" spans="2:16" s="2" customFormat="1">
      <c r="G9" s="3"/>
      <c r="H9" s="3"/>
      <c r="I9" s="3"/>
      <c r="J9" s="3"/>
    </row>
    <row r="10" spans="2:16" s="1" customFormat="1">
      <c r="G10" s="4"/>
      <c r="H10" s="4"/>
      <c r="I10" s="4"/>
      <c r="J10" s="4"/>
      <c r="K10" s="4"/>
    </row>
    <row r="11" spans="2:16" s="2" customFormat="1"/>
    <row r="12" spans="2:16" s="2" customFormat="1">
      <c r="G12" s="3"/>
      <c r="H12" s="3"/>
      <c r="I12" s="3"/>
      <c r="J12" s="3"/>
    </row>
    <row r="13" spans="2:16" s="1" customFormat="1">
      <c r="G13" s="4"/>
      <c r="H13" s="4"/>
      <c r="I13" s="4"/>
      <c r="J13" s="4"/>
      <c r="K13" s="4"/>
    </row>
    <row r="14" spans="2:16" s="2" customFormat="1"/>
    <row r="15" spans="2:16" s="2" customFormat="1">
      <c r="G15" s="3"/>
      <c r="H15" s="3"/>
      <c r="I15" s="3"/>
      <c r="J15" s="3"/>
    </row>
    <row r="16" spans="2:16" s="1" customFormat="1">
      <c r="G16" s="4"/>
      <c r="H16" s="4"/>
      <c r="I16" s="4"/>
      <c r="J16" s="4"/>
      <c r="K16" s="4"/>
    </row>
    <row r="17" spans="7:11" s="2" customFormat="1"/>
    <row r="18" spans="7:11" s="2" customFormat="1">
      <c r="G18" s="3"/>
      <c r="H18" s="3"/>
      <c r="I18" s="3"/>
      <c r="J18" s="3"/>
    </row>
    <row r="19" spans="7:11" s="1" customFormat="1">
      <c r="G19" s="4"/>
      <c r="H19" s="4"/>
      <c r="I19" s="4"/>
      <c r="J19" s="4"/>
      <c r="K19" s="4"/>
    </row>
    <row r="20" spans="7:11" s="2" customFormat="1"/>
    <row r="21" spans="7:11" s="2" customFormat="1">
      <c r="G21" s="3"/>
      <c r="H21" s="3"/>
      <c r="I21" s="3"/>
      <c r="J21" s="3"/>
    </row>
    <row r="22" spans="7:11" s="1" customFormat="1">
      <c r="G22" s="4"/>
      <c r="H22" s="4"/>
      <c r="I22" s="4"/>
      <c r="J22" s="4"/>
      <c r="K22" s="4"/>
    </row>
    <row r="23" spans="7:11" s="2" customFormat="1"/>
    <row r="24" spans="7:11" s="2" customFormat="1">
      <c r="G24" s="3"/>
      <c r="H24" s="3"/>
      <c r="I24" s="3"/>
      <c r="J24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G113"/>
  <sheetViews>
    <sheetView topLeftCell="E1" zoomScale="103" zoomScaleNormal="115" workbookViewId="0">
      <selection activeCell="M14" sqref="M14"/>
    </sheetView>
  </sheetViews>
  <sheetFormatPr defaultColWidth="8.85546875" defaultRowHeight="12"/>
  <cols>
    <col min="1" max="1" width="17.7109375" style="102" customWidth="1"/>
    <col min="2" max="2" width="8.28515625" style="102" customWidth="1"/>
    <col min="3" max="3" width="11.42578125" style="102" bestFit="1" customWidth="1"/>
    <col min="4" max="5" width="14.28515625" style="212" customWidth="1"/>
    <col min="6" max="6" width="16.85546875" style="102" customWidth="1"/>
    <col min="7" max="7" width="10.5703125" style="232" customWidth="1"/>
    <col min="8" max="8" width="8.28515625" style="232" customWidth="1"/>
    <col min="9" max="11" width="9" style="233" customWidth="1"/>
    <col min="12" max="12" width="8.28515625" style="228" customWidth="1"/>
    <col min="13" max="14" width="8.85546875" style="169"/>
    <col min="15" max="15" width="8.85546875" style="108"/>
    <col min="16" max="16" width="8.85546875" style="108" customWidth="1"/>
    <col min="17" max="17" width="8.85546875" style="108"/>
    <col min="18" max="18" width="8.85546875" style="169"/>
    <col min="19" max="20" width="8.85546875" style="108"/>
    <col min="21" max="21" width="8.85546875" style="169"/>
    <col min="22" max="22" width="8.85546875" style="108"/>
    <col min="23" max="25" width="8.85546875" style="108" customWidth="1"/>
    <col min="26" max="26" width="9" style="229" bestFit="1" customWidth="1"/>
    <col min="27" max="29" width="15.42578125" style="160" customWidth="1"/>
    <col min="30" max="30" width="15.42578125" style="108" customWidth="1"/>
    <col min="31" max="31" width="14.140625" style="151" bestFit="1" customWidth="1"/>
    <col min="32" max="32" width="10.7109375" style="143" bestFit="1" customWidth="1"/>
    <col min="33" max="33" width="15.7109375" style="143" customWidth="1"/>
    <col min="34" max="34" width="10.42578125" style="143" bestFit="1" customWidth="1"/>
    <col min="35" max="35" width="12.7109375" style="143" customWidth="1"/>
    <col min="36" max="36" width="15.28515625" style="143" bestFit="1" customWidth="1"/>
    <col min="37" max="37" width="12" style="102" bestFit="1" customWidth="1"/>
    <col min="38" max="39" width="8.85546875" style="102"/>
    <col min="40" max="40" width="15.85546875" style="102" customWidth="1"/>
    <col min="41" max="41" width="13.28515625" style="102" hidden="1" customWidth="1"/>
    <col min="42" max="42" width="14.28515625" style="102" hidden="1" customWidth="1"/>
    <col min="43" max="43" width="13.7109375" style="102" hidden="1" customWidth="1"/>
    <col min="44" max="44" width="14.28515625" style="102" hidden="1" customWidth="1"/>
    <col min="45" max="45" width="13.28515625" style="102" hidden="1" customWidth="1"/>
    <col min="46" max="46" width="14.140625" style="102" hidden="1" customWidth="1"/>
    <col min="47" max="47" width="11" style="102" bestFit="1" customWidth="1"/>
    <col min="48" max="49" width="10.7109375" style="102" bestFit="1" customWidth="1"/>
    <col min="50" max="50" width="11" style="102" bestFit="1" customWidth="1"/>
    <col min="51" max="52" width="10.7109375" style="102" bestFit="1" customWidth="1"/>
    <col min="53" max="54" width="11" style="102" bestFit="1" customWidth="1"/>
    <col min="55" max="55" width="10.5703125" style="102" bestFit="1" customWidth="1"/>
    <col min="56" max="56" width="10.7109375" style="102" bestFit="1" customWidth="1"/>
    <col min="57" max="57" width="10.5703125" style="102" bestFit="1" customWidth="1"/>
    <col min="58" max="58" width="11.42578125" style="102" customWidth="1"/>
    <col min="59" max="59" width="14.140625" style="102" bestFit="1" customWidth="1"/>
    <col min="60" max="16384" width="8.85546875" style="102"/>
  </cols>
  <sheetData>
    <row r="2" spans="1:37" s="103" customFormat="1" ht="246">
      <c r="F2" s="240" t="s">
        <v>147</v>
      </c>
      <c r="G2" s="241"/>
      <c r="H2" s="241"/>
      <c r="I2" s="241"/>
      <c r="J2" s="241"/>
      <c r="K2" s="241"/>
      <c r="L2" s="241"/>
      <c r="M2" s="161"/>
      <c r="N2" s="132"/>
      <c r="O2" s="132"/>
      <c r="P2" s="161"/>
      <c r="Q2" s="132"/>
      <c r="R2" s="132"/>
      <c r="S2" s="132"/>
      <c r="T2" s="132"/>
      <c r="U2" s="161"/>
      <c r="V2" s="132"/>
      <c r="W2" s="161"/>
      <c r="X2" s="161"/>
      <c r="Y2" s="161" t="s">
        <v>241</v>
      </c>
      <c r="Z2" s="133"/>
      <c r="AA2" s="153"/>
      <c r="AB2" s="153"/>
      <c r="AC2" s="153"/>
      <c r="AD2" s="112"/>
      <c r="AE2" s="144"/>
      <c r="AF2" s="138"/>
      <c r="AG2" s="138"/>
      <c r="AH2" s="138"/>
      <c r="AI2" s="138"/>
      <c r="AJ2" s="138"/>
    </row>
    <row r="3" spans="1:37" s="101" customFormat="1" ht="24">
      <c r="A3" s="101" t="s">
        <v>87</v>
      </c>
      <c r="C3" s="101" t="s">
        <v>158</v>
      </c>
      <c r="D3" s="101" t="s">
        <v>52</v>
      </c>
      <c r="F3" s="244" t="s">
        <v>168</v>
      </c>
      <c r="G3" s="243">
        <v>3.9</v>
      </c>
      <c r="H3" s="243">
        <v>12</v>
      </c>
      <c r="I3" s="243">
        <v>22</v>
      </c>
      <c r="J3" s="243">
        <v>30</v>
      </c>
      <c r="K3" s="243">
        <v>80</v>
      </c>
      <c r="L3" s="243">
        <v>3.9</v>
      </c>
      <c r="M3" s="254"/>
      <c r="N3" s="255"/>
      <c r="O3" s="256"/>
      <c r="P3" s="256"/>
      <c r="Q3" s="256"/>
      <c r="R3" s="255"/>
      <c r="S3" s="256"/>
      <c r="T3" s="256"/>
      <c r="U3" s="255"/>
      <c r="V3" s="256"/>
      <c r="W3" s="256"/>
      <c r="X3" s="256"/>
      <c r="Y3" s="256"/>
      <c r="Z3" s="188">
        <v>80</v>
      </c>
      <c r="AA3" s="154"/>
      <c r="AB3" s="154"/>
      <c r="AC3" s="154"/>
      <c r="AD3" s="115"/>
      <c r="AE3" s="145"/>
      <c r="AF3" s="139"/>
      <c r="AG3" s="139"/>
      <c r="AH3" s="139"/>
      <c r="AI3" s="139"/>
      <c r="AJ3" s="139"/>
    </row>
    <row r="4" spans="1:37" s="248" customFormat="1" ht="15.75" thickBot="1">
      <c r="F4" s="261"/>
      <c r="G4" s="262" t="str">
        <f>G27</f>
        <v>SiO2</v>
      </c>
      <c r="H4" s="262" t="str">
        <f t="shared" ref="H4:Y4" si="0">H27</f>
        <v>Al2O3</v>
      </c>
      <c r="I4" s="262" t="str">
        <f t="shared" si="0"/>
        <v>HfO2</v>
      </c>
      <c r="J4" s="262" t="str">
        <f t="shared" si="0"/>
        <v>La2O3</v>
      </c>
      <c r="K4" s="262" t="str">
        <f t="shared" si="0"/>
        <v>TiO2</v>
      </c>
      <c r="L4" s="262">
        <f t="shared" si="0"/>
        <v>0</v>
      </c>
      <c r="M4" s="263" t="str">
        <f t="shared" si="0"/>
        <v>A</v>
      </c>
      <c r="N4" s="263" t="str">
        <f t="shared" si="0"/>
        <v>B</v>
      </c>
      <c r="O4" s="263" t="str">
        <f t="shared" si="0"/>
        <v>C</v>
      </c>
      <c r="P4" s="263" t="str">
        <f t="shared" si="0"/>
        <v>D</v>
      </c>
      <c r="Q4" s="263" t="str">
        <f t="shared" si="0"/>
        <v>E</v>
      </c>
      <c r="R4" s="263" t="str">
        <f t="shared" si="0"/>
        <v>F</v>
      </c>
      <c r="S4" s="263" t="str">
        <f t="shared" si="0"/>
        <v>G</v>
      </c>
      <c r="T4" s="263" t="str">
        <f t="shared" si="0"/>
        <v>H</v>
      </c>
      <c r="U4" s="263" t="str">
        <f t="shared" si="0"/>
        <v>J</v>
      </c>
      <c r="V4" s="263" t="str">
        <f t="shared" si="0"/>
        <v>K</v>
      </c>
      <c r="W4" s="263" t="str">
        <f t="shared" si="0"/>
        <v>L</v>
      </c>
      <c r="X4" s="263" t="str">
        <f t="shared" si="0"/>
        <v>M</v>
      </c>
      <c r="Y4" s="263" t="str">
        <f t="shared" si="0"/>
        <v>N</v>
      </c>
      <c r="Z4" s="242"/>
      <c r="AA4" s="258"/>
      <c r="AB4" s="249"/>
      <c r="AC4" s="249"/>
      <c r="AD4" s="250"/>
      <c r="AE4" s="251"/>
      <c r="AF4" s="252"/>
      <c r="AG4" s="252"/>
      <c r="AH4" s="252"/>
      <c r="AI4" s="252"/>
      <c r="AJ4" s="252"/>
    </row>
    <row r="5" spans="1:37" s="219" customFormat="1" ht="15.75" thickTop="1">
      <c r="D5" s="218" t="s">
        <v>236</v>
      </c>
      <c r="E5" s="218"/>
      <c r="F5" s="264" t="s">
        <v>13</v>
      </c>
      <c r="G5" s="264">
        <v>3</v>
      </c>
      <c r="H5" s="264">
        <v>0</v>
      </c>
      <c r="I5" s="264">
        <v>0</v>
      </c>
      <c r="J5" s="264">
        <v>0</v>
      </c>
      <c r="K5" s="264">
        <v>0</v>
      </c>
      <c r="L5" s="264">
        <v>3</v>
      </c>
      <c r="M5" s="265">
        <v>1.5</v>
      </c>
      <c r="N5" s="265">
        <v>1</v>
      </c>
      <c r="O5" s="265">
        <v>1</v>
      </c>
      <c r="P5" s="265">
        <v>1</v>
      </c>
      <c r="Q5" s="265">
        <v>1</v>
      </c>
      <c r="R5" s="265">
        <v>0.5</v>
      </c>
      <c r="S5" s="265">
        <v>0.5</v>
      </c>
      <c r="T5" s="265">
        <v>0</v>
      </c>
      <c r="U5" s="265">
        <v>0</v>
      </c>
      <c r="V5" s="265">
        <v>0</v>
      </c>
      <c r="W5" s="265">
        <v>0</v>
      </c>
      <c r="X5" s="265">
        <v>0</v>
      </c>
      <c r="Y5" s="265">
        <v>0</v>
      </c>
      <c r="Z5" s="243">
        <v>0</v>
      </c>
      <c r="AA5" s="245"/>
      <c r="AB5" s="246"/>
      <c r="AC5" s="246"/>
      <c r="AD5" s="246"/>
      <c r="AE5" s="246">
        <v>0</v>
      </c>
      <c r="AF5" s="247"/>
      <c r="AG5" s="247"/>
      <c r="AH5" s="247"/>
      <c r="AI5" s="247"/>
      <c r="AJ5" s="247"/>
    </row>
    <row r="6" spans="1:37" s="222" customFormat="1" ht="15">
      <c r="D6" s="172" t="s">
        <v>237</v>
      </c>
      <c r="E6" s="172"/>
      <c r="F6" s="264" t="s">
        <v>269</v>
      </c>
      <c r="G6" s="264">
        <v>0</v>
      </c>
      <c r="H6" s="264">
        <v>3</v>
      </c>
      <c r="I6" s="264">
        <v>0</v>
      </c>
      <c r="J6" s="264">
        <v>0</v>
      </c>
      <c r="K6" s="264">
        <v>0</v>
      </c>
      <c r="L6" s="264">
        <v>0</v>
      </c>
      <c r="M6" s="265">
        <v>0</v>
      </c>
      <c r="N6" s="265">
        <v>1</v>
      </c>
      <c r="O6" s="264">
        <v>1</v>
      </c>
      <c r="P6" s="265">
        <v>0.5</v>
      </c>
      <c r="Q6" s="264">
        <v>0</v>
      </c>
      <c r="R6" s="265">
        <v>0.5</v>
      </c>
      <c r="S6" s="264">
        <v>0</v>
      </c>
      <c r="T6" s="264">
        <v>0.5</v>
      </c>
      <c r="U6" s="265">
        <v>1</v>
      </c>
      <c r="V6" s="264">
        <v>0.5</v>
      </c>
      <c r="W6" s="265">
        <v>0.5</v>
      </c>
      <c r="X6" s="265">
        <v>0</v>
      </c>
      <c r="Y6" s="265">
        <v>0</v>
      </c>
      <c r="Z6" s="234">
        <v>0</v>
      </c>
      <c r="AA6" s="236"/>
      <c r="AB6" s="220"/>
      <c r="AC6" s="220"/>
      <c r="AD6" s="220"/>
      <c r="AE6" s="220">
        <v>1</v>
      </c>
      <c r="AF6" s="221"/>
      <c r="AG6" s="221"/>
      <c r="AH6" s="221"/>
      <c r="AI6" s="221"/>
      <c r="AJ6" s="221"/>
    </row>
    <row r="7" spans="1:37" s="178" customFormat="1" ht="15">
      <c r="F7" s="264" t="s">
        <v>14</v>
      </c>
      <c r="G7" s="264">
        <v>0</v>
      </c>
      <c r="H7" s="264">
        <v>0</v>
      </c>
      <c r="I7" s="264">
        <v>3</v>
      </c>
      <c r="J7" s="264">
        <v>0</v>
      </c>
      <c r="K7" s="264">
        <v>0</v>
      </c>
      <c r="L7" s="264">
        <v>0</v>
      </c>
      <c r="M7" s="265">
        <v>0</v>
      </c>
      <c r="N7" s="265">
        <v>1</v>
      </c>
      <c r="O7" s="265">
        <v>0</v>
      </c>
      <c r="P7" s="265">
        <v>0</v>
      </c>
      <c r="Q7" s="265">
        <v>1</v>
      </c>
      <c r="R7" s="265">
        <v>2</v>
      </c>
      <c r="S7" s="265">
        <v>2.5</v>
      </c>
      <c r="T7" s="265">
        <v>2.5</v>
      </c>
      <c r="U7" s="265">
        <v>1</v>
      </c>
      <c r="V7" s="265">
        <v>2</v>
      </c>
      <c r="W7" s="265">
        <v>0.5</v>
      </c>
      <c r="X7" s="265">
        <v>1.5</v>
      </c>
      <c r="Y7" s="265">
        <v>0.5</v>
      </c>
      <c r="Z7" s="243">
        <v>0</v>
      </c>
      <c r="AA7" s="237"/>
      <c r="AB7" s="158"/>
      <c r="AC7" s="158"/>
      <c r="AD7" s="158"/>
      <c r="AE7" s="158">
        <v>1</v>
      </c>
      <c r="AF7" s="177"/>
      <c r="AG7" s="177"/>
      <c r="AH7" s="177"/>
      <c r="AI7" s="177"/>
      <c r="AJ7" s="177"/>
    </row>
    <row r="8" spans="1:37" s="134" customFormat="1" ht="15">
      <c r="D8" s="213"/>
      <c r="E8" s="213"/>
      <c r="F8" s="264" t="s">
        <v>196</v>
      </c>
      <c r="G8" s="264">
        <v>0</v>
      </c>
      <c r="H8" s="264">
        <v>0</v>
      </c>
      <c r="I8" s="264">
        <v>0</v>
      </c>
      <c r="J8" s="264">
        <v>3</v>
      </c>
      <c r="K8" s="264">
        <v>0</v>
      </c>
      <c r="L8" s="264">
        <v>0</v>
      </c>
      <c r="M8" s="265">
        <v>0</v>
      </c>
      <c r="N8" s="265">
        <v>0</v>
      </c>
      <c r="O8" s="265">
        <v>0</v>
      </c>
      <c r="P8" s="265">
        <v>0</v>
      </c>
      <c r="Q8" s="265">
        <v>0</v>
      </c>
      <c r="R8" s="265">
        <v>0</v>
      </c>
      <c r="S8" s="265">
        <v>0</v>
      </c>
      <c r="T8" s="265">
        <v>0</v>
      </c>
      <c r="U8" s="265">
        <v>0</v>
      </c>
      <c r="V8" s="265">
        <v>0</v>
      </c>
      <c r="W8" s="265">
        <v>0</v>
      </c>
      <c r="X8" s="265">
        <v>0</v>
      </c>
      <c r="Y8" s="265">
        <v>0</v>
      </c>
      <c r="Z8" s="243">
        <v>0</v>
      </c>
      <c r="AA8" s="237"/>
      <c r="AB8" s="158"/>
      <c r="AC8" s="158"/>
      <c r="AD8" s="120"/>
      <c r="AE8" s="149"/>
      <c r="AF8" s="140"/>
      <c r="AG8" s="140"/>
      <c r="AH8" s="140"/>
      <c r="AI8" s="140"/>
      <c r="AJ8" s="140"/>
    </row>
    <row r="9" spans="1:37" s="204" customFormat="1" ht="15">
      <c r="D9" s="214" t="s">
        <v>238</v>
      </c>
      <c r="E9" s="214"/>
      <c r="F9" s="264" t="s">
        <v>34</v>
      </c>
      <c r="G9" s="264">
        <v>0</v>
      </c>
      <c r="H9" s="264">
        <v>0</v>
      </c>
      <c r="I9" s="264">
        <v>0</v>
      </c>
      <c r="J9" s="264">
        <v>0</v>
      </c>
      <c r="K9" s="264">
        <v>3</v>
      </c>
      <c r="L9" s="264">
        <v>0</v>
      </c>
      <c r="M9" s="265">
        <v>1.5</v>
      </c>
      <c r="N9" s="265">
        <v>0</v>
      </c>
      <c r="O9" s="265">
        <v>1</v>
      </c>
      <c r="P9" s="265">
        <v>1.5</v>
      </c>
      <c r="Q9" s="265">
        <v>1</v>
      </c>
      <c r="R9" s="265">
        <v>0</v>
      </c>
      <c r="S9" s="265">
        <v>0</v>
      </c>
      <c r="T9" s="265">
        <v>0</v>
      </c>
      <c r="U9" s="265">
        <v>1</v>
      </c>
      <c r="V9" s="265">
        <v>0.5</v>
      </c>
      <c r="W9" s="265">
        <v>2</v>
      </c>
      <c r="X9" s="265">
        <v>1.5</v>
      </c>
      <c r="Y9" s="265">
        <v>2.5</v>
      </c>
      <c r="Z9" s="243">
        <v>3</v>
      </c>
      <c r="AA9" s="238"/>
      <c r="AB9" s="201"/>
      <c r="AC9" s="201"/>
      <c r="AD9" s="201"/>
      <c r="AE9" s="201">
        <v>1</v>
      </c>
      <c r="AF9" s="203"/>
      <c r="AG9" s="203"/>
      <c r="AH9" s="203"/>
      <c r="AI9" s="203"/>
      <c r="AJ9" s="203"/>
    </row>
    <row r="10" spans="1:37" s="225" customFormat="1" ht="15">
      <c r="D10" s="223" t="s">
        <v>239</v>
      </c>
      <c r="E10" s="223"/>
      <c r="F10" s="264" t="s">
        <v>151</v>
      </c>
      <c r="G10" s="264">
        <f>SUM(G5:G9)</f>
        <v>3</v>
      </c>
      <c r="H10" s="264">
        <f>SUM(H5:H9)</f>
        <v>3</v>
      </c>
      <c r="I10" s="264">
        <f t="shared" ref="I10:R10" si="1">SUM(I5:I9)</f>
        <v>3</v>
      </c>
      <c r="J10" s="264">
        <f t="shared" si="1"/>
        <v>3</v>
      </c>
      <c r="K10" s="264">
        <f t="shared" si="1"/>
        <v>3</v>
      </c>
      <c r="L10" s="264">
        <f t="shared" si="1"/>
        <v>3</v>
      </c>
      <c r="M10" s="265">
        <f>SUM(M5:M9)</f>
        <v>3</v>
      </c>
      <c r="N10" s="265">
        <f t="shared" si="1"/>
        <v>3</v>
      </c>
      <c r="O10" s="265">
        <f>SUM(O5:O9)</f>
        <v>3</v>
      </c>
      <c r="P10" s="265">
        <f>SUM(P5:P9)</f>
        <v>3</v>
      </c>
      <c r="Q10" s="265">
        <f>SUM(Q5:Q9)</f>
        <v>3</v>
      </c>
      <c r="R10" s="265">
        <f t="shared" si="1"/>
        <v>3</v>
      </c>
      <c r="S10" s="265">
        <f>SUM(S5:S9)</f>
        <v>3</v>
      </c>
      <c r="T10" s="265">
        <f>SUM(T5:T9)</f>
        <v>3</v>
      </c>
      <c r="U10" s="265">
        <f t="shared" ref="U10:Z10" si="2">SUM(U5:U9)</f>
        <v>3</v>
      </c>
      <c r="V10" s="265">
        <v>3</v>
      </c>
      <c r="W10" s="265">
        <f t="shared" si="2"/>
        <v>3</v>
      </c>
      <c r="X10" s="265">
        <f>SUM(X5:X9)</f>
        <v>3</v>
      </c>
      <c r="Y10" s="265">
        <v>3</v>
      </c>
      <c r="Z10" s="242">
        <f t="shared" si="2"/>
        <v>3</v>
      </c>
      <c r="AA10" s="239"/>
      <c r="AB10" s="224"/>
      <c r="AC10" s="224"/>
      <c r="AD10" s="224"/>
      <c r="AE10" s="224">
        <f>SUM(AE5:AE9)</f>
        <v>3</v>
      </c>
      <c r="AF10" s="207"/>
      <c r="AG10" s="207"/>
      <c r="AH10" s="207"/>
      <c r="AI10" s="207"/>
      <c r="AJ10" s="207"/>
    </row>
    <row r="11" spans="1:37" s="274" customFormat="1" ht="15">
      <c r="F11" s="275"/>
      <c r="G11" s="276">
        <f>$C$17*$C$21*$C$23/(G14+G15+G16)</f>
        <v>3.9</v>
      </c>
      <c r="H11" s="276">
        <f>$C$17*$C$20*$C$23/(H14+H15+H16)</f>
        <v>12</v>
      </c>
      <c r="I11" s="276">
        <f>$C$17*$C$21*$C$23/(I14+I15+I16)</f>
        <v>22</v>
      </c>
      <c r="J11" s="276">
        <f>$C$17*$C$22*$C$23/(J14+J15+J16)</f>
        <v>30</v>
      </c>
      <c r="K11" s="276">
        <f>$C$17*$C$21*$C$23/(K14+K15+K16)</f>
        <v>80</v>
      </c>
      <c r="L11" s="275">
        <f>$C$17*$C$21*$C$23/(L14+L15+L16)</f>
        <v>3.9</v>
      </c>
      <c r="M11" s="277">
        <f>$C$17*$C$21*$C$23/(M14+M15+M16)</f>
        <v>7.4374255065554236</v>
      </c>
      <c r="N11" s="277">
        <f>$C$17*$C$20*$C$21/(N14+N15+N16)</f>
        <v>7.7881996974281389</v>
      </c>
      <c r="O11" s="277">
        <f>$C$17*$C$20*$C$23/(O14+O15+O16)</f>
        <v>8.5168334849863516</v>
      </c>
      <c r="P11" s="277">
        <f>$C$17*$C$20*$C$23/(P14+P15+P16)</f>
        <v>9.4688922610015176</v>
      </c>
      <c r="Q11" s="277">
        <f>$C$17*$C$21*$C$23/(Q14+Q15+Q16)</f>
        <v>9.5430531096487172</v>
      </c>
      <c r="R11" s="277">
        <f>$C$17*$C$20*$C$21/(R14+R15+R16)</f>
        <v>11.50391061452514</v>
      </c>
      <c r="S11" s="277">
        <f>$C$17*$C$20*$C$21/(S14+S15+S16)</f>
        <v>12.404819277108432</v>
      </c>
      <c r="T11" s="277">
        <f>$C$17*$C$20*$C$21/(T14+T15+T16)</f>
        <v>19.317073170731707</v>
      </c>
      <c r="U11" s="277">
        <f>$C$20*$C$21*$C$23/(U14+U15+U16)</f>
        <v>21.233243967828418</v>
      </c>
      <c r="V11" s="277">
        <f>$C$20*$C$21*$C$23/(V14+V15+V16)</f>
        <v>21.609822646657573</v>
      </c>
      <c r="W11" s="277">
        <f>$C$20*$C$21*$C$23/(W14+W15+W16)</f>
        <v>33.559322033898312</v>
      </c>
      <c r="X11" s="277">
        <f>$C$17*$C$21*$C$23/(X14+X15+X16)</f>
        <v>34.509803921568626</v>
      </c>
      <c r="Y11" s="277">
        <f>$C$17*$C$21*$C$23/(Y14+Y15+Y16)</f>
        <v>55.578947368421055</v>
      </c>
      <c r="Z11" s="278">
        <f>$C$20*$C$21*$C$23/(Z14+Z15+Z16)</f>
        <v>80</v>
      </c>
      <c r="AA11" s="253"/>
      <c r="AB11" s="206"/>
      <c r="AC11" s="206"/>
      <c r="AD11" s="206"/>
      <c r="AE11" s="206"/>
      <c r="AF11" s="207"/>
      <c r="AG11" s="207"/>
      <c r="AH11" s="207"/>
      <c r="AI11" s="207"/>
      <c r="AJ11" s="207"/>
    </row>
    <row r="12" spans="1:37" s="101" customFormat="1" ht="30">
      <c r="F12" s="266" t="s">
        <v>171</v>
      </c>
      <c r="G12" s="267">
        <v>9</v>
      </c>
      <c r="H12" s="267">
        <v>8.1999999999999993</v>
      </c>
      <c r="I12" s="267">
        <v>5.2</v>
      </c>
      <c r="J12" s="267">
        <v>5.2</v>
      </c>
      <c r="K12" s="267">
        <v>3.5</v>
      </c>
      <c r="L12" s="267">
        <v>9</v>
      </c>
      <c r="M12" s="268">
        <f t="shared" ref="M12:Y12" si="3">($B$17*M5+$B$20*M6+$B$21*M7+$B$23*M9)/M10</f>
        <v>6.25</v>
      </c>
      <c r="N12" s="268">
        <f t="shared" si="3"/>
        <v>7.4666666666666659</v>
      </c>
      <c r="O12" s="268">
        <f t="shared" si="3"/>
        <v>6.8999999999999995</v>
      </c>
      <c r="P12" s="268">
        <f t="shared" si="3"/>
        <v>6.1166666666666671</v>
      </c>
      <c r="Q12" s="268">
        <f t="shared" si="3"/>
        <v>5.8999999999999995</v>
      </c>
      <c r="R12" s="268">
        <f t="shared" si="3"/>
        <v>6.333333333333333</v>
      </c>
      <c r="S12" s="268">
        <f t="shared" si="3"/>
        <v>5.833333333333333</v>
      </c>
      <c r="T12" s="268">
        <f t="shared" si="3"/>
        <v>5.7</v>
      </c>
      <c r="U12" s="268">
        <f t="shared" si="3"/>
        <v>5.6333333333333329</v>
      </c>
      <c r="V12" s="268">
        <f t="shared" si="3"/>
        <v>5.416666666666667</v>
      </c>
      <c r="W12" s="268">
        <f t="shared" si="3"/>
        <v>4.5666666666666664</v>
      </c>
      <c r="X12" s="268">
        <f t="shared" si="3"/>
        <v>4.3500000000000005</v>
      </c>
      <c r="Y12" s="268">
        <f t="shared" si="3"/>
        <v>3.7833333333333332</v>
      </c>
      <c r="Z12" s="242">
        <v>3.5</v>
      </c>
      <c r="AA12" s="269" t="s">
        <v>187</v>
      </c>
      <c r="AB12" s="270" t="s">
        <v>185</v>
      </c>
      <c r="AC12" s="270" t="s">
        <v>184</v>
      </c>
      <c r="AD12" s="271" t="s">
        <v>186</v>
      </c>
      <c r="AE12" s="272" t="s">
        <v>175</v>
      </c>
      <c r="AF12" s="273" t="s">
        <v>176</v>
      </c>
      <c r="AG12" s="273" t="s">
        <v>191</v>
      </c>
      <c r="AH12" s="273" t="s">
        <v>177</v>
      </c>
      <c r="AI12" s="273" t="s">
        <v>177</v>
      </c>
      <c r="AJ12" s="273" t="s">
        <v>178</v>
      </c>
      <c r="AK12" s="273" t="s">
        <v>178</v>
      </c>
    </row>
    <row r="13" spans="1:37" s="205" customFormat="1">
      <c r="A13" s="205" t="s">
        <v>169</v>
      </c>
      <c r="B13" s="205" t="s">
        <v>167</v>
      </c>
      <c r="C13" s="205" t="s">
        <v>168</v>
      </c>
      <c r="F13" s="259" t="s">
        <v>150</v>
      </c>
      <c r="G13" s="260">
        <f>($C$17*G5+$C$20*G6+$C$21*G7+$C$23*G9)/G10</f>
        <v>3.9</v>
      </c>
      <c r="H13" s="260">
        <f>($C$17*H5+$C$20*H6+$C$21*H7+$C$23*H9)/H10</f>
        <v>12</v>
      </c>
      <c r="I13" s="260">
        <f>($C$17*I5+$C$20*I6+$C$21*I7+$C$23*I9)/I10</f>
        <v>22</v>
      </c>
      <c r="J13" s="260">
        <v>27</v>
      </c>
      <c r="K13" s="260">
        <f t="shared" ref="K13:Z13" si="4">($C$17*K5+$C$20*K6+$C$21*K7+$C$23*K9)/K10</f>
        <v>80</v>
      </c>
      <c r="L13" s="260">
        <f t="shared" si="4"/>
        <v>3.9</v>
      </c>
      <c r="M13" s="257">
        <f t="shared" si="4"/>
        <v>41.949999999999996</v>
      </c>
      <c r="N13" s="257">
        <f t="shared" si="4"/>
        <v>12.633333333333333</v>
      </c>
      <c r="O13" s="257">
        <f t="shared" si="4"/>
        <v>31.966666666666669</v>
      </c>
      <c r="P13" s="257">
        <f t="shared" si="4"/>
        <v>43.300000000000004</v>
      </c>
      <c r="Q13" s="257">
        <f t="shared" si="4"/>
        <v>35.300000000000004</v>
      </c>
      <c r="R13" s="257">
        <f t="shared" si="4"/>
        <v>17.316666666666666</v>
      </c>
      <c r="S13" s="257">
        <f t="shared" si="4"/>
        <v>18.983333333333334</v>
      </c>
      <c r="T13" s="257">
        <f t="shared" si="4"/>
        <v>20.333333333333332</v>
      </c>
      <c r="U13" s="257">
        <f t="shared" si="4"/>
        <v>38</v>
      </c>
      <c r="V13" s="257">
        <f t="shared" si="4"/>
        <v>30</v>
      </c>
      <c r="W13" s="257">
        <f t="shared" si="4"/>
        <v>59</v>
      </c>
      <c r="X13" s="257">
        <f t="shared" si="4"/>
        <v>51</v>
      </c>
      <c r="Y13" s="257">
        <f t="shared" si="4"/>
        <v>70.333333333333329</v>
      </c>
      <c r="Z13" s="260">
        <f t="shared" si="4"/>
        <v>80</v>
      </c>
      <c r="AA13" s="206">
        <v>80</v>
      </c>
      <c r="AB13" s="206">
        <v>80</v>
      </c>
      <c r="AC13" s="206">
        <v>80</v>
      </c>
      <c r="AD13" s="206"/>
      <c r="AE13" s="206"/>
      <c r="AF13" s="207"/>
      <c r="AG13" s="207"/>
      <c r="AH13" s="207"/>
      <c r="AI13" s="207"/>
      <c r="AJ13" s="207"/>
    </row>
    <row r="14" spans="1:37" s="208" customFormat="1" ht="24">
      <c r="F14" s="209" t="s">
        <v>230</v>
      </c>
      <c r="G14" s="227">
        <f>$C$21*$C$23*G5/G10</f>
        <v>1760</v>
      </c>
      <c r="H14" s="227">
        <f>$C$19*$C$23*H5/H10</f>
        <v>0</v>
      </c>
      <c r="I14" s="227">
        <f>$C$21*$C$23*I5/I10</f>
        <v>0</v>
      </c>
      <c r="J14" s="227">
        <f>$C$22*$C$23*J5/J10</f>
        <v>0</v>
      </c>
      <c r="K14" s="227">
        <f>$C$21*$C$23*K5/K10</f>
        <v>0</v>
      </c>
      <c r="L14" s="227">
        <f>$C$21*$C$23*L5/L10</f>
        <v>1760</v>
      </c>
      <c r="M14" s="227">
        <f>$C$21*$C$23*M5/M10</f>
        <v>880</v>
      </c>
      <c r="N14" s="215">
        <f>$C$20*$C$21*N5/N10</f>
        <v>88</v>
      </c>
      <c r="O14" s="226">
        <f>$C$20*$C$23*O5/O10</f>
        <v>320</v>
      </c>
      <c r="P14" s="226">
        <f>$C$20*$C$23*P5/P10</f>
        <v>320</v>
      </c>
      <c r="Q14" s="227">
        <f>$C$21*$C$23*Q5/Q10</f>
        <v>586.66666666666663</v>
      </c>
      <c r="R14" s="215">
        <f>$C$20*$C$21*R5/R10</f>
        <v>44</v>
      </c>
      <c r="S14" s="215">
        <f>$C$20*$C$21*S5/S10</f>
        <v>44</v>
      </c>
      <c r="T14" s="215">
        <f>$C$20*$C$21*T5/T10</f>
        <v>0</v>
      </c>
      <c r="U14" s="116">
        <f>$C$21*$C$23*U6/U10</f>
        <v>586.66666666666663</v>
      </c>
      <c r="V14" s="116">
        <f>$C$21*$C$23*V6/V10</f>
        <v>293.33333333333331</v>
      </c>
      <c r="W14" s="116">
        <f>$C$21*$C$23*W6/W10</f>
        <v>293.33333333333331</v>
      </c>
      <c r="X14" s="227">
        <f>$C$21*$C$23*X5/X10</f>
        <v>0</v>
      </c>
      <c r="Y14" s="227">
        <f>$C$21*$C$23*Y5/Y10</f>
        <v>0</v>
      </c>
      <c r="Z14" s="210">
        <f>$C$21*$C$23*Z6/Z10</f>
        <v>0</v>
      </c>
      <c r="AA14" s="210"/>
      <c r="AB14" s="210"/>
      <c r="AC14" s="210"/>
      <c r="AD14" s="210"/>
      <c r="AE14" s="210"/>
      <c r="AF14" s="211"/>
      <c r="AG14" s="211"/>
      <c r="AH14" s="211"/>
      <c r="AI14" s="211"/>
      <c r="AJ14" s="211"/>
    </row>
    <row r="15" spans="1:37" s="208" customFormat="1" ht="24">
      <c r="F15" s="209" t="s">
        <v>232</v>
      </c>
      <c r="G15" s="227">
        <f>$C$17*$C$23*G7/G10</f>
        <v>0</v>
      </c>
      <c r="H15" s="227">
        <f>$C$17*$C$23*H6/H10</f>
        <v>312</v>
      </c>
      <c r="I15" s="227">
        <f>$C$17*$C$23*I7/I10</f>
        <v>312</v>
      </c>
      <c r="J15" s="227">
        <f>$C$17*$C$23*J8/J10</f>
        <v>312</v>
      </c>
      <c r="K15" s="227">
        <f>$C$17*$C$23*K7/K10</f>
        <v>0</v>
      </c>
      <c r="L15" s="227">
        <f>$C$17*$C$23*L7/L10</f>
        <v>0</v>
      </c>
      <c r="M15" s="227">
        <f>$C$17*$C$23*M7/M10</f>
        <v>0</v>
      </c>
      <c r="N15" s="215">
        <f>$C$17*$C$21*N6/N10</f>
        <v>28.599999999999998</v>
      </c>
      <c r="O15" s="226">
        <f>$C$17*$C$23*O6/O10</f>
        <v>104</v>
      </c>
      <c r="P15" s="226">
        <f>$C$17*$C$23*P6/P10</f>
        <v>52</v>
      </c>
      <c r="Q15" s="227">
        <f>$C$17*$C$23*Q7/Q10</f>
        <v>104</v>
      </c>
      <c r="R15" s="215">
        <f>$C$17*$C$21*R6/R10</f>
        <v>14.299999999999999</v>
      </c>
      <c r="S15" s="215">
        <f>$C$17*$C$21*S6/S10</f>
        <v>0</v>
      </c>
      <c r="T15" s="215">
        <f>$C$17*$C$21*T6/T10</f>
        <v>14.299999999999999</v>
      </c>
      <c r="U15" s="116">
        <f>$C$20*$C$23*U7/U10</f>
        <v>320</v>
      </c>
      <c r="V15" s="116">
        <f>$C$20*$C$23*V7/V10</f>
        <v>640</v>
      </c>
      <c r="W15" s="116">
        <f>$C$20*$C$23*W7/W10</f>
        <v>160</v>
      </c>
      <c r="X15" s="227">
        <f>$C$17*$C$23*X7/X10</f>
        <v>156</v>
      </c>
      <c r="Y15" s="227">
        <f>$C$17*$C$23*Y7/Y10</f>
        <v>52</v>
      </c>
      <c r="Z15" s="210">
        <f>$C$20*$C$23*Z7/Z10</f>
        <v>0</v>
      </c>
      <c r="AA15" s="210"/>
      <c r="AB15" s="210"/>
      <c r="AC15" s="210"/>
      <c r="AD15" s="210"/>
      <c r="AE15" s="210"/>
      <c r="AF15" s="211"/>
      <c r="AG15" s="211"/>
      <c r="AH15" s="211"/>
      <c r="AI15" s="211"/>
      <c r="AJ15" s="211"/>
    </row>
    <row r="16" spans="1:37" s="208" customFormat="1" ht="24">
      <c r="F16" s="209" t="s">
        <v>231</v>
      </c>
      <c r="G16" s="227">
        <f>$C$17*$C$21*G9/G10</f>
        <v>0</v>
      </c>
      <c r="H16" s="227">
        <f>$C$17*$C$21*H9/H10</f>
        <v>0</v>
      </c>
      <c r="I16" s="227">
        <f>$C$17*$C$21*I9/I10</f>
        <v>0</v>
      </c>
      <c r="J16" s="227">
        <f>$C$17*$C$22*J9/J10</f>
        <v>0</v>
      </c>
      <c r="K16" s="227">
        <f>$C$17*$C$21*K9/K10</f>
        <v>85.8</v>
      </c>
      <c r="L16" s="227">
        <f>$C$17*$C$21*L9/L10</f>
        <v>0</v>
      </c>
      <c r="M16" s="227">
        <f>$C$17*$C$21*M9/M10</f>
        <v>42.9</v>
      </c>
      <c r="N16" s="215">
        <f>$C$20*$C$17*N7/N10</f>
        <v>15.6</v>
      </c>
      <c r="O16" s="226">
        <f>$C$17*$C$20*O9/O10</f>
        <v>15.6</v>
      </c>
      <c r="P16" s="226">
        <f>$C$17*$C$20*P9/P10</f>
        <v>23.399999999999995</v>
      </c>
      <c r="Q16" s="227">
        <f>$C$17*$C$21*Q9/Q10</f>
        <v>28.599999999999998</v>
      </c>
      <c r="R16" s="215">
        <f>$C$20*$C$17*R7/R10</f>
        <v>31.2</v>
      </c>
      <c r="S16" s="215">
        <f>$C$20*$C$17*S7/S10</f>
        <v>39</v>
      </c>
      <c r="T16" s="215">
        <f>$C$20*$C$17*T7/T10</f>
        <v>39</v>
      </c>
      <c r="U16" s="116">
        <f>$C$21*$C$20*U9/U10</f>
        <v>88</v>
      </c>
      <c r="V16" s="116">
        <f>$C$21*$C$20*V9/V10</f>
        <v>44</v>
      </c>
      <c r="W16" s="116">
        <f>$C$21*$C$20*W9/W10</f>
        <v>176</v>
      </c>
      <c r="X16" s="227">
        <f>$C$17*$C$21*X9/X10</f>
        <v>42.9</v>
      </c>
      <c r="Y16" s="227">
        <f>$C$17*$C$21*Y9/Y10</f>
        <v>71.5</v>
      </c>
      <c r="Z16" s="210">
        <f>$C$21*$C$20*Z9/Z10</f>
        <v>264</v>
      </c>
      <c r="AA16" s="210"/>
      <c r="AB16" s="210"/>
      <c r="AC16" s="210"/>
      <c r="AD16" s="210"/>
      <c r="AE16" s="210"/>
      <c r="AF16" s="211"/>
      <c r="AG16" s="211"/>
      <c r="AH16" s="211"/>
      <c r="AI16" s="211"/>
      <c r="AJ16" s="211"/>
    </row>
    <row r="17" spans="1:37" ht="15.75">
      <c r="A17" s="48" t="s">
        <v>23</v>
      </c>
      <c r="B17" s="48">
        <v>9</v>
      </c>
      <c r="C17" s="48">
        <v>3.9</v>
      </c>
      <c r="D17" s="212" t="s">
        <v>233</v>
      </c>
      <c r="E17" s="109" t="s">
        <v>258</v>
      </c>
      <c r="F17" s="109" t="s">
        <v>257</v>
      </c>
      <c r="G17" s="167">
        <v>0.53180000000000005</v>
      </c>
      <c r="H17" s="167">
        <v>0.75160000000000005</v>
      </c>
      <c r="I17" s="167">
        <v>0.86729999999999996</v>
      </c>
      <c r="J17" s="167">
        <v>0.88529999999999998</v>
      </c>
      <c r="K17" s="167">
        <v>0.94210000000000005</v>
      </c>
      <c r="L17" s="167">
        <f t="shared" ref="L17:L26" si="5">G17</f>
        <v>0.53180000000000005</v>
      </c>
      <c r="M17" s="167">
        <v>0.72519999999999996</v>
      </c>
      <c r="N17" s="167">
        <v>0.70120000000000005</v>
      </c>
      <c r="O17" s="167">
        <v>0.73119999999999996</v>
      </c>
      <c r="P17" s="167">
        <v>0.7631</v>
      </c>
      <c r="Q17" s="167">
        <v>0.76880000000000004</v>
      </c>
      <c r="R17" s="167">
        <v>0.78169999999999995</v>
      </c>
      <c r="S17" s="167">
        <v>0.80010000000000003</v>
      </c>
      <c r="T17" s="167">
        <v>0.84470000000000001</v>
      </c>
      <c r="U17" s="167">
        <v>0.84970000000000001</v>
      </c>
      <c r="V17" s="167">
        <v>0.85799999999999998</v>
      </c>
      <c r="W17" s="167">
        <v>0.8952</v>
      </c>
      <c r="X17" s="167">
        <v>0.90269999999999995</v>
      </c>
      <c r="Y17" s="167">
        <v>0.92789999999999995</v>
      </c>
      <c r="Z17" s="167">
        <f t="shared" ref="Z17:Z26" si="6">K17</f>
        <v>0.94210000000000005</v>
      </c>
      <c r="AA17" s="156">
        <v>1.0038</v>
      </c>
      <c r="AB17" s="156">
        <v>1.0028999999999999</v>
      </c>
      <c r="AC17" s="156">
        <v>1.008</v>
      </c>
      <c r="AD17" s="152">
        <f>(AB17-AC17)/AB17</f>
        <v>-5.0852527669758745E-3</v>
      </c>
      <c r="AE17" s="147">
        <v>0.92800000000000005</v>
      </c>
      <c r="AF17" s="141">
        <f t="shared" ref="AF17:AF26" si="7">($AE17-H17)/H17</f>
        <v>0.23469930814262904</v>
      </c>
      <c r="AG17" s="141"/>
      <c r="AH17" s="141">
        <f t="shared" ref="AH17:AH26" si="8">($AE17-I17)/I17</f>
        <v>6.998731696068268E-2</v>
      </c>
      <c r="AI17" s="141"/>
      <c r="AJ17" s="141">
        <f t="shared" ref="AJ17:AJ26" si="9">($AE17-K17)/K17</f>
        <v>-1.496656405901709E-2</v>
      </c>
    </row>
    <row r="18" spans="1:37" ht="15.75">
      <c r="A18" s="48" t="s">
        <v>170</v>
      </c>
      <c r="B18" s="48">
        <v>4.5999999999999996</v>
      </c>
      <c r="C18" s="48">
        <v>7.5</v>
      </c>
      <c r="E18" s="109" t="s">
        <v>259</v>
      </c>
      <c r="F18" s="109" t="s">
        <v>260</v>
      </c>
      <c r="G18" s="167">
        <v>89.6</v>
      </c>
      <c r="H18" s="167">
        <v>87.8</v>
      </c>
      <c r="I18" s="167">
        <v>82.5</v>
      </c>
      <c r="J18" s="167">
        <v>81.8</v>
      </c>
      <c r="K18" s="167">
        <v>76.2</v>
      </c>
      <c r="L18" s="167">
        <f t="shared" si="5"/>
        <v>89.6</v>
      </c>
      <c r="M18" s="167">
        <v>77.099999999999994</v>
      </c>
      <c r="N18" s="167">
        <v>82.6</v>
      </c>
      <c r="O18" s="167">
        <v>78.900000000000006</v>
      </c>
      <c r="P18" s="167">
        <v>76.2</v>
      </c>
      <c r="Q18" s="167">
        <v>76.8</v>
      </c>
      <c r="R18" s="167">
        <v>81.099999999999994</v>
      </c>
      <c r="S18" s="167">
        <v>81.7</v>
      </c>
      <c r="T18" s="167">
        <v>82</v>
      </c>
      <c r="U18" s="167">
        <v>79</v>
      </c>
      <c r="V18" s="167">
        <v>80.3</v>
      </c>
      <c r="W18" s="167">
        <v>78.3</v>
      </c>
      <c r="X18" s="167">
        <v>79.8</v>
      </c>
      <c r="Y18" s="167">
        <v>77</v>
      </c>
      <c r="Z18" s="167">
        <f t="shared" si="6"/>
        <v>76.2</v>
      </c>
      <c r="AA18" s="156">
        <v>56.8</v>
      </c>
      <c r="AB18" s="156">
        <v>56.1</v>
      </c>
      <c r="AC18" s="156">
        <v>59</v>
      </c>
      <c r="AD18" s="152">
        <f t="shared" ref="AD18:AD26" si="10">(AB18-AC18)/AB18</f>
        <v>-5.169340463458108E-2</v>
      </c>
      <c r="AE18" s="147">
        <v>58.3</v>
      </c>
      <c r="AF18" s="141">
        <f t="shared" si="7"/>
        <v>-0.33599088838268792</v>
      </c>
      <c r="AG18" s="141"/>
      <c r="AH18" s="141">
        <f t="shared" si="8"/>
        <v>-0.29333333333333339</v>
      </c>
      <c r="AI18" s="141"/>
      <c r="AJ18" s="141">
        <f t="shared" si="9"/>
        <v>-0.23490813648293971</v>
      </c>
    </row>
    <row r="19" spans="1:37" ht="15.75">
      <c r="A19" s="48" t="s">
        <v>39</v>
      </c>
      <c r="B19" s="48"/>
      <c r="C19" s="48">
        <v>12</v>
      </c>
      <c r="F19" s="109" t="s">
        <v>143</v>
      </c>
      <c r="G19" s="167">
        <v>89.5</v>
      </c>
      <c r="H19" s="167">
        <v>88.1</v>
      </c>
      <c r="I19" s="167">
        <v>82.8</v>
      </c>
      <c r="J19" s="167">
        <v>82.1</v>
      </c>
      <c r="K19" s="167">
        <v>75</v>
      </c>
      <c r="L19" s="167">
        <f t="shared" si="5"/>
        <v>89.5</v>
      </c>
      <c r="M19" s="167">
        <v>77.3</v>
      </c>
      <c r="N19" s="167">
        <v>82.7</v>
      </c>
      <c r="O19" s="167">
        <v>-1099.8</v>
      </c>
      <c r="P19" s="167">
        <v>76.3</v>
      </c>
      <c r="Q19" s="167">
        <v>76.900000000000006</v>
      </c>
      <c r="R19" s="167">
        <v>81.400000000000006</v>
      </c>
      <c r="S19" s="167">
        <v>81.900000000000006</v>
      </c>
      <c r="T19" s="167">
        <v>82.4</v>
      </c>
      <c r="U19" s="167">
        <v>79.3</v>
      </c>
      <c r="V19" s="167">
        <v>80.7</v>
      </c>
      <c r="W19" s="167">
        <v>78.400000000000006</v>
      </c>
      <c r="X19" s="167">
        <v>80</v>
      </c>
      <c r="Y19" s="167">
        <v>76.2</v>
      </c>
      <c r="Z19" s="167">
        <f t="shared" si="6"/>
        <v>75</v>
      </c>
      <c r="AA19" s="156">
        <v>56.7</v>
      </c>
      <c r="AB19" s="156">
        <v>55.7</v>
      </c>
      <c r="AC19" s="156">
        <v>58.9</v>
      </c>
      <c r="AD19" s="152">
        <f t="shared" si="10"/>
        <v>-5.7450628366247675E-2</v>
      </c>
      <c r="AE19" s="147">
        <v>57.8</v>
      </c>
      <c r="AF19" s="141">
        <f t="shared" si="7"/>
        <v>-0.34392735527809304</v>
      </c>
      <c r="AG19" s="141"/>
      <c r="AH19" s="141">
        <f t="shared" si="8"/>
        <v>-0.30193236714975846</v>
      </c>
      <c r="AI19" s="141"/>
      <c r="AJ19" s="141">
        <f t="shared" si="9"/>
        <v>-0.22933333333333336</v>
      </c>
    </row>
    <row r="20" spans="1:37" ht="15.75">
      <c r="A20" s="48" t="s">
        <v>25</v>
      </c>
      <c r="B20" s="48">
        <v>8.1999999999999993</v>
      </c>
      <c r="C20" s="48">
        <v>12</v>
      </c>
      <c r="D20" s="212" t="s">
        <v>234</v>
      </c>
      <c r="E20" s="109" t="s">
        <v>261</v>
      </c>
      <c r="F20" s="109" t="s">
        <v>262</v>
      </c>
      <c r="G20" s="167">
        <v>19.3</v>
      </c>
      <c r="H20" s="167">
        <v>13.13</v>
      </c>
      <c r="I20" s="167">
        <v>8.8699999999999992</v>
      </c>
      <c r="J20" s="167">
        <v>7.57</v>
      </c>
      <c r="K20" s="167">
        <v>5.04</v>
      </c>
      <c r="L20" s="167">
        <f t="shared" si="5"/>
        <v>19.3</v>
      </c>
      <c r="M20" s="167">
        <v>12.7</v>
      </c>
      <c r="N20" s="167">
        <v>15.22</v>
      </c>
      <c r="O20" s="167">
        <v>12.52</v>
      </c>
      <c r="P20" s="167">
        <v>9.74</v>
      </c>
      <c r="Q20" s="167">
        <v>9.48</v>
      </c>
      <c r="R20" s="167">
        <v>9.3000000000000007</v>
      </c>
      <c r="S20" s="167">
        <v>8.43</v>
      </c>
      <c r="T20" s="167">
        <v>9.83</v>
      </c>
      <c r="U20" s="167">
        <v>8.8699999999999992</v>
      </c>
      <c r="V20" s="167">
        <v>8.6999999999999993</v>
      </c>
      <c r="W20" s="167">
        <v>6.43</v>
      </c>
      <c r="X20" s="167">
        <v>6.17</v>
      </c>
      <c r="Y20" s="167">
        <v>5.48</v>
      </c>
      <c r="Z20" s="167">
        <f t="shared" si="6"/>
        <v>5.04</v>
      </c>
      <c r="AA20" s="156">
        <v>7.39</v>
      </c>
      <c r="AB20" s="156">
        <v>7.48</v>
      </c>
      <c r="AC20" s="156">
        <v>6.96</v>
      </c>
      <c r="AD20" s="152">
        <f t="shared" si="10"/>
        <v>6.9518716577540163E-2</v>
      </c>
      <c r="AE20" s="147">
        <v>6.87</v>
      </c>
      <c r="AF20" s="141">
        <f t="shared" si="7"/>
        <v>-0.47677075399847679</v>
      </c>
      <c r="AG20" s="102" t="s">
        <v>182</v>
      </c>
      <c r="AH20" s="141">
        <f t="shared" si="8"/>
        <v>-0.22547914317925583</v>
      </c>
      <c r="AI20" s="102" t="s">
        <v>181</v>
      </c>
      <c r="AJ20" s="141">
        <f t="shared" si="9"/>
        <v>0.36309523809523808</v>
      </c>
      <c r="AK20" s="102" t="s">
        <v>180</v>
      </c>
    </row>
    <row r="21" spans="1:37" ht="15.75">
      <c r="A21" s="48" t="s">
        <v>21</v>
      </c>
      <c r="B21" s="48">
        <v>5.2</v>
      </c>
      <c r="C21" s="48">
        <v>22</v>
      </c>
      <c r="F21" s="109" t="s">
        <v>12</v>
      </c>
      <c r="G21" s="230">
        <v>9.9999999999999998E-13</v>
      </c>
      <c r="H21" s="230">
        <v>1E-14</v>
      </c>
      <c r="I21" s="230">
        <v>9.9999999999999998E-17</v>
      </c>
      <c r="J21" s="230">
        <v>9.9999999999999998E-17</v>
      </c>
      <c r="K21" s="230">
        <v>1.0000000000000001E-17</v>
      </c>
      <c r="L21" s="230">
        <f t="shared" si="5"/>
        <v>9.9999999999999998E-13</v>
      </c>
      <c r="M21" s="230">
        <v>1.0000000000000001E-15</v>
      </c>
      <c r="N21" s="230">
        <v>1E-14</v>
      </c>
      <c r="O21" s="230">
        <v>1.0000000000000001E-15</v>
      </c>
      <c r="P21" s="230">
        <v>9.9999999999999998E-17</v>
      </c>
      <c r="Q21" s="230">
        <v>1.0000000000000001E-15</v>
      </c>
      <c r="R21" s="230">
        <v>1.0000000000000001E-15</v>
      </c>
      <c r="S21" s="230">
        <v>1.0000000000000001E-15</v>
      </c>
      <c r="T21" s="230">
        <v>9.9999999999999998E-17</v>
      </c>
      <c r="U21" s="230">
        <v>9.9999999999999998E-17</v>
      </c>
      <c r="V21" s="230">
        <v>9.9999999999999998E-17</v>
      </c>
      <c r="W21" s="230">
        <v>1.0000000000000001E-17</v>
      </c>
      <c r="X21" s="230">
        <v>1.0000000000000001E-17</v>
      </c>
      <c r="Y21" s="230">
        <v>1.0000000000000001E-17</v>
      </c>
      <c r="Z21" s="230">
        <f t="shared" si="6"/>
        <v>1.0000000000000001E-17</v>
      </c>
      <c r="AA21" s="157">
        <v>9.9999999999999994E-30</v>
      </c>
      <c r="AB21" s="157">
        <v>1.0000000000000001E-31</v>
      </c>
      <c r="AC21" s="157">
        <v>9.9999999999999996E-24</v>
      </c>
      <c r="AD21" s="152">
        <f t="shared" si="10"/>
        <v>-99999999</v>
      </c>
      <c r="AE21" s="148">
        <v>9.9999999999999991E-22</v>
      </c>
      <c r="AF21" s="141">
        <f t="shared" si="7"/>
        <v>-0.99999990000000005</v>
      </c>
      <c r="AG21" s="141"/>
      <c r="AH21" s="141">
        <f t="shared" si="8"/>
        <v>-0.99998999999999993</v>
      </c>
      <c r="AI21" s="141"/>
      <c r="AJ21" s="141">
        <f t="shared" si="9"/>
        <v>-0.99990000000000001</v>
      </c>
    </row>
    <row r="22" spans="1:37" ht="15.75">
      <c r="A22" s="48" t="s">
        <v>26</v>
      </c>
      <c r="B22" s="48">
        <v>5.6</v>
      </c>
      <c r="C22" s="48">
        <v>30</v>
      </c>
      <c r="F22" s="109" t="s">
        <v>144</v>
      </c>
      <c r="G22" s="230">
        <v>9.9999999999999995E-8</v>
      </c>
      <c r="H22" s="230">
        <v>9.9999999999999995E-8</v>
      </c>
      <c r="I22" s="230">
        <v>9.9999999999999995E-8</v>
      </c>
      <c r="J22" s="230">
        <v>9.9999999999999995E-8</v>
      </c>
      <c r="K22" s="230">
        <v>9.9999999999999995E-8</v>
      </c>
      <c r="L22" s="230">
        <f t="shared" si="5"/>
        <v>9.9999999999999995E-8</v>
      </c>
      <c r="M22" s="230">
        <v>9.9999999999999995E-8</v>
      </c>
      <c r="N22" s="230">
        <v>9.9999999999999995E-8</v>
      </c>
      <c r="O22" s="230">
        <v>9.9999999999999995E-8</v>
      </c>
      <c r="P22" s="230">
        <v>9.9999999999999995E-8</v>
      </c>
      <c r="Q22" s="230">
        <v>9.9999999999999995E-8</v>
      </c>
      <c r="R22" s="230">
        <v>9.9999999999999995E-8</v>
      </c>
      <c r="S22" s="230">
        <v>9.9999999999999995E-8</v>
      </c>
      <c r="T22" s="230">
        <v>9.9999999999999995E-8</v>
      </c>
      <c r="U22" s="230">
        <v>9.9999999999999995E-8</v>
      </c>
      <c r="V22" s="230">
        <v>9.9999999999999995E-8</v>
      </c>
      <c r="W22" s="230">
        <v>9.9999999999999995E-8</v>
      </c>
      <c r="X22" s="230">
        <v>9.9999999999999995E-8</v>
      </c>
      <c r="Y22" s="230">
        <v>9.9999999999999995E-8</v>
      </c>
      <c r="Z22" s="230">
        <f t="shared" si="6"/>
        <v>9.9999999999999995E-8</v>
      </c>
      <c r="AA22" s="157">
        <v>9.9999999999999995E-8</v>
      </c>
      <c r="AB22" s="157">
        <v>9.9999999999999995E-8</v>
      </c>
      <c r="AC22" s="157">
        <v>9.9999999999999995E-8</v>
      </c>
      <c r="AD22" s="152">
        <f t="shared" si="10"/>
        <v>0</v>
      </c>
      <c r="AE22" s="148">
        <v>9.9999999999999995E-8</v>
      </c>
      <c r="AF22" s="141">
        <f t="shared" si="7"/>
        <v>0</v>
      </c>
      <c r="AG22" s="141"/>
      <c r="AH22" s="141">
        <f t="shared" si="8"/>
        <v>0</v>
      </c>
      <c r="AI22" s="141"/>
      <c r="AJ22" s="141">
        <f t="shared" si="9"/>
        <v>0</v>
      </c>
    </row>
    <row r="23" spans="1:37" ht="15.75">
      <c r="A23" s="48" t="s">
        <v>20</v>
      </c>
      <c r="B23" s="48">
        <v>3.5</v>
      </c>
      <c r="C23" s="48">
        <v>80</v>
      </c>
      <c r="D23" s="212" t="s">
        <v>235</v>
      </c>
      <c r="F23" s="109" t="s">
        <v>242</v>
      </c>
      <c r="G23" s="230">
        <v>100000</v>
      </c>
      <c r="H23" s="230">
        <v>10000000</v>
      </c>
      <c r="I23" s="230">
        <v>1000000000</v>
      </c>
      <c r="J23" s="230">
        <v>1000000000</v>
      </c>
      <c r="K23" s="230">
        <v>10000000000</v>
      </c>
      <c r="L23" s="230">
        <f t="shared" si="5"/>
        <v>100000</v>
      </c>
      <c r="M23" s="230">
        <v>100000000</v>
      </c>
      <c r="N23" s="230">
        <v>10000000</v>
      </c>
      <c r="O23" s="230">
        <v>100000000</v>
      </c>
      <c r="P23" s="230">
        <v>1000000000</v>
      </c>
      <c r="Q23" s="230">
        <v>100000000</v>
      </c>
      <c r="R23" s="230">
        <v>100000000</v>
      </c>
      <c r="S23" s="230">
        <v>100000000</v>
      </c>
      <c r="T23" s="230">
        <v>1000000000</v>
      </c>
      <c r="U23" s="230">
        <v>1000000000</v>
      </c>
      <c r="V23" s="230">
        <v>1000000000</v>
      </c>
      <c r="W23" s="230">
        <v>10000000000</v>
      </c>
      <c r="X23" s="230">
        <v>10000000000</v>
      </c>
      <c r="Y23" s="230">
        <v>10000000000</v>
      </c>
      <c r="Z23" s="230">
        <f t="shared" si="6"/>
        <v>10000000000</v>
      </c>
      <c r="AA23" s="157">
        <v>1E+22</v>
      </c>
      <c r="AB23" s="157">
        <v>9.9999999999999998E+23</v>
      </c>
      <c r="AC23" s="157">
        <v>1E+16</v>
      </c>
      <c r="AD23" s="152">
        <f t="shared" si="10"/>
        <v>0.99999998999999995</v>
      </c>
      <c r="AE23" s="148">
        <v>100000000000000</v>
      </c>
      <c r="AF23" s="141">
        <f t="shared" si="7"/>
        <v>9999999</v>
      </c>
      <c r="AG23" s="141"/>
      <c r="AH23" s="141">
        <f t="shared" si="8"/>
        <v>99999</v>
      </c>
      <c r="AI23" s="141"/>
      <c r="AJ23" s="141">
        <f t="shared" si="9"/>
        <v>9999</v>
      </c>
    </row>
    <row r="24" spans="1:37">
      <c r="E24" s="109" t="s">
        <v>264</v>
      </c>
      <c r="F24" s="109" t="s">
        <v>263</v>
      </c>
      <c r="G24" s="230">
        <v>3.5498819279999998E-14</v>
      </c>
      <c r="H24" s="230">
        <v>4.2785692460000002E-16</v>
      </c>
      <c r="I24" s="230">
        <v>1.37294566E-17</v>
      </c>
      <c r="J24" s="230">
        <v>6.9021704639999997E-18</v>
      </c>
      <c r="K24" s="230">
        <v>3.2121096930000001E-19</v>
      </c>
      <c r="L24" s="230">
        <f t="shared" si="5"/>
        <v>3.5498819279999998E-14</v>
      </c>
      <c r="M24" s="230">
        <v>4.4236330220000001E-17</v>
      </c>
      <c r="N24" s="230">
        <v>3.2885927990000001E-16</v>
      </c>
      <c r="O24" s="230">
        <v>7.9159222519999996E-17</v>
      </c>
      <c r="P24" s="230">
        <v>1.7175918300000001E-17</v>
      </c>
      <c r="Q24" s="230">
        <v>1.844024602E-17</v>
      </c>
      <c r="R24" s="230">
        <v>4.7632356960000001E-17</v>
      </c>
      <c r="S24" s="230">
        <v>2.8082815860000003E-17</v>
      </c>
      <c r="T24" s="230">
        <v>1.9365883659999999E-17</v>
      </c>
      <c r="U24" s="230">
        <v>6.4873805830000003E-18</v>
      </c>
      <c r="V24" s="230">
        <v>8.3604322150000003E-18</v>
      </c>
      <c r="W24" s="230">
        <v>1.049373011E-18</v>
      </c>
      <c r="X24" s="230">
        <v>1.6351807910000001E-18</v>
      </c>
      <c r="Y24" s="230">
        <v>5.2241631520000003E-19</v>
      </c>
      <c r="Z24" s="230">
        <f t="shared" si="6"/>
        <v>3.2121096930000001E-19</v>
      </c>
      <c r="AA24" s="157">
        <v>7.033988107E-32</v>
      </c>
      <c r="AB24" s="157">
        <v>4.4730253240000003E-33</v>
      </c>
      <c r="AC24" s="157">
        <v>3.8688353129999998E-24</v>
      </c>
      <c r="AD24" s="152">
        <f t="shared" si="10"/>
        <v>-864925867.45904458</v>
      </c>
      <c r="AE24" s="148">
        <v>4.4519499929999999E-23</v>
      </c>
      <c r="AF24" s="141">
        <f t="shared" si="7"/>
        <v>-0.99999989594769334</v>
      </c>
      <c r="AG24" s="141"/>
      <c r="AH24" s="141">
        <f t="shared" si="8"/>
        <v>-0.99999675737349059</v>
      </c>
      <c r="AI24" s="141"/>
      <c r="AJ24" s="141">
        <f t="shared" si="9"/>
        <v>-0.99986140105978638</v>
      </c>
    </row>
    <row r="25" spans="1:37">
      <c r="E25" s="109" t="s">
        <v>265</v>
      </c>
      <c r="F25" s="109" t="s">
        <v>266</v>
      </c>
      <c r="G25" s="230">
        <v>2.0045235509999999E-5</v>
      </c>
      <c r="H25" s="230">
        <v>1.870040223E-5</v>
      </c>
      <c r="I25" s="230">
        <v>1.1713095980000001E-5</v>
      </c>
      <c r="J25" s="230">
        <v>1.423963863E-5</v>
      </c>
      <c r="K25" s="230">
        <v>1.372821104E-5</v>
      </c>
      <c r="L25" s="230">
        <f t="shared" si="5"/>
        <v>2.0045235509999999E-5</v>
      </c>
      <c r="M25" s="230">
        <v>1.9268158390000001E-5</v>
      </c>
      <c r="N25" s="230">
        <v>1.9071899419999999E-5</v>
      </c>
      <c r="O25" s="230">
        <v>1.085889421E-5</v>
      </c>
      <c r="P25" s="230">
        <v>1.7931580230000001E-5</v>
      </c>
      <c r="Q25" s="230">
        <v>1.786813879E-5</v>
      </c>
      <c r="R25" s="230">
        <v>1.632321543E-5</v>
      </c>
      <c r="S25" s="230">
        <v>1.8835130689999999E-5</v>
      </c>
      <c r="T25" s="230">
        <v>1.425507866E-5</v>
      </c>
      <c r="U25" s="230">
        <v>1.231310583E-5</v>
      </c>
      <c r="V25" s="230">
        <v>1.5619603890000002E-5</v>
      </c>
      <c r="W25" s="230">
        <v>1.590327458E-5</v>
      </c>
      <c r="X25" s="230">
        <v>1.4197163190000001E-5</v>
      </c>
      <c r="Y25" s="230">
        <v>1.4735582659999999E-5</v>
      </c>
      <c r="Z25" s="230">
        <f t="shared" si="6"/>
        <v>1.372821104E-5</v>
      </c>
      <c r="AA25" s="157">
        <v>7.3744474909999997E-6</v>
      </c>
      <c r="AB25" s="157">
        <v>5.0408818470000002E-6</v>
      </c>
      <c r="AC25" s="157">
        <v>7.0087980669999996E-6</v>
      </c>
      <c r="AD25" s="152">
        <f t="shared" si="10"/>
        <v>-0.39039126084083348</v>
      </c>
      <c r="AE25" s="148">
        <v>9.0773877379999999E-6</v>
      </c>
      <c r="AF25" s="141">
        <f t="shared" si="7"/>
        <v>-0.51458863684559364</v>
      </c>
      <c r="AG25" s="141"/>
      <c r="AH25" s="141">
        <f t="shared" si="8"/>
        <v>-0.225022337945531</v>
      </c>
      <c r="AI25" s="141"/>
      <c r="AJ25" s="141">
        <f t="shared" si="9"/>
        <v>-0.3387785406597304</v>
      </c>
      <c r="AK25" s="102" t="s">
        <v>179</v>
      </c>
    </row>
    <row r="26" spans="1:37">
      <c r="E26" s="109" t="s">
        <v>267</v>
      </c>
      <c r="F26" s="109" t="s">
        <v>268</v>
      </c>
      <c r="G26" s="230">
        <v>564673300</v>
      </c>
      <c r="H26" s="230">
        <v>43707140000</v>
      </c>
      <c r="I26" s="230">
        <v>853136200000</v>
      </c>
      <c r="J26" s="230">
        <v>2063067000000</v>
      </c>
      <c r="K26" s="230">
        <v>42738920000000</v>
      </c>
      <c r="L26" s="230">
        <f t="shared" si="5"/>
        <v>564673300</v>
      </c>
      <c r="M26" s="230">
        <v>435573200000</v>
      </c>
      <c r="N26" s="230">
        <v>57994100000</v>
      </c>
      <c r="O26" s="230">
        <v>137177900000</v>
      </c>
      <c r="P26" s="230">
        <v>1043995000000</v>
      </c>
      <c r="Q26" s="230">
        <v>968975100000</v>
      </c>
      <c r="R26" s="230">
        <v>342691700000</v>
      </c>
      <c r="S26" s="230">
        <v>670699500000</v>
      </c>
      <c r="T26" s="230">
        <v>736092300000</v>
      </c>
      <c r="U26" s="230">
        <v>1898009000000</v>
      </c>
      <c r="V26" s="230">
        <v>1868277000000</v>
      </c>
      <c r="W26" s="230">
        <v>15155030000000</v>
      </c>
      <c r="X26" s="230">
        <v>8682320000000</v>
      </c>
      <c r="Y26" s="230">
        <v>28206590000000</v>
      </c>
      <c r="Z26" s="230">
        <f t="shared" si="6"/>
        <v>42738920000000</v>
      </c>
      <c r="AA26" s="157">
        <v>1.0484020000000001E+26</v>
      </c>
      <c r="AB26" s="157">
        <v>1.126951E+27</v>
      </c>
      <c r="AC26" s="157">
        <v>1.811604E+18</v>
      </c>
      <c r="AD26" s="152">
        <f t="shared" si="10"/>
        <v>0.99999999839247311</v>
      </c>
      <c r="AE26" s="148">
        <v>2.038969E+17</v>
      </c>
      <c r="AF26" s="141">
        <f t="shared" si="7"/>
        <v>4665069.741302222</v>
      </c>
      <c r="AG26" s="141"/>
      <c r="AH26" s="141">
        <f t="shared" si="8"/>
        <v>238995.89170381002</v>
      </c>
      <c r="AI26" s="141"/>
      <c r="AJ26" s="141">
        <f t="shared" si="9"/>
        <v>4769.7546189749301</v>
      </c>
    </row>
    <row r="27" spans="1:37">
      <c r="F27" s="109" t="s">
        <v>153</v>
      </c>
      <c r="G27" s="123" t="s">
        <v>23</v>
      </c>
      <c r="H27" s="123" t="s">
        <v>195</v>
      </c>
      <c r="I27" s="136" t="s">
        <v>21</v>
      </c>
      <c r="J27" s="136" t="s">
        <v>26</v>
      </c>
      <c r="K27" s="136" t="s">
        <v>20</v>
      </c>
      <c r="L27" s="128"/>
      <c r="M27" s="166" t="s">
        <v>66</v>
      </c>
      <c r="N27" s="166" t="s">
        <v>67</v>
      </c>
      <c r="O27" s="166" t="s">
        <v>68</v>
      </c>
      <c r="P27" s="166" t="s">
        <v>69</v>
      </c>
      <c r="Q27" s="166" t="s">
        <v>70</v>
      </c>
      <c r="R27" s="166" t="s">
        <v>71</v>
      </c>
      <c r="S27" s="166" t="s">
        <v>72</v>
      </c>
      <c r="T27" s="166" t="s">
        <v>154</v>
      </c>
      <c r="U27" s="166" t="s">
        <v>155</v>
      </c>
      <c r="V27" s="166" t="s">
        <v>156</v>
      </c>
      <c r="W27" s="166" t="s">
        <v>192</v>
      </c>
      <c r="X27" s="166" t="s">
        <v>194</v>
      </c>
      <c r="Y27" s="166" t="s">
        <v>240</v>
      </c>
      <c r="Z27" s="129"/>
      <c r="AA27" s="158"/>
      <c r="AB27" s="158"/>
      <c r="AC27" s="158"/>
      <c r="AD27" s="120"/>
      <c r="AE27" s="149" t="s">
        <v>72</v>
      </c>
      <c r="AF27" s="140"/>
      <c r="AG27" s="140"/>
      <c r="AH27" s="140"/>
      <c r="AI27" s="140"/>
      <c r="AJ27" s="140"/>
    </row>
    <row r="28" spans="1:37">
      <c r="M28" s="170" t="s">
        <v>197</v>
      </c>
      <c r="N28" s="170"/>
      <c r="O28" s="171" t="s">
        <v>197</v>
      </c>
      <c r="P28" s="170" t="s">
        <v>197</v>
      </c>
      <c r="Q28" s="171"/>
      <c r="R28" s="170"/>
      <c r="S28" s="171"/>
      <c r="T28" s="171"/>
      <c r="U28" s="170"/>
      <c r="V28" s="171"/>
      <c r="W28" s="170"/>
      <c r="X28" s="170"/>
      <c r="Y28" s="170"/>
      <c r="AA28" s="172"/>
      <c r="AB28" s="172"/>
      <c r="AC28" s="172"/>
      <c r="AD28" s="171"/>
      <c r="AE28" s="173"/>
      <c r="AF28" s="174"/>
      <c r="AG28" s="174"/>
      <c r="AH28" s="174"/>
      <c r="AI28" s="174"/>
      <c r="AJ28" s="174"/>
    </row>
    <row r="29" spans="1:37">
      <c r="F29" s="185" t="s">
        <v>198</v>
      </c>
      <c r="G29" s="186"/>
      <c r="H29" s="186"/>
      <c r="I29" s="187"/>
      <c r="J29" s="187"/>
      <c r="K29" s="187"/>
      <c r="L29" s="188"/>
      <c r="M29" s="189">
        <f>COUNTIF(M5:M9,"&gt;0")</f>
        <v>2</v>
      </c>
      <c r="N29" s="189"/>
      <c r="O29" s="190">
        <f>COUNTIF(O5:O9,"&gt;0")</f>
        <v>3</v>
      </c>
      <c r="P29" s="190">
        <f>COUNTIF(P5:P9,"&gt;0")</f>
        <v>3</v>
      </c>
      <c r="Q29" s="190">
        <f>COUNTIF(Q5:Q9,"&gt;0")</f>
        <v>3</v>
      </c>
      <c r="R29" s="189">
        <f>COUNTIF(R5:R9,"&gt;0")</f>
        <v>3</v>
      </c>
      <c r="S29" s="190">
        <f>COUNTIF(S5:S9,"&gt;0")</f>
        <v>2</v>
      </c>
      <c r="T29" s="190"/>
      <c r="U29" s="189">
        <f>COUNTIF(U5:U9,"&gt;0")</f>
        <v>3</v>
      </c>
      <c r="V29" s="190">
        <f>COUNTIF(V5:V9,"&gt;0")</f>
        <v>3</v>
      </c>
      <c r="W29" s="190">
        <f>COUNTIF(W5:W9,"&gt;0")</f>
        <v>3</v>
      </c>
      <c r="X29" s="190">
        <f>COUNTIF(X5:X9,"&gt;0")</f>
        <v>2</v>
      </c>
      <c r="Y29" s="190"/>
      <c r="AA29" s="172"/>
      <c r="AB29" s="172"/>
      <c r="AC29" s="172"/>
      <c r="AD29" s="171"/>
      <c r="AE29" s="173"/>
      <c r="AF29" s="174"/>
      <c r="AG29" s="174"/>
      <c r="AH29" s="174"/>
      <c r="AI29" s="174"/>
      <c r="AJ29" s="174"/>
    </row>
    <row r="30" spans="1:37">
      <c r="F30" s="109" t="s">
        <v>208</v>
      </c>
      <c r="G30" s="123" t="str">
        <f>G27</f>
        <v>SiO2</v>
      </c>
      <c r="H30" s="123" t="str">
        <f>H27</f>
        <v>Al2O3</v>
      </c>
      <c r="I30" s="123" t="str">
        <f>I27</f>
        <v>HfO2</v>
      </c>
      <c r="J30" s="123" t="str">
        <f>J27</f>
        <v>La2O3</v>
      </c>
      <c r="K30" s="123" t="str">
        <f>K27</f>
        <v>TiO2</v>
      </c>
      <c r="L30" s="128" t="str">
        <f>G30</f>
        <v>SiO2</v>
      </c>
      <c r="M30" s="166" t="s">
        <v>66</v>
      </c>
      <c r="N30" s="166" t="s">
        <v>67</v>
      </c>
      <c r="O30" s="166" t="s">
        <v>68</v>
      </c>
      <c r="P30" s="166" t="s">
        <v>69</v>
      </c>
      <c r="Q30" s="166" t="s">
        <v>70</v>
      </c>
      <c r="R30" s="166" t="s">
        <v>71</v>
      </c>
      <c r="S30" s="166" t="s">
        <v>72</v>
      </c>
      <c r="T30" s="166" t="s">
        <v>154</v>
      </c>
      <c r="U30" s="166" t="s">
        <v>155</v>
      </c>
      <c r="V30" s="166" t="s">
        <v>156</v>
      </c>
      <c r="W30" s="166" t="s">
        <v>192</v>
      </c>
      <c r="X30" s="166" t="s">
        <v>194</v>
      </c>
      <c r="Y30" s="166" t="s">
        <v>240</v>
      </c>
      <c r="Z30" s="129" t="str">
        <f>K30</f>
        <v>TiO2</v>
      </c>
      <c r="AA30" s="172"/>
      <c r="AB30" s="172"/>
      <c r="AC30" s="172"/>
      <c r="AD30" s="171"/>
      <c r="AE30" s="173"/>
      <c r="AF30" s="174"/>
      <c r="AG30" s="174"/>
      <c r="AH30" s="174"/>
      <c r="AI30" s="174"/>
      <c r="AJ30" s="174"/>
    </row>
    <row r="31" spans="1:37">
      <c r="F31" s="109" t="s">
        <v>207</v>
      </c>
      <c r="G31" s="191">
        <f>1/(G18*G20*G17)*LOG10(G26)*1000</f>
        <v>9.5166390251319157</v>
      </c>
      <c r="H31" s="191">
        <f t="shared" ref="H31:Y31" si="11">1/(H18*H20*H17)*LOG10(H26)*1000</f>
        <v>12.280559705530194</v>
      </c>
      <c r="I31" s="191">
        <f t="shared" si="11"/>
        <v>18.798820437977213</v>
      </c>
      <c r="J31" s="191">
        <f t="shared" si="11"/>
        <v>22.463509412983676</v>
      </c>
      <c r="K31" s="191">
        <f t="shared" si="11"/>
        <v>37.67381355339888</v>
      </c>
      <c r="L31" s="191">
        <f t="shared" si="11"/>
        <v>9.5166390251319157</v>
      </c>
      <c r="M31" s="191">
        <f t="shared" si="11"/>
        <v>16.390871875765242</v>
      </c>
      <c r="N31" s="191">
        <f t="shared" si="11"/>
        <v>12.209903173849785</v>
      </c>
      <c r="O31" s="191">
        <f t="shared" si="11"/>
        <v>15.419198000681797</v>
      </c>
      <c r="P31" s="191">
        <f t="shared" si="11"/>
        <v>21.220814837040507</v>
      </c>
      <c r="Q31" s="191">
        <f t="shared" si="11"/>
        <v>21.414240131398902</v>
      </c>
      <c r="R31" s="191">
        <f t="shared" si="11"/>
        <v>19.564558598872516</v>
      </c>
      <c r="S31" s="191">
        <f t="shared" si="11"/>
        <v>21.461662556475265</v>
      </c>
      <c r="T31" s="191">
        <f t="shared" si="11"/>
        <v>17.428844671900308</v>
      </c>
      <c r="U31" s="191">
        <f t="shared" si="11"/>
        <v>20.621575843159683</v>
      </c>
      <c r="V31" s="191">
        <f t="shared" si="11"/>
        <v>20.472622921857525</v>
      </c>
      <c r="W31" s="191">
        <f t="shared" si="11"/>
        <v>29.244281016573616</v>
      </c>
      <c r="X31" s="191">
        <f t="shared" si="11"/>
        <v>29.110991011732871</v>
      </c>
      <c r="Y31" s="191">
        <f t="shared" si="11"/>
        <v>34.352721304262339</v>
      </c>
      <c r="Z31" s="191">
        <f>1/(Z18*Z20^2*Z17^3)*LOG10(Z26)*1000</f>
        <v>8.421996180064184</v>
      </c>
      <c r="AA31" s="172"/>
      <c r="AB31" s="172"/>
      <c r="AC31" s="172"/>
      <c r="AD31" s="171"/>
      <c r="AE31" s="173"/>
      <c r="AF31" s="174"/>
      <c r="AG31" s="174"/>
      <c r="AH31" s="174"/>
      <c r="AI31" s="174"/>
      <c r="AJ31" s="174"/>
    </row>
    <row r="34" spans="6:59" ht="15">
      <c r="F34" s="193" t="s">
        <v>208</v>
      </c>
      <c r="G34" s="194" t="str">
        <f t="shared" ref="G34:K35" si="12">G30</f>
        <v>SiO2</v>
      </c>
      <c r="H34" s="194" t="str">
        <f t="shared" si="12"/>
        <v>Al2O3</v>
      </c>
      <c r="I34" s="194" t="str">
        <f t="shared" si="12"/>
        <v>HfO2</v>
      </c>
      <c r="J34" s="194" t="str">
        <f t="shared" si="12"/>
        <v>La2O3</v>
      </c>
      <c r="K34" s="194" t="str">
        <f t="shared" si="12"/>
        <v>TiO2</v>
      </c>
      <c r="L34" s="194" t="str">
        <f>N30</f>
        <v>B</v>
      </c>
      <c r="M34" s="194" t="str">
        <f>P30</f>
        <v>D</v>
      </c>
      <c r="N34" s="194" t="str">
        <f>R30</f>
        <v>F</v>
      </c>
      <c r="O34" s="194" t="str">
        <f>Q30</f>
        <v>E</v>
      </c>
      <c r="P34" s="194" t="str">
        <f>X30</f>
        <v>M</v>
      </c>
      <c r="Q34" s="194" t="str">
        <f>U30</f>
        <v>J</v>
      </c>
      <c r="R34" s="194" t="str">
        <f>S30</f>
        <v>G</v>
      </c>
      <c r="S34" s="194" t="str">
        <f>V30</f>
        <v>K</v>
      </c>
      <c r="T34" s="194"/>
      <c r="U34" s="194" t="str">
        <f>M30</f>
        <v>A</v>
      </c>
      <c r="V34" s="194" t="str">
        <f>O30</f>
        <v>C</v>
      </c>
      <c r="W34" s="194" t="e">
        <f>#REF!</f>
        <v>#REF!</v>
      </c>
      <c r="X34" s="194" t="str">
        <f>W30</f>
        <v>L</v>
      </c>
      <c r="Y34" s="194"/>
    </row>
    <row r="35" spans="6:59" ht="15">
      <c r="F35" s="193" t="s">
        <v>207</v>
      </c>
      <c r="G35" s="195">
        <f>G31</f>
        <v>9.5166390251319157</v>
      </c>
      <c r="H35" s="195">
        <f t="shared" si="12"/>
        <v>12.280559705530194</v>
      </c>
      <c r="I35" s="195">
        <f t="shared" si="12"/>
        <v>18.798820437977213</v>
      </c>
      <c r="J35" s="195">
        <f t="shared" si="12"/>
        <v>22.463509412983676</v>
      </c>
      <c r="K35" s="195">
        <f t="shared" si="12"/>
        <v>37.67381355339888</v>
      </c>
      <c r="L35" s="195">
        <f>N31</f>
        <v>12.209903173849785</v>
      </c>
      <c r="M35" s="195">
        <f>P31</f>
        <v>21.220814837040507</v>
      </c>
      <c r="N35" s="195">
        <f>R31</f>
        <v>19.564558598872516</v>
      </c>
      <c r="O35" s="195">
        <f>Q31</f>
        <v>21.414240131398902</v>
      </c>
      <c r="P35" s="195">
        <f>X31</f>
        <v>29.110991011732871</v>
      </c>
      <c r="Q35" s="195">
        <f>U31</f>
        <v>20.621575843159683</v>
      </c>
      <c r="R35" s="195">
        <f>S31</f>
        <v>21.461662556475265</v>
      </c>
      <c r="S35" s="195">
        <f>V31</f>
        <v>20.472622921857525</v>
      </c>
      <c r="T35" s="195"/>
      <c r="U35" s="195">
        <f>M31</f>
        <v>16.390871875765242</v>
      </c>
      <c r="V35" s="195">
        <f>O31</f>
        <v>15.419198000681797</v>
      </c>
      <c r="W35" s="195" t="e">
        <f>#REF!</f>
        <v>#REF!</v>
      </c>
      <c r="X35" s="195">
        <f>W31</f>
        <v>29.244281016573616</v>
      </c>
      <c r="Y35" s="195"/>
    </row>
    <row r="38" spans="6:59" ht="15">
      <c r="F38" s="193" t="s">
        <v>208</v>
      </c>
      <c r="G38" s="194" t="s">
        <v>23</v>
      </c>
      <c r="H38" s="194" t="s">
        <v>195</v>
      </c>
      <c r="I38" s="194" t="s">
        <v>21</v>
      </c>
      <c r="J38" s="194" t="s">
        <v>26</v>
      </c>
      <c r="K38" s="194" t="s">
        <v>20</v>
      </c>
      <c r="L38" s="194" t="s">
        <v>66</v>
      </c>
      <c r="M38" s="194" t="s">
        <v>155</v>
      </c>
      <c r="N38" s="194" t="s">
        <v>67</v>
      </c>
      <c r="O38" s="194" t="s">
        <v>71</v>
      </c>
      <c r="P38" s="194" t="s">
        <v>156</v>
      </c>
      <c r="Q38" s="194" t="s">
        <v>72</v>
      </c>
      <c r="R38" s="194" t="s">
        <v>68</v>
      </c>
      <c r="S38" s="194" t="s">
        <v>69</v>
      </c>
      <c r="T38" s="194"/>
      <c r="U38" s="194" t="s">
        <v>154</v>
      </c>
      <c r="V38" s="194" t="s">
        <v>70</v>
      </c>
      <c r="W38" s="194" t="s">
        <v>194</v>
      </c>
      <c r="X38" s="194" t="s">
        <v>192</v>
      </c>
      <c r="Y38" s="194"/>
    </row>
    <row r="39" spans="6:59" ht="15">
      <c r="F39" s="193" t="s">
        <v>207</v>
      </c>
      <c r="G39" s="195">
        <v>1.3650788947414774</v>
      </c>
      <c r="H39" s="195">
        <v>1.9682949061120321</v>
      </c>
      <c r="I39" s="195">
        <v>8.3065190909133904</v>
      </c>
      <c r="J39" s="195">
        <v>2.2124356973465851</v>
      </c>
      <c r="K39" s="195">
        <v>8.5556164471982648</v>
      </c>
      <c r="L39" s="195">
        <v>2.9989968049116347</v>
      </c>
      <c r="M39" s="195">
        <v>-0.33306489462359323</v>
      </c>
      <c r="N39" s="195">
        <v>2.2549814000038353</v>
      </c>
      <c r="O39" s="195">
        <v>4.9149936396199063</v>
      </c>
      <c r="P39" s="195">
        <v>5.3029694271291214</v>
      </c>
      <c r="Q39" s="195">
        <v>11.592210143766989</v>
      </c>
      <c r="R39" s="195">
        <v>7.9244487946162971</v>
      </c>
      <c r="S39" s="195">
        <v>10.56541107189117</v>
      </c>
      <c r="T39" s="195"/>
      <c r="U39" s="195">
        <v>3.0914347745448993</v>
      </c>
      <c r="V39" s="195">
        <v>-9.1640610512162643E-2</v>
      </c>
      <c r="W39" s="195">
        <v>8.7999018229524211</v>
      </c>
      <c r="X39" s="195">
        <v>5.3312225661302799</v>
      </c>
      <c r="Y39" s="195"/>
    </row>
    <row r="42" spans="6:59" ht="15">
      <c r="F42" s="193" t="s">
        <v>208</v>
      </c>
      <c r="G42" s="194" t="s">
        <v>207</v>
      </c>
    </row>
    <row r="43" spans="6:59" ht="15">
      <c r="F43" s="194" t="s">
        <v>23</v>
      </c>
      <c r="G43" s="195">
        <f>G31</f>
        <v>9.5166390251319157</v>
      </c>
      <c r="AN43" s="103" t="s">
        <v>153</v>
      </c>
      <c r="AO43" s="103" t="s">
        <v>23</v>
      </c>
      <c r="AP43" s="103" t="s">
        <v>195</v>
      </c>
      <c r="AQ43" s="103" t="s">
        <v>21</v>
      </c>
      <c r="AR43" s="103" t="s">
        <v>26</v>
      </c>
      <c r="AS43" s="103" t="s">
        <v>20</v>
      </c>
      <c r="AT43" s="103" t="s">
        <v>204</v>
      </c>
      <c r="AU43" s="103" t="s">
        <v>66</v>
      </c>
      <c r="AV43" s="103" t="s">
        <v>67</v>
      </c>
      <c r="AW43" s="103" t="s">
        <v>68</v>
      </c>
      <c r="AX43" s="103" t="s">
        <v>69</v>
      </c>
      <c r="AY43" s="103" t="s">
        <v>70</v>
      </c>
      <c r="AZ43" s="103" t="s">
        <v>71</v>
      </c>
      <c r="BA43" s="103" t="s">
        <v>72</v>
      </c>
      <c r="BB43" s="103" t="s">
        <v>154</v>
      </c>
      <c r="BC43" s="103" t="s">
        <v>155</v>
      </c>
      <c r="BD43" s="103" t="s">
        <v>156</v>
      </c>
      <c r="BE43" s="103" t="s">
        <v>192</v>
      </c>
      <c r="BF43" s="103" t="s">
        <v>194</v>
      </c>
      <c r="BG43" s="103" t="s">
        <v>205</v>
      </c>
    </row>
    <row r="44" spans="6:59" ht="15">
      <c r="F44" s="194" t="s">
        <v>195</v>
      </c>
      <c r="G44" s="195">
        <f>H31</f>
        <v>12.280559705530194</v>
      </c>
      <c r="AN44" s="103" t="s">
        <v>150</v>
      </c>
      <c r="AO44" s="184">
        <v>3.9</v>
      </c>
      <c r="AP44" s="184">
        <v>12</v>
      </c>
      <c r="AQ44" s="184">
        <v>22</v>
      </c>
      <c r="AR44" s="184">
        <v>27</v>
      </c>
      <c r="AS44" s="184">
        <v>80</v>
      </c>
      <c r="AT44" s="184">
        <v>3.9</v>
      </c>
      <c r="AU44" s="184">
        <v>12.633333333333333</v>
      </c>
      <c r="AV44" s="184">
        <v>17.316666666666666</v>
      </c>
      <c r="AW44" s="184">
        <v>20.333333333333332</v>
      </c>
      <c r="AX44" s="184">
        <v>30</v>
      </c>
      <c r="AY44" s="184">
        <v>31.966666666666669</v>
      </c>
      <c r="AZ44" s="184">
        <v>35.300000000000004</v>
      </c>
      <c r="BA44" s="184">
        <v>38</v>
      </c>
      <c r="BB44" s="184">
        <v>41.949999999999996</v>
      </c>
      <c r="BC44" s="184">
        <v>43.300000000000004</v>
      </c>
      <c r="BD44" s="184">
        <v>51</v>
      </c>
      <c r="BE44" s="184">
        <v>59</v>
      </c>
      <c r="BF44" s="184">
        <v>70.333333333333329</v>
      </c>
      <c r="BG44" s="184">
        <v>80</v>
      </c>
    </row>
    <row r="45" spans="6:59" ht="15">
      <c r="F45" s="194" t="s">
        <v>21</v>
      </c>
      <c r="G45" s="195">
        <f>I31</f>
        <v>18.798820437977213</v>
      </c>
      <c r="AN45" s="103" t="s">
        <v>13</v>
      </c>
      <c r="AO45" s="103">
        <v>3</v>
      </c>
      <c r="AP45" s="103">
        <v>0</v>
      </c>
      <c r="AQ45" s="103">
        <v>0</v>
      </c>
      <c r="AR45" s="103">
        <v>0</v>
      </c>
      <c r="AS45" s="103">
        <v>0</v>
      </c>
      <c r="AT45" s="103">
        <v>3</v>
      </c>
      <c r="AU45" s="103">
        <v>1</v>
      </c>
      <c r="AV45" s="103">
        <v>0.5</v>
      </c>
      <c r="AW45" s="103">
        <v>0</v>
      </c>
      <c r="AX45" s="103">
        <v>0</v>
      </c>
      <c r="AY45" s="103">
        <v>1</v>
      </c>
      <c r="AZ45" s="103">
        <v>1</v>
      </c>
      <c r="BA45" s="103">
        <v>0</v>
      </c>
      <c r="BB45" s="103">
        <v>1.5</v>
      </c>
      <c r="BC45" s="103">
        <v>1</v>
      </c>
      <c r="BD45" s="103">
        <v>0</v>
      </c>
      <c r="BE45" s="103">
        <v>0</v>
      </c>
      <c r="BF45" s="103">
        <v>0</v>
      </c>
      <c r="BG45" s="103">
        <v>0</v>
      </c>
    </row>
    <row r="46" spans="6:59" ht="15">
      <c r="F46" s="194" t="s">
        <v>26</v>
      </c>
      <c r="G46" s="195">
        <f>J31</f>
        <v>22.463509412983676</v>
      </c>
      <c r="AN46" s="103" t="s">
        <v>33</v>
      </c>
      <c r="AO46" s="103">
        <v>0</v>
      </c>
      <c r="AP46" s="103">
        <v>3</v>
      </c>
      <c r="AQ46" s="103">
        <v>0</v>
      </c>
      <c r="AR46" s="103">
        <v>0</v>
      </c>
      <c r="AS46" s="103">
        <v>0</v>
      </c>
      <c r="AT46" s="103">
        <v>0</v>
      </c>
      <c r="AU46" s="103">
        <v>1</v>
      </c>
      <c r="AV46" s="103">
        <v>0.5</v>
      </c>
      <c r="AW46" s="103">
        <v>0.5</v>
      </c>
      <c r="AX46" s="103">
        <v>0.5</v>
      </c>
      <c r="AY46" s="103">
        <v>1</v>
      </c>
      <c r="AZ46" s="103">
        <v>0</v>
      </c>
      <c r="BA46" s="103">
        <v>1</v>
      </c>
      <c r="BB46" s="103">
        <v>0</v>
      </c>
      <c r="BC46" s="103">
        <v>0.5</v>
      </c>
      <c r="BD46" s="103">
        <v>0</v>
      </c>
      <c r="BE46" s="103">
        <v>0.5</v>
      </c>
      <c r="BF46" s="103">
        <v>0</v>
      </c>
      <c r="BG46" s="103">
        <v>0</v>
      </c>
    </row>
    <row r="47" spans="6:59" ht="15">
      <c r="F47" s="194" t="s">
        <v>20</v>
      </c>
      <c r="G47" s="195">
        <f>K31</f>
        <v>37.67381355339888</v>
      </c>
      <c r="AN47" s="103" t="s">
        <v>14</v>
      </c>
      <c r="AO47" s="103">
        <v>0</v>
      </c>
      <c r="AP47" s="103">
        <v>0</v>
      </c>
      <c r="AQ47" s="103">
        <v>3</v>
      </c>
      <c r="AR47" s="103">
        <v>0</v>
      </c>
      <c r="AS47" s="103">
        <v>0</v>
      </c>
      <c r="AT47" s="103">
        <v>0</v>
      </c>
      <c r="AU47" s="103">
        <v>1</v>
      </c>
      <c r="AV47" s="103">
        <v>2</v>
      </c>
      <c r="AW47" s="103">
        <v>2.5</v>
      </c>
      <c r="AX47" s="103">
        <v>2</v>
      </c>
      <c r="AY47" s="103">
        <v>0</v>
      </c>
      <c r="AZ47" s="103">
        <v>1</v>
      </c>
      <c r="BA47" s="103">
        <v>1</v>
      </c>
      <c r="BB47" s="103">
        <v>0</v>
      </c>
      <c r="BC47" s="103">
        <v>0</v>
      </c>
      <c r="BD47" s="103">
        <v>1.5</v>
      </c>
      <c r="BE47" s="103">
        <v>0.5</v>
      </c>
      <c r="BF47" s="103">
        <v>0.5</v>
      </c>
      <c r="BG47" s="103">
        <v>0</v>
      </c>
    </row>
    <row r="48" spans="6:59" ht="15">
      <c r="F48" s="194" t="s">
        <v>66</v>
      </c>
      <c r="G48" s="195">
        <f>N31</f>
        <v>12.209903173849785</v>
      </c>
      <c r="AN48" s="103" t="s">
        <v>196</v>
      </c>
      <c r="AO48" s="103">
        <v>0</v>
      </c>
      <c r="AP48" s="103">
        <v>0</v>
      </c>
      <c r="AQ48" s="103">
        <v>0</v>
      </c>
      <c r="AR48" s="103">
        <v>3</v>
      </c>
      <c r="AS48" s="103">
        <v>0</v>
      </c>
      <c r="AT48" s="103">
        <v>0</v>
      </c>
      <c r="AU48" s="103">
        <v>0</v>
      </c>
      <c r="AV48" s="103">
        <v>0</v>
      </c>
      <c r="AW48" s="103">
        <v>0</v>
      </c>
      <c r="AX48" s="103">
        <v>0</v>
      </c>
      <c r="AY48" s="103">
        <v>0</v>
      </c>
      <c r="AZ48" s="103">
        <v>0</v>
      </c>
      <c r="BA48" s="103">
        <v>0</v>
      </c>
      <c r="BB48" s="103">
        <v>0</v>
      </c>
      <c r="BC48" s="103">
        <v>0</v>
      </c>
      <c r="BD48" s="103">
        <v>0</v>
      </c>
      <c r="BE48" s="103">
        <v>0</v>
      </c>
      <c r="BF48" s="103">
        <v>0</v>
      </c>
      <c r="BG48" s="103">
        <v>0</v>
      </c>
    </row>
    <row r="49" spans="6:59" ht="15">
      <c r="F49" s="194" t="s">
        <v>67</v>
      </c>
      <c r="G49" s="195">
        <f>R31</f>
        <v>19.564558598872516</v>
      </c>
      <c r="AN49" s="103" t="s">
        <v>34</v>
      </c>
      <c r="AO49" s="103">
        <v>0</v>
      </c>
      <c r="AP49" s="103">
        <v>0</v>
      </c>
      <c r="AQ49" s="103">
        <v>0</v>
      </c>
      <c r="AR49" s="103">
        <v>0</v>
      </c>
      <c r="AS49" s="103">
        <v>3</v>
      </c>
      <c r="AT49" s="103">
        <v>0</v>
      </c>
      <c r="AU49" s="103">
        <v>0</v>
      </c>
      <c r="AV49" s="103">
        <v>0</v>
      </c>
      <c r="AW49" s="103">
        <v>0</v>
      </c>
      <c r="AX49" s="103">
        <v>0.5</v>
      </c>
      <c r="AY49" s="103">
        <v>1</v>
      </c>
      <c r="AZ49" s="103">
        <v>1</v>
      </c>
      <c r="BA49" s="103">
        <v>1</v>
      </c>
      <c r="BB49" s="103">
        <v>1.5</v>
      </c>
      <c r="BC49" s="103">
        <v>1.5</v>
      </c>
      <c r="BD49" s="103">
        <v>1.5</v>
      </c>
      <c r="BE49" s="103">
        <v>2</v>
      </c>
      <c r="BF49" s="103">
        <v>2.5</v>
      </c>
      <c r="BG49" s="103">
        <v>3</v>
      </c>
    </row>
    <row r="50" spans="6:59" ht="15">
      <c r="F50" s="194" t="s">
        <v>68</v>
      </c>
      <c r="G50" s="195">
        <f>S31</f>
        <v>21.461662556475265</v>
      </c>
      <c r="AN50" s="103" t="s">
        <v>206</v>
      </c>
      <c r="AO50" s="103">
        <v>3</v>
      </c>
      <c r="AP50" s="103">
        <v>3</v>
      </c>
      <c r="AQ50" s="103">
        <v>3</v>
      </c>
      <c r="AR50" s="103">
        <v>3</v>
      </c>
      <c r="AS50" s="103">
        <v>3</v>
      </c>
      <c r="AT50" s="103">
        <v>3</v>
      </c>
      <c r="AU50" s="103">
        <v>3</v>
      </c>
      <c r="AV50" s="103">
        <v>3</v>
      </c>
      <c r="AW50" s="103">
        <v>3</v>
      </c>
      <c r="AX50" s="103">
        <v>3</v>
      </c>
      <c r="AY50" s="103">
        <v>3</v>
      </c>
      <c r="AZ50" s="103">
        <v>3</v>
      </c>
      <c r="BA50" s="103">
        <v>3</v>
      </c>
      <c r="BB50" s="103">
        <v>3</v>
      </c>
      <c r="BC50" s="103">
        <v>3</v>
      </c>
      <c r="BD50" s="103">
        <v>3</v>
      </c>
      <c r="BE50" s="103">
        <v>3</v>
      </c>
      <c r="BF50" s="103">
        <v>3</v>
      </c>
      <c r="BG50" s="103">
        <v>3</v>
      </c>
    </row>
    <row r="51" spans="6:59" ht="15">
      <c r="F51" s="194" t="s">
        <v>69</v>
      </c>
      <c r="G51" s="195">
        <f>T31</f>
        <v>17.428844671900308</v>
      </c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</row>
    <row r="52" spans="6:59" ht="15">
      <c r="F52" s="194" t="s">
        <v>70</v>
      </c>
      <c r="G52" s="195">
        <f>V31</f>
        <v>20.472622921857525</v>
      </c>
    </row>
    <row r="53" spans="6:59" ht="15">
      <c r="F53" s="194" t="s">
        <v>71</v>
      </c>
      <c r="G53" s="195">
        <f>O31</f>
        <v>15.419198000681797</v>
      </c>
      <c r="BA53" s="102">
        <v>0.84970000000000001</v>
      </c>
    </row>
    <row r="54" spans="6:59" ht="15">
      <c r="F54" s="194" t="s">
        <v>72</v>
      </c>
      <c r="G54" s="195">
        <f>Q31</f>
        <v>21.414240131398902</v>
      </c>
      <c r="BA54" s="102">
        <v>79</v>
      </c>
    </row>
    <row r="55" spans="6:59" ht="15">
      <c r="F55" s="194" t="s">
        <v>154</v>
      </c>
      <c r="G55" s="195">
        <f>U31</f>
        <v>20.621575843159683</v>
      </c>
      <c r="BA55" s="102">
        <v>79.3</v>
      </c>
    </row>
    <row r="56" spans="6:59" ht="15">
      <c r="F56" s="194" t="s">
        <v>155</v>
      </c>
      <c r="G56" s="195">
        <f>M31</f>
        <v>16.390871875765242</v>
      </c>
      <c r="BA56" s="102">
        <v>8.8699999999999992</v>
      </c>
    </row>
    <row r="57" spans="6:59" ht="15">
      <c r="F57" s="194" t="s">
        <v>156</v>
      </c>
      <c r="G57" s="195">
        <f>P31</f>
        <v>21.220814837040507</v>
      </c>
      <c r="BA57" s="196">
        <v>9.9999999999999998E-17</v>
      </c>
    </row>
    <row r="58" spans="6:59" ht="15">
      <c r="F58" s="194" t="s">
        <v>192</v>
      </c>
      <c r="G58" s="195">
        <f>X31</f>
        <v>29.110991011732871</v>
      </c>
      <c r="BA58" s="196">
        <v>9.9999999999999995E-8</v>
      </c>
    </row>
    <row r="59" spans="6:59" ht="15">
      <c r="F59" s="194" t="s">
        <v>194</v>
      </c>
      <c r="G59" s="195">
        <f>W31</f>
        <v>29.244281016573616</v>
      </c>
      <c r="BA59" s="196">
        <v>1000000000</v>
      </c>
    </row>
    <row r="60" spans="6:59" ht="15">
      <c r="F60" s="194" t="s">
        <v>240</v>
      </c>
      <c r="G60" s="195">
        <f>Y31</f>
        <v>34.352721304262339</v>
      </c>
      <c r="BA60" s="196">
        <v>6.4800000000000002E-18</v>
      </c>
    </row>
    <row r="61" spans="6:59">
      <c r="BA61" s="196">
        <v>1.2300000000000001E-5</v>
      </c>
    </row>
    <row r="62" spans="6:59">
      <c r="BA62" s="196">
        <v>1890000000000</v>
      </c>
    </row>
    <row r="106" spans="1:59" s="169" customFormat="1" ht="21">
      <c r="A106" s="102"/>
      <c r="B106" s="102"/>
      <c r="C106" s="102"/>
      <c r="D106" s="216" t="s">
        <v>199</v>
      </c>
      <c r="E106" s="216"/>
      <c r="F106" s="181"/>
      <c r="G106" s="231"/>
      <c r="H106" s="231"/>
      <c r="I106" s="234"/>
      <c r="J106" s="234"/>
      <c r="K106" s="234"/>
      <c r="L106" s="231"/>
      <c r="O106" s="108"/>
      <c r="P106" s="108"/>
      <c r="Q106" s="108"/>
      <c r="S106" s="108"/>
      <c r="T106" s="108"/>
      <c r="V106" s="108"/>
      <c r="W106" s="108"/>
      <c r="X106" s="108"/>
      <c r="Y106" s="108"/>
      <c r="Z106" s="229"/>
      <c r="AA106" s="160"/>
      <c r="AB106" s="160"/>
      <c r="AC106" s="160"/>
      <c r="AD106" s="108"/>
      <c r="AE106" s="151"/>
      <c r="AF106" s="143"/>
      <c r="AG106" s="143"/>
      <c r="AH106" s="143"/>
      <c r="AI106" s="143"/>
      <c r="AJ106" s="143"/>
      <c r="AK106" s="102"/>
      <c r="AL106" s="102"/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/>
      <c r="BF106" s="102"/>
      <c r="BG106" s="102"/>
    </row>
    <row r="107" spans="1:59" s="169" customFormat="1" ht="21">
      <c r="A107" s="102"/>
      <c r="B107" s="102"/>
      <c r="C107" s="102"/>
      <c r="D107" s="216" t="s">
        <v>202</v>
      </c>
      <c r="E107" s="216"/>
      <c r="F107" s="181"/>
      <c r="G107" s="231"/>
      <c r="H107" s="231"/>
      <c r="I107" s="234"/>
      <c r="J107" s="234"/>
      <c r="K107" s="234"/>
      <c r="L107" s="231"/>
      <c r="O107" s="108"/>
      <c r="P107" s="108"/>
      <c r="Q107" s="108"/>
      <c r="S107" s="108"/>
      <c r="T107" s="108"/>
      <c r="V107" s="108"/>
      <c r="W107" s="108"/>
      <c r="X107" s="108"/>
      <c r="Y107" s="108"/>
      <c r="Z107" s="229"/>
      <c r="AA107" s="160"/>
      <c r="AB107" s="160"/>
      <c r="AC107" s="160"/>
      <c r="AD107" s="108"/>
      <c r="AE107" s="151"/>
      <c r="AF107" s="143"/>
      <c r="AG107" s="143"/>
      <c r="AH107" s="143"/>
      <c r="AI107" s="143"/>
      <c r="AJ107" s="143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  <c r="BF107" s="102"/>
      <c r="BG107" s="102"/>
    </row>
    <row r="108" spans="1:59" s="169" customFormat="1" ht="21">
      <c r="A108" s="102"/>
      <c r="B108" s="102"/>
      <c r="C108" s="102"/>
      <c r="D108" s="216" t="s">
        <v>200</v>
      </c>
      <c r="E108" s="216"/>
      <c r="F108" s="181"/>
      <c r="G108" s="231"/>
      <c r="H108" s="231"/>
      <c r="I108" s="234"/>
      <c r="J108" s="234"/>
      <c r="K108" s="234"/>
      <c r="L108" s="231"/>
      <c r="O108" s="108"/>
      <c r="P108" s="108"/>
      <c r="Q108" s="108"/>
      <c r="S108" s="108"/>
      <c r="T108" s="108"/>
      <c r="V108" s="108"/>
      <c r="W108" s="108"/>
      <c r="X108" s="108"/>
      <c r="Y108" s="108"/>
      <c r="Z108" s="229"/>
      <c r="AA108" s="160"/>
      <c r="AB108" s="160"/>
      <c r="AC108" s="160"/>
      <c r="AD108" s="108"/>
      <c r="AE108" s="151"/>
      <c r="AF108" s="143"/>
      <c r="AG108" s="143"/>
      <c r="AH108" s="143"/>
      <c r="AI108" s="143"/>
      <c r="AJ108" s="143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</row>
    <row r="109" spans="1:59" s="169" customFormat="1" ht="21">
      <c r="A109" s="102"/>
      <c r="B109" s="102"/>
      <c r="C109" s="102"/>
      <c r="D109" s="216" t="s">
        <v>201</v>
      </c>
      <c r="E109" s="216"/>
      <c r="F109" s="181"/>
      <c r="G109" s="231"/>
      <c r="H109" s="231"/>
      <c r="I109" s="234"/>
      <c r="J109" s="234"/>
      <c r="K109" s="234"/>
      <c r="L109" s="231"/>
      <c r="O109" s="108"/>
      <c r="P109" s="108"/>
      <c r="Q109" s="108"/>
      <c r="S109" s="108"/>
      <c r="T109" s="108"/>
      <c r="V109" s="108"/>
      <c r="W109" s="108"/>
      <c r="X109" s="108"/>
      <c r="Y109" s="108"/>
      <c r="Z109" s="229"/>
      <c r="AA109" s="160"/>
      <c r="AB109" s="160"/>
      <c r="AC109" s="160"/>
      <c r="AD109" s="108"/>
      <c r="AE109" s="151"/>
      <c r="AF109" s="143"/>
      <c r="AG109" s="143"/>
      <c r="AH109" s="143"/>
      <c r="AI109" s="143"/>
      <c r="AJ109" s="143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</row>
    <row r="110" spans="1:59" s="169" customFormat="1" ht="21">
      <c r="A110" s="102"/>
      <c r="B110" s="102"/>
      <c r="C110" s="102"/>
      <c r="D110" s="216" t="s">
        <v>203</v>
      </c>
      <c r="E110" s="216"/>
      <c r="F110" s="181"/>
      <c r="G110" s="231"/>
      <c r="H110" s="231"/>
      <c r="I110" s="234"/>
      <c r="J110" s="234"/>
      <c r="K110" s="234"/>
      <c r="L110" s="231"/>
      <c r="O110" s="108"/>
      <c r="P110" s="108"/>
      <c r="Q110" s="108"/>
      <c r="S110" s="108"/>
      <c r="T110" s="108"/>
      <c r="V110" s="108"/>
      <c r="W110" s="108"/>
      <c r="X110" s="108"/>
      <c r="Y110" s="108"/>
      <c r="Z110" s="229"/>
      <c r="AA110" s="160"/>
      <c r="AB110" s="160"/>
      <c r="AC110" s="160"/>
      <c r="AD110" s="108"/>
      <c r="AE110" s="151"/>
      <c r="AF110" s="143"/>
      <c r="AG110" s="143"/>
      <c r="AH110" s="143"/>
      <c r="AI110" s="143"/>
      <c r="AJ110" s="143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</row>
    <row r="111" spans="1:59" s="169" customFormat="1" ht="21">
      <c r="A111" s="102"/>
      <c r="B111" s="102"/>
      <c r="C111" s="102"/>
      <c r="D111" s="217"/>
      <c r="E111" s="217"/>
      <c r="F111" s="102"/>
      <c r="G111" s="232"/>
      <c r="H111" s="232"/>
      <c r="I111" s="233"/>
      <c r="J111" s="233"/>
      <c r="K111" s="233"/>
      <c r="L111" s="228"/>
      <c r="O111" s="108"/>
      <c r="P111" s="108"/>
      <c r="Q111" s="108"/>
      <c r="S111" s="108"/>
      <c r="T111" s="108"/>
      <c r="V111" s="108"/>
      <c r="W111" s="108"/>
      <c r="X111" s="108"/>
      <c r="Y111" s="108"/>
      <c r="Z111" s="229"/>
      <c r="AA111" s="160"/>
      <c r="AB111" s="160"/>
      <c r="AC111" s="160"/>
      <c r="AD111" s="108"/>
      <c r="AE111" s="151"/>
      <c r="AF111" s="143"/>
      <c r="AG111" s="143"/>
      <c r="AH111" s="143"/>
      <c r="AI111" s="143"/>
      <c r="AJ111" s="143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</row>
    <row r="112" spans="1:59" s="169" customFormat="1" ht="21">
      <c r="A112" s="102"/>
      <c r="B112" s="102"/>
      <c r="C112" s="102"/>
      <c r="D112" s="217"/>
      <c r="E112" s="217"/>
      <c r="F112" s="102"/>
      <c r="G112" s="232"/>
      <c r="H112" s="232"/>
      <c r="I112" s="233"/>
      <c r="J112" s="233"/>
      <c r="K112" s="233"/>
      <c r="L112" s="228"/>
      <c r="O112" s="108"/>
      <c r="P112" s="108"/>
      <c r="Q112" s="108"/>
      <c r="S112" s="108"/>
      <c r="T112" s="108"/>
      <c r="V112" s="108"/>
      <c r="W112" s="108"/>
      <c r="X112" s="108"/>
      <c r="Y112" s="108"/>
      <c r="Z112" s="229"/>
      <c r="AA112" s="160"/>
      <c r="AB112" s="160"/>
      <c r="AC112" s="160"/>
      <c r="AD112" s="108"/>
      <c r="AE112" s="151"/>
      <c r="AF112" s="143"/>
      <c r="AG112" s="143"/>
      <c r="AH112" s="143"/>
      <c r="AI112" s="143"/>
      <c r="AJ112" s="143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</row>
    <row r="113" spans="1:59" s="169" customFormat="1" ht="21">
      <c r="A113" s="102"/>
      <c r="B113" s="102"/>
      <c r="C113" s="102"/>
      <c r="D113" s="217"/>
      <c r="E113" s="217"/>
      <c r="F113" s="102"/>
      <c r="G113" s="232"/>
      <c r="H113" s="232"/>
      <c r="I113" s="233"/>
      <c r="J113" s="233"/>
      <c r="K113" s="233"/>
      <c r="L113" s="228"/>
      <c r="O113" s="108"/>
      <c r="P113" s="108"/>
      <c r="Q113" s="108"/>
      <c r="S113" s="108"/>
      <c r="T113" s="108"/>
      <c r="V113" s="108"/>
      <c r="W113" s="108"/>
      <c r="X113" s="108"/>
      <c r="Y113" s="108"/>
      <c r="Z113" s="229"/>
      <c r="AA113" s="160"/>
      <c r="AB113" s="160"/>
      <c r="AC113" s="160"/>
      <c r="AD113" s="108"/>
      <c r="AE113" s="151"/>
      <c r="AF113" s="143"/>
      <c r="AG113" s="143"/>
      <c r="AH113" s="143"/>
      <c r="AI113" s="143"/>
      <c r="AJ113" s="143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</row>
  </sheetData>
  <conditionalFormatting sqref="G43:G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:J35 P35 L35 S35:U35 N3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J39 P39 L39 S39:U39 N3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X31 Z3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X3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J11 H11" formula="1"/>
  </ignoredErrors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G114"/>
  <sheetViews>
    <sheetView topLeftCell="B3" zoomScale="68" zoomScaleNormal="115" workbookViewId="0">
      <selection activeCell="L17" sqref="L17"/>
    </sheetView>
  </sheetViews>
  <sheetFormatPr defaultColWidth="8.85546875" defaultRowHeight="12"/>
  <cols>
    <col min="1" max="1" width="17.7109375" style="102" customWidth="1"/>
    <col min="2" max="2" width="8.28515625" style="102" customWidth="1"/>
    <col min="3" max="3" width="11.42578125" style="102" bestFit="1" customWidth="1"/>
    <col min="4" max="5" width="14.28515625" style="212" customWidth="1"/>
    <col min="6" max="6" width="16.85546875" style="102" customWidth="1"/>
    <col min="7" max="7" width="10.5703125" style="232" customWidth="1"/>
    <col min="8" max="8" width="8.28515625" style="232" customWidth="1"/>
    <col min="9" max="11" width="9" style="233" customWidth="1"/>
    <col min="12" max="12" width="8.28515625" style="228" customWidth="1"/>
    <col min="13" max="14" width="8.85546875" style="169"/>
    <col min="15" max="15" width="8.85546875" style="108"/>
    <col min="16" max="16" width="8.85546875" style="108" customWidth="1"/>
    <col min="17" max="17" width="8.85546875" style="108"/>
    <col min="18" max="18" width="8.85546875" style="169"/>
    <col min="19" max="20" width="8.85546875" style="108"/>
    <col min="21" max="21" width="8.85546875" style="169"/>
    <col min="22" max="22" width="8.85546875" style="108"/>
    <col min="23" max="25" width="8.85546875" style="108" customWidth="1"/>
    <col min="26" max="26" width="9" style="229" bestFit="1" customWidth="1"/>
    <col min="27" max="29" width="15.42578125" style="160" customWidth="1"/>
    <col min="30" max="30" width="15.42578125" style="108" customWidth="1"/>
    <col min="31" max="31" width="14.140625" style="151" bestFit="1" customWidth="1"/>
    <col min="32" max="32" width="10.7109375" style="143" bestFit="1" customWidth="1"/>
    <col min="33" max="33" width="15.7109375" style="143" customWidth="1"/>
    <col min="34" max="34" width="10.42578125" style="143" bestFit="1" customWidth="1"/>
    <col min="35" max="35" width="12.7109375" style="143" customWidth="1"/>
    <col min="36" max="36" width="15.28515625" style="143" bestFit="1" customWidth="1"/>
    <col min="37" max="37" width="12" style="102" bestFit="1" customWidth="1"/>
    <col min="38" max="39" width="8.85546875" style="102"/>
    <col min="40" max="40" width="15.85546875" style="102" customWidth="1"/>
    <col min="41" max="41" width="13.28515625" style="102" hidden="1" customWidth="1"/>
    <col min="42" max="42" width="14.28515625" style="102" hidden="1" customWidth="1"/>
    <col min="43" max="43" width="13.7109375" style="102" hidden="1" customWidth="1"/>
    <col min="44" max="44" width="14.28515625" style="102" hidden="1" customWidth="1"/>
    <col min="45" max="45" width="13.28515625" style="102" hidden="1" customWidth="1"/>
    <col min="46" max="46" width="14.140625" style="102" hidden="1" customWidth="1"/>
    <col min="47" max="47" width="11" style="102" bestFit="1" customWidth="1"/>
    <col min="48" max="49" width="10.7109375" style="102" bestFit="1" customWidth="1"/>
    <col min="50" max="50" width="11" style="102" bestFit="1" customWidth="1"/>
    <col min="51" max="52" width="10.7109375" style="102" bestFit="1" customWidth="1"/>
    <col min="53" max="54" width="11" style="102" bestFit="1" customWidth="1"/>
    <col min="55" max="55" width="10.5703125" style="102" bestFit="1" customWidth="1"/>
    <col min="56" max="56" width="10.7109375" style="102" bestFit="1" customWidth="1"/>
    <col min="57" max="57" width="10.5703125" style="102" bestFit="1" customWidth="1"/>
    <col min="58" max="58" width="11.42578125" style="102" customWidth="1"/>
    <col min="59" max="59" width="14.140625" style="102" bestFit="1" customWidth="1"/>
    <col min="60" max="16384" width="8.85546875" style="102"/>
  </cols>
  <sheetData>
    <row r="2" spans="1:37" s="103" customFormat="1" ht="237.75">
      <c r="F2" s="240" t="s">
        <v>147</v>
      </c>
      <c r="G2" s="241"/>
      <c r="H2" s="241"/>
      <c r="I2" s="241"/>
      <c r="J2" s="241"/>
      <c r="K2" s="241"/>
      <c r="L2" s="241"/>
      <c r="M2" s="161"/>
      <c r="N2" s="132"/>
      <c r="O2" s="132"/>
      <c r="P2" s="161"/>
      <c r="Q2" s="132"/>
      <c r="R2" s="132"/>
      <c r="S2" s="132"/>
      <c r="T2" s="132"/>
      <c r="U2" s="161"/>
      <c r="V2" s="132"/>
      <c r="W2" s="161"/>
      <c r="X2" s="161"/>
      <c r="Y2" s="161" t="s">
        <v>241</v>
      </c>
      <c r="Z2" s="133"/>
      <c r="AA2" s="153"/>
      <c r="AB2" s="153"/>
      <c r="AC2" s="153"/>
      <c r="AD2" s="112"/>
      <c r="AE2" s="144"/>
      <c r="AF2" s="138"/>
      <c r="AG2" s="138"/>
      <c r="AH2" s="138"/>
      <c r="AI2" s="138"/>
      <c r="AJ2" s="138"/>
    </row>
    <row r="3" spans="1:37" s="101" customFormat="1" ht="24">
      <c r="A3" s="101" t="s">
        <v>87</v>
      </c>
      <c r="C3" s="101" t="s">
        <v>158</v>
      </c>
      <c r="D3" s="101" t="s">
        <v>52</v>
      </c>
      <c r="F3" s="244" t="s">
        <v>168</v>
      </c>
      <c r="G3" s="243">
        <v>3.9</v>
      </c>
      <c r="H3" s="243">
        <v>12</v>
      </c>
      <c r="I3" s="243">
        <v>22</v>
      </c>
      <c r="J3" s="243">
        <v>30</v>
      </c>
      <c r="K3" s="243">
        <v>80</v>
      </c>
      <c r="L3" s="243">
        <v>3.9</v>
      </c>
      <c r="M3" s="254"/>
      <c r="N3" s="255"/>
      <c r="O3" s="256"/>
      <c r="P3" s="256"/>
      <c r="Q3" s="256"/>
      <c r="R3" s="255"/>
      <c r="S3" s="256"/>
      <c r="T3" s="256"/>
      <c r="U3" s="255"/>
      <c r="V3" s="256"/>
      <c r="W3" s="256"/>
      <c r="X3" s="256"/>
      <c r="Y3" s="256"/>
      <c r="Z3" s="188">
        <v>80</v>
      </c>
      <c r="AA3" s="154"/>
      <c r="AB3" s="154"/>
      <c r="AC3" s="154"/>
      <c r="AD3" s="115"/>
      <c r="AE3" s="145"/>
      <c r="AF3" s="139"/>
      <c r="AG3" s="139"/>
      <c r="AH3" s="139"/>
      <c r="AI3" s="139"/>
      <c r="AJ3" s="139"/>
    </row>
    <row r="4" spans="1:37" s="248" customFormat="1" ht="15.75" thickBot="1">
      <c r="F4" s="261"/>
      <c r="G4" s="262" t="str">
        <f>G28</f>
        <v>SiO2</v>
      </c>
      <c r="H4" s="262" t="str">
        <f t="shared" ref="H4:Y4" si="0">H28</f>
        <v>Al2O3</v>
      </c>
      <c r="I4" s="262" t="str">
        <f t="shared" si="0"/>
        <v>HfO2</v>
      </c>
      <c r="J4" s="262" t="str">
        <f t="shared" si="0"/>
        <v>La2O3</v>
      </c>
      <c r="K4" s="262" t="str">
        <f t="shared" si="0"/>
        <v>TiO2</v>
      </c>
      <c r="L4" s="262">
        <f t="shared" si="0"/>
        <v>0</v>
      </c>
      <c r="M4" s="263" t="str">
        <f t="shared" si="0"/>
        <v>A</v>
      </c>
      <c r="N4" s="263" t="str">
        <f t="shared" si="0"/>
        <v>B</v>
      </c>
      <c r="O4" s="263" t="str">
        <f t="shared" si="0"/>
        <v>C</v>
      </c>
      <c r="P4" s="263" t="str">
        <f t="shared" si="0"/>
        <v>D</v>
      </c>
      <c r="Q4" s="263" t="str">
        <f t="shared" si="0"/>
        <v>E</v>
      </c>
      <c r="R4" s="263" t="str">
        <f t="shared" si="0"/>
        <v>F</v>
      </c>
      <c r="S4" s="263" t="str">
        <f t="shared" si="0"/>
        <v>G</v>
      </c>
      <c r="T4" s="263" t="str">
        <f t="shared" si="0"/>
        <v>H</v>
      </c>
      <c r="U4" s="263" t="str">
        <f t="shared" si="0"/>
        <v>J</v>
      </c>
      <c r="V4" s="263" t="str">
        <f t="shared" si="0"/>
        <v>K</v>
      </c>
      <c r="W4" s="263" t="str">
        <f t="shared" si="0"/>
        <v>L</v>
      </c>
      <c r="X4" s="263" t="str">
        <f t="shared" si="0"/>
        <v>M</v>
      </c>
      <c r="Y4" s="263" t="str">
        <f t="shared" si="0"/>
        <v>N</v>
      </c>
      <c r="Z4" s="242"/>
      <c r="AA4" s="258"/>
      <c r="AB4" s="249"/>
      <c r="AC4" s="249"/>
      <c r="AD4" s="250"/>
      <c r="AE4" s="251"/>
      <c r="AF4" s="252"/>
      <c r="AG4" s="252"/>
      <c r="AH4" s="252"/>
      <c r="AI4" s="252"/>
      <c r="AJ4" s="252"/>
    </row>
    <row r="5" spans="1:37" s="219" customFormat="1" ht="15.75" thickTop="1">
      <c r="D5" s="218" t="s">
        <v>236</v>
      </c>
      <c r="E5" s="218"/>
      <c r="F5" s="264" t="s">
        <v>13</v>
      </c>
      <c r="G5" s="264">
        <v>3</v>
      </c>
      <c r="H5" s="264">
        <v>0</v>
      </c>
      <c r="I5" s="264">
        <v>0</v>
      </c>
      <c r="J5" s="264">
        <v>0</v>
      </c>
      <c r="K5" s="264">
        <v>0</v>
      </c>
      <c r="L5" s="264">
        <v>3</v>
      </c>
      <c r="M5" s="265">
        <v>1.5</v>
      </c>
      <c r="N5" s="265">
        <v>1</v>
      </c>
      <c r="O5" s="265">
        <v>1</v>
      </c>
      <c r="P5" s="265">
        <v>1</v>
      </c>
      <c r="Q5" s="265">
        <v>1</v>
      </c>
      <c r="R5" s="265">
        <v>0.5</v>
      </c>
      <c r="S5" s="265">
        <v>0.5</v>
      </c>
      <c r="T5" s="265">
        <v>0</v>
      </c>
      <c r="U5" s="265">
        <v>0</v>
      </c>
      <c r="V5" s="265">
        <v>0</v>
      </c>
      <c r="W5" s="265">
        <v>0</v>
      </c>
      <c r="X5" s="265">
        <v>0</v>
      </c>
      <c r="Y5" s="265">
        <v>0</v>
      </c>
      <c r="Z5" s="243">
        <v>0</v>
      </c>
      <c r="AA5" s="245"/>
      <c r="AB5" s="246"/>
      <c r="AC5" s="246"/>
      <c r="AD5" s="246"/>
      <c r="AE5" s="246">
        <v>0</v>
      </c>
      <c r="AF5" s="247"/>
      <c r="AG5" s="247"/>
      <c r="AH5" s="247"/>
      <c r="AI5" s="247"/>
      <c r="AJ5" s="247"/>
    </row>
    <row r="6" spans="1:37" s="222" customFormat="1" ht="15">
      <c r="D6" s="172" t="s">
        <v>237</v>
      </c>
      <c r="E6" s="172"/>
      <c r="F6" s="264" t="s">
        <v>269</v>
      </c>
      <c r="G6" s="264">
        <v>0</v>
      </c>
      <c r="H6" s="264">
        <v>3</v>
      </c>
      <c r="I6" s="264">
        <v>0</v>
      </c>
      <c r="J6" s="264">
        <v>0</v>
      </c>
      <c r="K6" s="264">
        <v>0</v>
      </c>
      <c r="L6" s="264">
        <v>0</v>
      </c>
      <c r="M6" s="265">
        <v>0</v>
      </c>
      <c r="N6" s="265">
        <v>1</v>
      </c>
      <c r="O6" s="264">
        <v>1</v>
      </c>
      <c r="P6" s="265">
        <v>0.5</v>
      </c>
      <c r="Q6" s="264">
        <v>0</v>
      </c>
      <c r="R6" s="265">
        <v>0.5</v>
      </c>
      <c r="S6" s="264">
        <v>0</v>
      </c>
      <c r="T6" s="264">
        <v>0.5</v>
      </c>
      <c r="U6" s="265">
        <v>1</v>
      </c>
      <c r="V6" s="264">
        <v>0.5</v>
      </c>
      <c r="W6" s="265">
        <v>0.5</v>
      </c>
      <c r="X6" s="265">
        <v>0</v>
      </c>
      <c r="Y6" s="265">
        <v>0</v>
      </c>
      <c r="Z6" s="234">
        <v>0</v>
      </c>
      <c r="AA6" s="236"/>
      <c r="AB6" s="220"/>
      <c r="AC6" s="220"/>
      <c r="AD6" s="220"/>
      <c r="AE6" s="220">
        <v>1</v>
      </c>
      <c r="AF6" s="221"/>
      <c r="AG6" s="221"/>
      <c r="AH6" s="221"/>
      <c r="AI6" s="221"/>
      <c r="AJ6" s="221"/>
    </row>
    <row r="7" spans="1:37" s="178" customFormat="1" ht="15">
      <c r="F7" s="264" t="s">
        <v>14</v>
      </c>
      <c r="G7" s="264">
        <v>0</v>
      </c>
      <c r="H7" s="264">
        <v>0</v>
      </c>
      <c r="I7" s="264">
        <v>3</v>
      </c>
      <c r="J7" s="264">
        <v>0</v>
      </c>
      <c r="K7" s="264">
        <v>0</v>
      </c>
      <c r="L7" s="264">
        <v>0</v>
      </c>
      <c r="M7" s="265">
        <v>0</v>
      </c>
      <c r="N7" s="265">
        <v>1</v>
      </c>
      <c r="O7" s="265">
        <v>0</v>
      </c>
      <c r="P7" s="265">
        <v>0</v>
      </c>
      <c r="Q7" s="265">
        <v>1</v>
      </c>
      <c r="R7" s="265">
        <v>2</v>
      </c>
      <c r="S7" s="265">
        <v>2.5</v>
      </c>
      <c r="T7" s="265">
        <v>2.5</v>
      </c>
      <c r="U7" s="265">
        <v>1</v>
      </c>
      <c r="V7" s="265">
        <v>2</v>
      </c>
      <c r="W7" s="265">
        <v>0.5</v>
      </c>
      <c r="X7" s="265">
        <v>1.5</v>
      </c>
      <c r="Y7" s="265">
        <v>0.5</v>
      </c>
      <c r="Z7" s="243">
        <v>0</v>
      </c>
      <c r="AA7" s="237"/>
      <c r="AB7" s="158"/>
      <c r="AC7" s="158"/>
      <c r="AD7" s="158"/>
      <c r="AE7" s="158">
        <v>1</v>
      </c>
      <c r="AF7" s="177"/>
      <c r="AG7" s="177"/>
      <c r="AH7" s="177"/>
      <c r="AI7" s="177"/>
      <c r="AJ7" s="177"/>
    </row>
    <row r="8" spans="1:37" s="134" customFormat="1" ht="15">
      <c r="D8" s="213"/>
      <c r="E8" s="213"/>
      <c r="F8" s="264" t="s">
        <v>196</v>
      </c>
      <c r="G8" s="264">
        <v>0</v>
      </c>
      <c r="H8" s="264">
        <v>0</v>
      </c>
      <c r="I8" s="264">
        <v>0</v>
      </c>
      <c r="J8" s="264">
        <v>3</v>
      </c>
      <c r="K8" s="264">
        <v>0</v>
      </c>
      <c r="L8" s="264">
        <v>0</v>
      </c>
      <c r="M8" s="265">
        <v>0</v>
      </c>
      <c r="N8" s="265">
        <v>0</v>
      </c>
      <c r="O8" s="265">
        <v>0</v>
      </c>
      <c r="P8" s="265">
        <v>0</v>
      </c>
      <c r="Q8" s="265">
        <v>0</v>
      </c>
      <c r="R8" s="265">
        <v>0</v>
      </c>
      <c r="S8" s="265">
        <v>0</v>
      </c>
      <c r="T8" s="265">
        <v>0</v>
      </c>
      <c r="U8" s="265">
        <v>0</v>
      </c>
      <c r="V8" s="265">
        <v>0</v>
      </c>
      <c r="W8" s="265">
        <v>0</v>
      </c>
      <c r="X8" s="265">
        <v>0</v>
      </c>
      <c r="Y8" s="265">
        <v>0</v>
      </c>
      <c r="Z8" s="243">
        <v>0</v>
      </c>
      <c r="AA8" s="237"/>
      <c r="AB8" s="158"/>
      <c r="AC8" s="158"/>
      <c r="AD8" s="120"/>
      <c r="AE8" s="149"/>
      <c r="AF8" s="140"/>
      <c r="AG8" s="140"/>
      <c r="AH8" s="140"/>
      <c r="AI8" s="140"/>
      <c r="AJ8" s="140"/>
    </row>
    <row r="9" spans="1:37" s="204" customFormat="1" ht="15">
      <c r="D9" s="214" t="s">
        <v>238</v>
      </c>
      <c r="E9" s="214"/>
      <c r="F9" s="264" t="s">
        <v>34</v>
      </c>
      <c r="G9" s="264">
        <v>0</v>
      </c>
      <c r="H9" s="264">
        <v>0</v>
      </c>
      <c r="I9" s="264">
        <v>0</v>
      </c>
      <c r="J9" s="264">
        <v>0</v>
      </c>
      <c r="K9" s="264">
        <v>3</v>
      </c>
      <c r="L9" s="264">
        <v>0</v>
      </c>
      <c r="M9" s="265">
        <v>1.5</v>
      </c>
      <c r="N9" s="265">
        <v>0</v>
      </c>
      <c r="O9" s="265">
        <v>1</v>
      </c>
      <c r="P9" s="265">
        <v>1.5</v>
      </c>
      <c r="Q9" s="265">
        <v>1</v>
      </c>
      <c r="R9" s="265">
        <v>0</v>
      </c>
      <c r="S9" s="265">
        <v>0</v>
      </c>
      <c r="T9" s="265">
        <v>0</v>
      </c>
      <c r="U9" s="265">
        <v>1</v>
      </c>
      <c r="V9" s="265">
        <v>0.5</v>
      </c>
      <c r="W9" s="265">
        <v>2</v>
      </c>
      <c r="X9" s="265">
        <v>1.5</v>
      </c>
      <c r="Y9" s="265">
        <v>2.5</v>
      </c>
      <c r="Z9" s="243">
        <v>3</v>
      </c>
      <c r="AA9" s="238"/>
      <c r="AB9" s="201"/>
      <c r="AC9" s="201"/>
      <c r="AD9" s="201"/>
      <c r="AE9" s="201">
        <v>1</v>
      </c>
      <c r="AF9" s="203"/>
      <c r="AG9" s="203"/>
      <c r="AH9" s="203"/>
      <c r="AI9" s="203"/>
      <c r="AJ9" s="203"/>
    </row>
    <row r="10" spans="1:37" s="225" customFormat="1" ht="15">
      <c r="D10" s="223" t="s">
        <v>239</v>
      </c>
      <c r="E10" s="223"/>
      <c r="F10" s="264" t="s">
        <v>151</v>
      </c>
      <c r="G10" s="264">
        <f>SUM(G5:G9)</f>
        <v>3</v>
      </c>
      <c r="H10" s="264">
        <f>SUM(H5:H9)</f>
        <v>3</v>
      </c>
      <c r="I10" s="264">
        <f t="shared" ref="I10:R10" si="1">SUM(I5:I9)</f>
        <v>3</v>
      </c>
      <c r="J10" s="264">
        <f t="shared" si="1"/>
        <v>3</v>
      </c>
      <c r="K10" s="264">
        <f t="shared" si="1"/>
        <v>3</v>
      </c>
      <c r="L10" s="264">
        <f t="shared" si="1"/>
        <v>3</v>
      </c>
      <c r="M10" s="265">
        <f>SUM(M5:M9)</f>
        <v>3</v>
      </c>
      <c r="N10" s="265">
        <f t="shared" si="1"/>
        <v>3</v>
      </c>
      <c r="O10" s="265">
        <f>SUM(O5:O9)</f>
        <v>3</v>
      </c>
      <c r="P10" s="265">
        <f>SUM(P5:P9)</f>
        <v>3</v>
      </c>
      <c r="Q10" s="265">
        <f>SUM(Q5:Q9)</f>
        <v>3</v>
      </c>
      <c r="R10" s="265">
        <f t="shared" si="1"/>
        <v>3</v>
      </c>
      <c r="S10" s="265">
        <f>SUM(S5:S9)</f>
        <v>3</v>
      </c>
      <c r="T10" s="265">
        <f>SUM(T5:T9)</f>
        <v>3</v>
      </c>
      <c r="U10" s="265">
        <f t="shared" ref="U10:Z10" si="2">SUM(U5:U9)</f>
        <v>3</v>
      </c>
      <c r="V10" s="265">
        <v>3</v>
      </c>
      <c r="W10" s="265">
        <f t="shared" si="2"/>
        <v>3</v>
      </c>
      <c r="X10" s="265">
        <f>SUM(X5:X9)</f>
        <v>3</v>
      </c>
      <c r="Y10" s="265">
        <v>3</v>
      </c>
      <c r="Z10" s="242">
        <f t="shared" si="2"/>
        <v>3</v>
      </c>
      <c r="AA10" s="239"/>
      <c r="AB10" s="224"/>
      <c r="AC10" s="224"/>
      <c r="AD10" s="224"/>
      <c r="AE10" s="224">
        <f>SUM(AE5:AE9)</f>
        <v>3</v>
      </c>
      <c r="AF10" s="207"/>
      <c r="AG10" s="207"/>
      <c r="AH10" s="207"/>
      <c r="AI10" s="207"/>
      <c r="AJ10" s="207"/>
    </row>
    <row r="11" spans="1:37" s="274" customFormat="1" ht="15">
      <c r="E11" s="274" t="s">
        <v>290</v>
      </c>
      <c r="F11" s="275"/>
      <c r="G11" s="276">
        <f>$C$18*$C$22*$C$24/(G15+G16+G17)</f>
        <v>3.9</v>
      </c>
      <c r="H11" s="276">
        <f>$C$18*$C$21*$C$24/(H15+H16+H17)</f>
        <v>12</v>
      </c>
      <c r="I11" s="276">
        <f>$C$18*$C$22*$C$24/(I15+I16+I17)</f>
        <v>22</v>
      </c>
      <c r="J11" s="276">
        <f>$C$18*$C$23*$C$24/(J15+J16+J17)</f>
        <v>30</v>
      </c>
      <c r="K11" s="276">
        <f>$C$18*$C$22*$C$24/(K15+K16+K17)</f>
        <v>80</v>
      </c>
      <c r="L11" s="275">
        <f>$C$18*$C$22*$C$24/(L15+L16+L17)</f>
        <v>3.9</v>
      </c>
      <c r="M11" s="277">
        <f>$C$18*$C$22*$C$24/(M15+M16+M17)</f>
        <v>7.4374255065554236</v>
      </c>
      <c r="N11" s="277">
        <f>$C$18*$C$21*$C$22/(N15+N16+N17)</f>
        <v>7.7881996974281389</v>
      </c>
      <c r="O11" s="277">
        <f>$C$18*$C$21*$C$24/(O15+O16+O17)</f>
        <v>8.5168334849863516</v>
      </c>
      <c r="P11" s="277">
        <f>$C$18*$C$21*$C$24/(P15+P16+P17)</f>
        <v>9.4688922610015176</v>
      </c>
      <c r="Q11" s="277">
        <f>$C$18*$C$22*$C$24/(Q15+Q16+Q17)</f>
        <v>9.5430531096487172</v>
      </c>
      <c r="R11" s="277">
        <f>$C$18*$C$21*$C$22/(R15+R16+R17)</f>
        <v>11.50391061452514</v>
      </c>
      <c r="S11" s="277">
        <f>$C$18*$C$21*$C$22/(S15+S16+S17)</f>
        <v>12.404819277108432</v>
      </c>
      <c r="T11" s="277">
        <f>$C$18*$C$21*$C$22/(T15+T16+T17)</f>
        <v>19.317073170731707</v>
      </c>
      <c r="U11" s="277">
        <f>$C$21*$C$22*$C$24/(U15+U16+U17)</f>
        <v>21.233243967828418</v>
      </c>
      <c r="V11" s="277">
        <f>$C$21*$C$22*$C$24/(V15+V16+V17)</f>
        <v>21.609822646657573</v>
      </c>
      <c r="W11" s="277">
        <f>$C$21*$C$22*$C$24/(W15+W16+W17)</f>
        <v>33.559322033898312</v>
      </c>
      <c r="X11" s="277">
        <f>$C$18*$C$22*$C$24/(X15+X16+X17)</f>
        <v>34.509803921568626</v>
      </c>
      <c r="Y11" s="277">
        <f>$C$18*$C$22*$C$24/(Y15+Y16+Y17)</f>
        <v>55.578947368421055</v>
      </c>
      <c r="Z11" s="278">
        <f>$C$21*$C$22*$C$24/(Z15+Z16+Z17)</f>
        <v>80</v>
      </c>
      <c r="AA11" s="253"/>
      <c r="AB11" s="206"/>
      <c r="AC11" s="206"/>
      <c r="AD11" s="206"/>
      <c r="AE11" s="206"/>
      <c r="AF11" s="207"/>
      <c r="AG11" s="207"/>
      <c r="AH11" s="207"/>
      <c r="AI11" s="207"/>
      <c r="AJ11" s="207"/>
    </row>
    <row r="12" spans="1:37" s="205" customFormat="1" ht="15">
      <c r="E12" s="205" t="s">
        <v>291</v>
      </c>
      <c r="F12" s="264" t="s">
        <v>275</v>
      </c>
      <c r="G12" s="283"/>
      <c r="H12" s="283"/>
      <c r="I12" s="283"/>
      <c r="J12" s="283"/>
      <c r="K12" s="283"/>
      <c r="L12" s="264"/>
      <c r="M12" s="284"/>
      <c r="N12" s="284"/>
      <c r="O12" s="284"/>
      <c r="P12" s="284"/>
      <c r="Q12" s="284"/>
      <c r="R12" s="284"/>
      <c r="S12" s="284"/>
      <c r="T12" s="284"/>
      <c r="U12" s="284"/>
      <c r="V12" s="284"/>
      <c r="W12" s="284"/>
      <c r="X12" s="284"/>
      <c r="Y12" s="284"/>
      <c r="Z12" s="285"/>
      <c r="AA12" s="286"/>
      <c r="AB12" s="257"/>
      <c r="AC12" s="257"/>
      <c r="AD12" s="257"/>
      <c r="AE12" s="257"/>
      <c r="AF12" s="287"/>
      <c r="AG12" s="287"/>
      <c r="AH12" s="287"/>
      <c r="AI12" s="287"/>
      <c r="AJ12" s="287"/>
      <c r="AK12" s="274"/>
    </row>
    <row r="13" spans="1:37" s="101" customFormat="1" ht="30">
      <c r="F13" s="266" t="s">
        <v>171</v>
      </c>
      <c r="G13" s="267">
        <v>9</v>
      </c>
      <c r="H13" s="267">
        <v>8.1999999999999993</v>
      </c>
      <c r="I13" s="267">
        <v>5.2</v>
      </c>
      <c r="J13" s="267">
        <v>5.2</v>
      </c>
      <c r="K13" s="267">
        <v>3.5</v>
      </c>
      <c r="L13" s="267">
        <v>9</v>
      </c>
      <c r="M13" s="268">
        <f t="shared" ref="M13:Y13" si="3">($B$18*M5+$B$21*M6+$B$22*M7+$B$24*M9)/M10</f>
        <v>6.25</v>
      </c>
      <c r="N13" s="268">
        <f t="shared" si="3"/>
        <v>7.4666666666666659</v>
      </c>
      <c r="O13" s="268">
        <f t="shared" si="3"/>
        <v>6.8999999999999995</v>
      </c>
      <c r="P13" s="268">
        <f t="shared" si="3"/>
        <v>6.1166666666666671</v>
      </c>
      <c r="Q13" s="268">
        <f t="shared" si="3"/>
        <v>5.8999999999999995</v>
      </c>
      <c r="R13" s="268">
        <f t="shared" si="3"/>
        <v>6.333333333333333</v>
      </c>
      <c r="S13" s="268">
        <f t="shared" si="3"/>
        <v>5.833333333333333</v>
      </c>
      <c r="T13" s="268">
        <f t="shared" si="3"/>
        <v>5.7</v>
      </c>
      <c r="U13" s="268">
        <f t="shared" si="3"/>
        <v>5.6333333333333329</v>
      </c>
      <c r="V13" s="268">
        <f t="shared" si="3"/>
        <v>5.416666666666667</v>
      </c>
      <c r="W13" s="268">
        <f t="shared" si="3"/>
        <v>4.5666666666666664</v>
      </c>
      <c r="X13" s="268">
        <f t="shared" si="3"/>
        <v>4.3500000000000005</v>
      </c>
      <c r="Y13" s="268">
        <f t="shared" si="3"/>
        <v>3.7833333333333332</v>
      </c>
      <c r="Z13" s="242">
        <v>3.5</v>
      </c>
      <c r="AA13" s="269" t="s">
        <v>187</v>
      </c>
      <c r="AB13" s="270" t="s">
        <v>185</v>
      </c>
      <c r="AC13" s="270" t="s">
        <v>184</v>
      </c>
      <c r="AD13" s="271" t="s">
        <v>186</v>
      </c>
      <c r="AE13" s="272" t="s">
        <v>175</v>
      </c>
      <c r="AF13" s="273" t="s">
        <v>176</v>
      </c>
      <c r="AG13" s="273" t="s">
        <v>191</v>
      </c>
      <c r="AH13" s="273" t="s">
        <v>177</v>
      </c>
      <c r="AI13" s="273" t="s">
        <v>177</v>
      </c>
      <c r="AJ13" s="273" t="s">
        <v>178</v>
      </c>
      <c r="AK13" s="273" t="s">
        <v>178</v>
      </c>
    </row>
    <row r="14" spans="1:37" s="205" customFormat="1">
      <c r="A14" s="205" t="s">
        <v>169</v>
      </c>
      <c r="B14" s="205" t="s">
        <v>167</v>
      </c>
      <c r="C14" s="205" t="s">
        <v>168</v>
      </c>
      <c r="F14" s="259" t="s">
        <v>150</v>
      </c>
      <c r="G14" s="260">
        <f>($C$18*G5+$C$21*G6+$C$22*G7+$C$24*G9)/G10</f>
        <v>3.9</v>
      </c>
      <c r="H14" s="260">
        <f>($C$18*H5+$C$21*H6+$C$22*H7+$C$24*H9)/H10</f>
        <v>12</v>
      </c>
      <c r="I14" s="260">
        <f>($C$18*I5+$C$21*I6+$C$22*I7+$C$24*I9)/I10</f>
        <v>22</v>
      </c>
      <c r="J14" s="260">
        <v>27</v>
      </c>
      <c r="K14" s="260">
        <f t="shared" ref="K14:Z14" si="4">($C$18*K5+$C$21*K6+$C$22*K7+$C$24*K9)/K10</f>
        <v>80</v>
      </c>
      <c r="L14" s="260">
        <f t="shared" si="4"/>
        <v>3.9</v>
      </c>
      <c r="M14" s="257">
        <f t="shared" si="4"/>
        <v>41.949999999999996</v>
      </c>
      <c r="N14" s="257">
        <f t="shared" si="4"/>
        <v>12.633333333333333</v>
      </c>
      <c r="O14" s="257">
        <f t="shared" si="4"/>
        <v>31.966666666666669</v>
      </c>
      <c r="P14" s="257">
        <f t="shared" si="4"/>
        <v>43.300000000000004</v>
      </c>
      <c r="Q14" s="257">
        <f t="shared" si="4"/>
        <v>35.300000000000004</v>
      </c>
      <c r="R14" s="257">
        <f t="shared" si="4"/>
        <v>17.316666666666666</v>
      </c>
      <c r="S14" s="257">
        <f t="shared" si="4"/>
        <v>18.983333333333334</v>
      </c>
      <c r="T14" s="257">
        <f t="shared" si="4"/>
        <v>20.333333333333332</v>
      </c>
      <c r="U14" s="257">
        <f t="shared" si="4"/>
        <v>38</v>
      </c>
      <c r="V14" s="257">
        <f t="shared" si="4"/>
        <v>30</v>
      </c>
      <c r="W14" s="257">
        <f t="shared" si="4"/>
        <v>59</v>
      </c>
      <c r="X14" s="257">
        <f t="shared" si="4"/>
        <v>51</v>
      </c>
      <c r="Y14" s="257">
        <f t="shared" si="4"/>
        <v>70.333333333333329</v>
      </c>
      <c r="Z14" s="260">
        <f t="shared" si="4"/>
        <v>80</v>
      </c>
      <c r="AA14" s="206">
        <v>80</v>
      </c>
      <c r="AB14" s="206">
        <v>80</v>
      </c>
      <c r="AC14" s="206">
        <v>80</v>
      </c>
      <c r="AD14" s="206"/>
      <c r="AE14" s="206"/>
      <c r="AF14" s="207"/>
      <c r="AG14" s="207"/>
      <c r="AH14" s="207"/>
      <c r="AI14" s="207"/>
      <c r="AJ14" s="207"/>
    </row>
    <row r="15" spans="1:37" s="208" customFormat="1" ht="24">
      <c r="F15" s="209" t="s">
        <v>230</v>
      </c>
      <c r="G15" s="227">
        <f>$C$22*$C$24*G5/G10</f>
        <v>1760</v>
      </c>
      <c r="H15" s="227">
        <f>$C$20*$C$24*H5/H10</f>
        <v>0</v>
      </c>
      <c r="I15" s="227">
        <f>$C$22*$C$24*I5/I10</f>
        <v>0</v>
      </c>
      <c r="J15" s="227">
        <f>$C$23*$C$24*J5/J10</f>
        <v>0</v>
      </c>
      <c r="K15" s="227">
        <f>$C$22*$C$24*K5/K10</f>
        <v>0</v>
      </c>
      <c r="L15" s="227">
        <f>$C$22*$C$24*L5/L10</f>
        <v>1760</v>
      </c>
      <c r="M15" s="227">
        <f>$C$22*$C$24*M5/M10</f>
        <v>880</v>
      </c>
      <c r="N15" s="215">
        <f>$C$21*$C$22*N5/N10</f>
        <v>88</v>
      </c>
      <c r="O15" s="226">
        <f>$C$21*$C$24*O5/O10</f>
        <v>320</v>
      </c>
      <c r="P15" s="226">
        <f>$C$21*$C$24*P5/P10</f>
        <v>320</v>
      </c>
      <c r="Q15" s="227">
        <f>$C$22*$C$24*Q5/Q10</f>
        <v>586.66666666666663</v>
      </c>
      <c r="R15" s="215">
        <f>$C$21*$C$22*R5/R10</f>
        <v>44</v>
      </c>
      <c r="S15" s="215">
        <f>$C$21*$C$22*S5/S10</f>
        <v>44</v>
      </c>
      <c r="T15" s="215">
        <f>$C$21*$C$22*T5/T10</f>
        <v>0</v>
      </c>
      <c r="U15" s="116">
        <f>$C$22*$C$24*U6/U10</f>
        <v>586.66666666666663</v>
      </c>
      <c r="V15" s="116">
        <f>$C$22*$C$24*V6/V10</f>
        <v>293.33333333333331</v>
      </c>
      <c r="W15" s="116">
        <f>$C$22*$C$24*W6/W10</f>
        <v>293.33333333333331</v>
      </c>
      <c r="X15" s="227">
        <f>$C$22*$C$24*X5/X10</f>
        <v>0</v>
      </c>
      <c r="Y15" s="227">
        <f>$C$22*$C$24*Y5/Y10</f>
        <v>0</v>
      </c>
      <c r="Z15" s="210">
        <f>$C$22*$C$24*Z6/Z10</f>
        <v>0</v>
      </c>
      <c r="AA15" s="210"/>
      <c r="AB15" s="210"/>
      <c r="AC15" s="210"/>
      <c r="AD15" s="210"/>
      <c r="AE15" s="210"/>
      <c r="AF15" s="211"/>
      <c r="AG15" s="211"/>
      <c r="AH15" s="211"/>
      <c r="AI15" s="211"/>
      <c r="AJ15" s="211"/>
    </row>
    <row r="16" spans="1:37" s="208" customFormat="1" ht="24">
      <c r="F16" s="209" t="s">
        <v>232</v>
      </c>
      <c r="G16" s="227">
        <f>$C$18*$C$24*G7/G10</f>
        <v>0</v>
      </c>
      <c r="H16" s="227">
        <f>$C$18*$C$24*H6/H10</f>
        <v>312</v>
      </c>
      <c r="I16" s="227">
        <f>$C$18*$C$24*I7/I10</f>
        <v>312</v>
      </c>
      <c r="J16" s="227">
        <f>$C$18*$C$24*J8/J10</f>
        <v>312</v>
      </c>
      <c r="K16" s="227">
        <f>$C$18*$C$24*K7/K10</f>
        <v>0</v>
      </c>
      <c r="L16" s="227">
        <f>$C$18*$C$24*L7/L10</f>
        <v>0</v>
      </c>
      <c r="M16" s="227">
        <f>$C$18*$C$24*M7/M10</f>
        <v>0</v>
      </c>
      <c r="N16" s="215">
        <f>$C$18*$C$22*N6/N10</f>
        <v>28.599999999999998</v>
      </c>
      <c r="O16" s="226">
        <f>$C$18*$C$24*O6/O10</f>
        <v>104</v>
      </c>
      <c r="P16" s="226">
        <f>$C$18*$C$24*P6/P10</f>
        <v>52</v>
      </c>
      <c r="Q16" s="227">
        <f>$C$18*$C$24*Q7/Q10</f>
        <v>104</v>
      </c>
      <c r="R16" s="215">
        <f>$C$18*$C$22*R6/R10</f>
        <v>14.299999999999999</v>
      </c>
      <c r="S16" s="215">
        <f>$C$18*$C$22*S6/S10</f>
        <v>0</v>
      </c>
      <c r="T16" s="215">
        <f>$C$18*$C$22*T6/T10</f>
        <v>14.299999999999999</v>
      </c>
      <c r="U16" s="116">
        <f>$C$21*$C$24*U7/U10</f>
        <v>320</v>
      </c>
      <c r="V16" s="116">
        <f>$C$21*$C$24*V7/V10</f>
        <v>640</v>
      </c>
      <c r="W16" s="116">
        <f>$C$21*$C$24*W7/W10</f>
        <v>160</v>
      </c>
      <c r="X16" s="227">
        <f>$C$18*$C$24*X7/X10</f>
        <v>156</v>
      </c>
      <c r="Y16" s="227">
        <f>$C$18*$C$24*Y7/Y10</f>
        <v>52</v>
      </c>
      <c r="Z16" s="210">
        <f>$C$21*$C$24*Z7/Z10</f>
        <v>0</v>
      </c>
      <c r="AA16" s="210"/>
      <c r="AB16" s="210"/>
      <c r="AC16" s="210"/>
      <c r="AD16" s="210"/>
      <c r="AE16" s="210"/>
      <c r="AF16" s="211"/>
      <c r="AG16" s="211"/>
      <c r="AH16" s="211"/>
      <c r="AI16" s="211"/>
      <c r="AJ16" s="211"/>
    </row>
    <row r="17" spans="1:37" s="208" customFormat="1" ht="24">
      <c r="F17" s="209" t="s">
        <v>231</v>
      </c>
      <c r="G17" s="227">
        <f>$C$18*$C$22*G9/G10</f>
        <v>0</v>
      </c>
      <c r="H17" s="227">
        <f>$C$18*$C$22*H9/H10</f>
        <v>0</v>
      </c>
      <c r="I17" s="227">
        <f>$C$18*$C$22*I9/I10</f>
        <v>0</v>
      </c>
      <c r="J17" s="227">
        <f>$C$18*$C$23*J9/J10</f>
        <v>0</v>
      </c>
      <c r="K17" s="227">
        <f>$C$18*$C$22*K9/K10</f>
        <v>85.8</v>
      </c>
      <c r="L17" s="227">
        <f>$C$18*$C$22*L9/L10</f>
        <v>0</v>
      </c>
      <c r="M17" s="227">
        <f>$C$18*$C$22*M9/M10</f>
        <v>42.9</v>
      </c>
      <c r="N17" s="215">
        <f>$C$21*$C$18*N7/N10</f>
        <v>15.6</v>
      </c>
      <c r="O17" s="226">
        <f>$C$18*$C$21*O9/O10</f>
        <v>15.6</v>
      </c>
      <c r="P17" s="226">
        <f>$C$18*$C$21*P9/P10</f>
        <v>23.399999999999995</v>
      </c>
      <c r="Q17" s="227">
        <f>$C$18*$C$22*Q9/Q10</f>
        <v>28.599999999999998</v>
      </c>
      <c r="R17" s="215">
        <f>$C$21*$C$18*R7/R10</f>
        <v>31.2</v>
      </c>
      <c r="S17" s="215">
        <f>$C$21*$C$18*S7/S10</f>
        <v>39</v>
      </c>
      <c r="T17" s="215">
        <f>$C$21*$C$18*T7/T10</f>
        <v>39</v>
      </c>
      <c r="U17" s="116">
        <f>$C$22*$C$21*U9/U10</f>
        <v>88</v>
      </c>
      <c r="V17" s="116">
        <f>$C$22*$C$21*V9/V10</f>
        <v>44</v>
      </c>
      <c r="W17" s="116">
        <f>$C$22*$C$21*W9/W10</f>
        <v>176</v>
      </c>
      <c r="X17" s="227">
        <f>$C$18*$C$22*X9/X10</f>
        <v>42.9</v>
      </c>
      <c r="Y17" s="227">
        <f>$C$18*$C$22*Y9/Y10</f>
        <v>71.5</v>
      </c>
      <c r="Z17" s="210">
        <f>$C$22*$C$21*Z9/Z10</f>
        <v>264</v>
      </c>
      <c r="AA17" s="210"/>
      <c r="AB17" s="210"/>
      <c r="AC17" s="210"/>
      <c r="AD17" s="210"/>
      <c r="AE17" s="210"/>
      <c r="AF17" s="211"/>
      <c r="AG17" s="211"/>
      <c r="AH17" s="211"/>
      <c r="AI17" s="211"/>
      <c r="AJ17" s="211"/>
    </row>
    <row r="18" spans="1:37" ht="15.75">
      <c r="A18" s="48" t="s">
        <v>23</v>
      </c>
      <c r="B18" s="48">
        <v>9</v>
      </c>
      <c r="C18" s="48">
        <v>3.9</v>
      </c>
      <c r="D18" s="212" t="s">
        <v>233</v>
      </c>
      <c r="E18" s="109" t="s">
        <v>258</v>
      </c>
      <c r="F18" s="109" t="s">
        <v>257</v>
      </c>
      <c r="G18" s="167">
        <v>0.53180000000000005</v>
      </c>
      <c r="H18" s="167">
        <v>0.75160000000000005</v>
      </c>
      <c r="I18" s="167">
        <v>0.86729999999999996</v>
      </c>
      <c r="J18" s="167">
        <v>0.88529999999999998</v>
      </c>
      <c r="K18" s="167">
        <v>0.94210000000000005</v>
      </c>
      <c r="L18" s="167">
        <f t="shared" ref="L18:L27" si="5">G18</f>
        <v>0.53180000000000005</v>
      </c>
      <c r="M18" s="167">
        <v>0.72519999999999996</v>
      </c>
      <c r="N18" s="167">
        <v>0.70120000000000005</v>
      </c>
      <c r="O18" s="167">
        <v>0.73119999999999996</v>
      </c>
      <c r="P18" s="167">
        <v>0.7631</v>
      </c>
      <c r="Q18" s="167">
        <v>0.76880000000000004</v>
      </c>
      <c r="R18" s="167">
        <v>0.78169999999999995</v>
      </c>
      <c r="S18" s="167">
        <v>0.80010000000000003</v>
      </c>
      <c r="T18" s="167">
        <v>0.84470000000000001</v>
      </c>
      <c r="U18" s="167">
        <v>0.84970000000000001</v>
      </c>
      <c r="V18" s="167">
        <v>0.85799999999999998</v>
      </c>
      <c r="W18" s="167">
        <v>0.8952</v>
      </c>
      <c r="X18" s="167">
        <v>0.90269999999999995</v>
      </c>
      <c r="Y18" s="167">
        <v>0.92789999999999995</v>
      </c>
      <c r="Z18" s="167">
        <f t="shared" ref="Z18:Z27" si="6">K18</f>
        <v>0.94210000000000005</v>
      </c>
      <c r="AA18" s="156">
        <v>1.0038</v>
      </c>
      <c r="AB18" s="156">
        <v>1.0028999999999999</v>
      </c>
      <c r="AC18" s="156">
        <v>1.008</v>
      </c>
      <c r="AD18" s="152">
        <f>(AB18-AC18)/AB18</f>
        <v>-5.0852527669758745E-3</v>
      </c>
      <c r="AE18" s="147">
        <v>0.92800000000000005</v>
      </c>
      <c r="AF18" s="141">
        <f t="shared" ref="AF18:AF27" si="7">($AE18-H18)/H18</f>
        <v>0.23469930814262904</v>
      </c>
      <c r="AG18" s="141"/>
      <c r="AH18" s="141">
        <f t="shared" ref="AH18:AH27" si="8">($AE18-I18)/I18</f>
        <v>6.998731696068268E-2</v>
      </c>
      <c r="AI18" s="141"/>
      <c r="AJ18" s="141">
        <f t="shared" ref="AJ18:AJ27" si="9">($AE18-K18)/K18</f>
        <v>-1.496656405901709E-2</v>
      </c>
    </row>
    <row r="19" spans="1:37" ht="15.75">
      <c r="A19" s="48" t="s">
        <v>170</v>
      </c>
      <c r="B19" s="48">
        <v>4.5999999999999996</v>
      </c>
      <c r="C19" s="48">
        <v>7.5</v>
      </c>
      <c r="E19" s="109" t="s">
        <v>259</v>
      </c>
      <c r="F19" s="109" t="s">
        <v>260</v>
      </c>
      <c r="G19" s="167">
        <v>89.6</v>
      </c>
      <c r="H19" s="167">
        <v>87.8</v>
      </c>
      <c r="I19" s="167">
        <v>82.5</v>
      </c>
      <c r="J19" s="167">
        <v>81.8</v>
      </c>
      <c r="K19" s="167">
        <v>76.2</v>
      </c>
      <c r="L19" s="167">
        <f t="shared" si="5"/>
        <v>89.6</v>
      </c>
      <c r="M19" s="167">
        <v>77.099999999999994</v>
      </c>
      <c r="N19" s="167">
        <v>82.6</v>
      </c>
      <c r="O19" s="167">
        <v>78.900000000000006</v>
      </c>
      <c r="P19" s="167">
        <v>76.2</v>
      </c>
      <c r="Q19" s="167">
        <v>76.8</v>
      </c>
      <c r="R19" s="167">
        <v>81.099999999999994</v>
      </c>
      <c r="S19" s="167">
        <v>81.7</v>
      </c>
      <c r="T19" s="167">
        <v>82</v>
      </c>
      <c r="U19" s="167">
        <v>79</v>
      </c>
      <c r="V19" s="167">
        <v>80.3</v>
      </c>
      <c r="W19" s="167">
        <v>78.3</v>
      </c>
      <c r="X19" s="167">
        <v>79.8</v>
      </c>
      <c r="Y19" s="167">
        <v>77</v>
      </c>
      <c r="Z19" s="167">
        <f t="shared" si="6"/>
        <v>76.2</v>
      </c>
      <c r="AA19" s="156">
        <v>56.8</v>
      </c>
      <c r="AB19" s="156">
        <v>56.1</v>
      </c>
      <c r="AC19" s="156">
        <v>59</v>
      </c>
      <c r="AD19" s="152">
        <f t="shared" ref="AD19:AD27" si="10">(AB19-AC19)/AB19</f>
        <v>-5.169340463458108E-2</v>
      </c>
      <c r="AE19" s="147">
        <v>58.3</v>
      </c>
      <c r="AF19" s="141">
        <f t="shared" si="7"/>
        <v>-0.33599088838268792</v>
      </c>
      <c r="AG19" s="141"/>
      <c r="AH19" s="141">
        <f t="shared" si="8"/>
        <v>-0.29333333333333339</v>
      </c>
      <c r="AI19" s="141"/>
      <c r="AJ19" s="141">
        <f t="shared" si="9"/>
        <v>-0.23490813648293971</v>
      </c>
    </row>
    <row r="20" spans="1:37" ht="15.75">
      <c r="A20" s="48" t="s">
        <v>39</v>
      </c>
      <c r="B20" s="48"/>
      <c r="C20" s="48">
        <v>12</v>
      </c>
      <c r="F20" s="109" t="s">
        <v>143</v>
      </c>
      <c r="G20" s="167">
        <v>89.5</v>
      </c>
      <c r="H20" s="167">
        <v>88.1</v>
      </c>
      <c r="I20" s="167">
        <v>82.8</v>
      </c>
      <c r="J20" s="167">
        <v>82.1</v>
      </c>
      <c r="K20" s="167">
        <v>75</v>
      </c>
      <c r="L20" s="167">
        <f t="shared" si="5"/>
        <v>89.5</v>
      </c>
      <c r="M20" s="167">
        <v>77.3</v>
      </c>
      <c r="N20" s="167">
        <v>82.7</v>
      </c>
      <c r="O20" s="167">
        <v>-1099.8</v>
      </c>
      <c r="P20" s="167">
        <v>76.3</v>
      </c>
      <c r="Q20" s="167">
        <v>76.900000000000006</v>
      </c>
      <c r="R20" s="167">
        <v>81.400000000000006</v>
      </c>
      <c r="S20" s="167">
        <v>81.900000000000006</v>
      </c>
      <c r="T20" s="167">
        <v>82.4</v>
      </c>
      <c r="U20" s="167">
        <v>79.3</v>
      </c>
      <c r="V20" s="167">
        <v>80.7</v>
      </c>
      <c r="W20" s="167">
        <v>78.400000000000006</v>
      </c>
      <c r="X20" s="167">
        <v>80</v>
      </c>
      <c r="Y20" s="167">
        <v>76.2</v>
      </c>
      <c r="Z20" s="167">
        <f t="shared" si="6"/>
        <v>75</v>
      </c>
      <c r="AA20" s="156">
        <v>56.7</v>
      </c>
      <c r="AB20" s="156">
        <v>55.7</v>
      </c>
      <c r="AC20" s="156">
        <v>58.9</v>
      </c>
      <c r="AD20" s="152">
        <f t="shared" si="10"/>
        <v>-5.7450628366247675E-2</v>
      </c>
      <c r="AE20" s="147">
        <v>57.8</v>
      </c>
      <c r="AF20" s="141">
        <f t="shared" si="7"/>
        <v>-0.34392735527809304</v>
      </c>
      <c r="AG20" s="141"/>
      <c r="AH20" s="141">
        <f t="shared" si="8"/>
        <v>-0.30193236714975846</v>
      </c>
      <c r="AI20" s="141"/>
      <c r="AJ20" s="141">
        <f t="shared" si="9"/>
        <v>-0.22933333333333336</v>
      </c>
    </row>
    <row r="21" spans="1:37" ht="15.75">
      <c r="A21" s="48" t="s">
        <v>25</v>
      </c>
      <c r="B21" s="48">
        <v>8.1999999999999993</v>
      </c>
      <c r="C21" s="48">
        <v>12</v>
      </c>
      <c r="D21" s="212" t="s">
        <v>234</v>
      </c>
      <c r="E21" s="109" t="s">
        <v>261</v>
      </c>
      <c r="F21" s="109" t="s">
        <v>262</v>
      </c>
      <c r="G21" s="167">
        <v>19.3</v>
      </c>
      <c r="H21" s="167">
        <v>13.13</v>
      </c>
      <c r="I21" s="167">
        <v>8.8699999999999992</v>
      </c>
      <c r="J21" s="167">
        <v>7.57</v>
      </c>
      <c r="K21" s="167">
        <v>5.04</v>
      </c>
      <c r="L21" s="167">
        <f t="shared" si="5"/>
        <v>19.3</v>
      </c>
      <c r="M21" s="167">
        <v>12.7</v>
      </c>
      <c r="N21" s="167">
        <v>15.22</v>
      </c>
      <c r="O21" s="167">
        <v>12.52</v>
      </c>
      <c r="P21" s="167">
        <v>9.74</v>
      </c>
      <c r="Q21" s="167">
        <v>9.48</v>
      </c>
      <c r="R21" s="167">
        <v>9.3000000000000007</v>
      </c>
      <c r="S21" s="167">
        <v>8.43</v>
      </c>
      <c r="T21" s="167">
        <v>9.83</v>
      </c>
      <c r="U21" s="167">
        <v>8.8699999999999992</v>
      </c>
      <c r="V21" s="167">
        <v>8.6999999999999993</v>
      </c>
      <c r="W21" s="167">
        <v>6.43</v>
      </c>
      <c r="X21" s="167">
        <v>6.17</v>
      </c>
      <c r="Y21" s="167">
        <v>5.48</v>
      </c>
      <c r="Z21" s="167">
        <f t="shared" si="6"/>
        <v>5.04</v>
      </c>
      <c r="AA21" s="156">
        <v>7.39</v>
      </c>
      <c r="AB21" s="156">
        <v>7.48</v>
      </c>
      <c r="AC21" s="156">
        <v>6.96</v>
      </c>
      <c r="AD21" s="152">
        <f t="shared" si="10"/>
        <v>6.9518716577540163E-2</v>
      </c>
      <c r="AE21" s="147">
        <v>6.87</v>
      </c>
      <c r="AF21" s="141">
        <f t="shared" si="7"/>
        <v>-0.47677075399847679</v>
      </c>
      <c r="AG21" s="102" t="s">
        <v>182</v>
      </c>
      <c r="AH21" s="141">
        <f t="shared" si="8"/>
        <v>-0.22547914317925583</v>
      </c>
      <c r="AI21" s="102" t="s">
        <v>181</v>
      </c>
      <c r="AJ21" s="141">
        <f t="shared" si="9"/>
        <v>0.36309523809523808</v>
      </c>
      <c r="AK21" s="102" t="s">
        <v>180</v>
      </c>
    </row>
    <row r="22" spans="1:37" ht="15.75">
      <c r="A22" s="48" t="s">
        <v>21</v>
      </c>
      <c r="B22" s="48">
        <v>5.2</v>
      </c>
      <c r="C22" s="48">
        <v>22</v>
      </c>
      <c r="F22" s="109" t="s">
        <v>12</v>
      </c>
      <c r="G22" s="230">
        <v>9.9999999999999998E-13</v>
      </c>
      <c r="H22" s="230">
        <v>1E-14</v>
      </c>
      <c r="I22" s="230">
        <v>9.9999999999999998E-17</v>
      </c>
      <c r="J22" s="230">
        <v>9.9999999999999998E-17</v>
      </c>
      <c r="K22" s="230">
        <v>1.0000000000000001E-17</v>
      </c>
      <c r="L22" s="230">
        <f t="shared" si="5"/>
        <v>9.9999999999999998E-13</v>
      </c>
      <c r="M22" s="230">
        <v>1.0000000000000001E-15</v>
      </c>
      <c r="N22" s="230">
        <v>1E-14</v>
      </c>
      <c r="O22" s="230">
        <v>1.0000000000000001E-15</v>
      </c>
      <c r="P22" s="230">
        <v>9.9999999999999998E-17</v>
      </c>
      <c r="Q22" s="230">
        <v>1.0000000000000001E-15</v>
      </c>
      <c r="R22" s="230">
        <v>1.0000000000000001E-15</v>
      </c>
      <c r="S22" s="230">
        <v>1.0000000000000001E-15</v>
      </c>
      <c r="T22" s="230">
        <v>9.9999999999999998E-17</v>
      </c>
      <c r="U22" s="230">
        <v>9.9999999999999998E-17</v>
      </c>
      <c r="V22" s="230">
        <v>9.9999999999999998E-17</v>
      </c>
      <c r="W22" s="230">
        <v>1.0000000000000001E-17</v>
      </c>
      <c r="X22" s="230">
        <v>1.0000000000000001E-17</v>
      </c>
      <c r="Y22" s="230">
        <v>1.0000000000000001E-17</v>
      </c>
      <c r="Z22" s="230">
        <f t="shared" si="6"/>
        <v>1.0000000000000001E-17</v>
      </c>
      <c r="AA22" s="157">
        <v>9.9999999999999994E-30</v>
      </c>
      <c r="AB22" s="157">
        <v>1.0000000000000001E-31</v>
      </c>
      <c r="AC22" s="157">
        <v>9.9999999999999996E-24</v>
      </c>
      <c r="AD22" s="152">
        <f t="shared" si="10"/>
        <v>-99999999</v>
      </c>
      <c r="AE22" s="148">
        <v>9.9999999999999991E-22</v>
      </c>
      <c r="AF22" s="141">
        <f t="shared" si="7"/>
        <v>-0.99999990000000005</v>
      </c>
      <c r="AG22" s="141"/>
      <c r="AH22" s="141">
        <f t="shared" si="8"/>
        <v>-0.99998999999999993</v>
      </c>
      <c r="AI22" s="141"/>
      <c r="AJ22" s="141">
        <f t="shared" si="9"/>
        <v>-0.99990000000000001</v>
      </c>
    </row>
    <row r="23" spans="1:37" ht="15.75">
      <c r="A23" s="48" t="s">
        <v>26</v>
      </c>
      <c r="B23" s="48">
        <v>5.6</v>
      </c>
      <c r="C23" s="48">
        <v>30</v>
      </c>
      <c r="F23" s="109" t="s">
        <v>144</v>
      </c>
      <c r="G23" s="230">
        <v>9.9999999999999995E-8</v>
      </c>
      <c r="H23" s="230">
        <v>9.9999999999999995E-8</v>
      </c>
      <c r="I23" s="230">
        <v>9.9999999999999995E-8</v>
      </c>
      <c r="J23" s="230">
        <v>9.9999999999999995E-8</v>
      </c>
      <c r="K23" s="230">
        <v>9.9999999999999995E-8</v>
      </c>
      <c r="L23" s="230">
        <f t="shared" si="5"/>
        <v>9.9999999999999995E-8</v>
      </c>
      <c r="M23" s="230">
        <v>9.9999999999999995E-8</v>
      </c>
      <c r="N23" s="230">
        <v>9.9999999999999995E-8</v>
      </c>
      <c r="O23" s="230">
        <v>9.9999999999999995E-8</v>
      </c>
      <c r="P23" s="230">
        <v>9.9999999999999995E-8</v>
      </c>
      <c r="Q23" s="230">
        <v>9.9999999999999995E-8</v>
      </c>
      <c r="R23" s="230">
        <v>9.9999999999999995E-8</v>
      </c>
      <c r="S23" s="230">
        <v>9.9999999999999995E-8</v>
      </c>
      <c r="T23" s="230">
        <v>9.9999999999999995E-8</v>
      </c>
      <c r="U23" s="230">
        <v>9.9999999999999995E-8</v>
      </c>
      <c r="V23" s="230">
        <v>9.9999999999999995E-8</v>
      </c>
      <c r="W23" s="230">
        <v>9.9999999999999995E-8</v>
      </c>
      <c r="X23" s="230">
        <v>9.9999999999999995E-8</v>
      </c>
      <c r="Y23" s="230">
        <v>9.9999999999999995E-8</v>
      </c>
      <c r="Z23" s="230">
        <f t="shared" si="6"/>
        <v>9.9999999999999995E-8</v>
      </c>
      <c r="AA23" s="157">
        <v>9.9999999999999995E-8</v>
      </c>
      <c r="AB23" s="157">
        <v>9.9999999999999995E-8</v>
      </c>
      <c r="AC23" s="157">
        <v>9.9999999999999995E-8</v>
      </c>
      <c r="AD23" s="152">
        <f t="shared" si="10"/>
        <v>0</v>
      </c>
      <c r="AE23" s="148">
        <v>9.9999999999999995E-8</v>
      </c>
      <c r="AF23" s="141">
        <f t="shared" si="7"/>
        <v>0</v>
      </c>
      <c r="AG23" s="141"/>
      <c r="AH23" s="141">
        <f t="shared" si="8"/>
        <v>0</v>
      </c>
      <c r="AI23" s="141"/>
      <c r="AJ23" s="141">
        <f t="shared" si="9"/>
        <v>0</v>
      </c>
    </row>
    <row r="24" spans="1:37" ht="15.75">
      <c r="A24" s="48" t="s">
        <v>20</v>
      </c>
      <c r="B24" s="48">
        <v>3.5</v>
      </c>
      <c r="C24" s="48">
        <v>80</v>
      </c>
      <c r="D24" s="212" t="s">
        <v>235</v>
      </c>
      <c r="F24" s="109" t="s">
        <v>242</v>
      </c>
      <c r="G24" s="230">
        <v>100000</v>
      </c>
      <c r="H24" s="230">
        <v>10000000</v>
      </c>
      <c r="I24" s="230">
        <v>1000000000</v>
      </c>
      <c r="J24" s="230">
        <v>1000000000</v>
      </c>
      <c r="K24" s="230">
        <v>10000000000</v>
      </c>
      <c r="L24" s="230">
        <f t="shared" si="5"/>
        <v>100000</v>
      </c>
      <c r="M24" s="230">
        <v>100000000</v>
      </c>
      <c r="N24" s="230">
        <v>10000000</v>
      </c>
      <c r="O24" s="230">
        <v>100000000</v>
      </c>
      <c r="P24" s="230">
        <v>1000000000</v>
      </c>
      <c r="Q24" s="230">
        <v>100000000</v>
      </c>
      <c r="R24" s="230">
        <v>100000000</v>
      </c>
      <c r="S24" s="230">
        <v>100000000</v>
      </c>
      <c r="T24" s="230">
        <v>1000000000</v>
      </c>
      <c r="U24" s="230">
        <v>1000000000</v>
      </c>
      <c r="V24" s="230">
        <v>1000000000</v>
      </c>
      <c r="W24" s="230">
        <v>10000000000</v>
      </c>
      <c r="X24" s="230">
        <v>10000000000</v>
      </c>
      <c r="Y24" s="230">
        <v>10000000000</v>
      </c>
      <c r="Z24" s="230">
        <f t="shared" si="6"/>
        <v>10000000000</v>
      </c>
      <c r="AA24" s="157">
        <v>1E+22</v>
      </c>
      <c r="AB24" s="157">
        <v>9.9999999999999998E+23</v>
      </c>
      <c r="AC24" s="157">
        <v>1E+16</v>
      </c>
      <c r="AD24" s="152">
        <f t="shared" si="10"/>
        <v>0.99999998999999995</v>
      </c>
      <c r="AE24" s="148">
        <v>100000000000000</v>
      </c>
      <c r="AF24" s="141">
        <f t="shared" si="7"/>
        <v>9999999</v>
      </c>
      <c r="AG24" s="141"/>
      <c r="AH24" s="141">
        <f t="shared" si="8"/>
        <v>99999</v>
      </c>
      <c r="AI24" s="141"/>
      <c r="AJ24" s="141">
        <f t="shared" si="9"/>
        <v>9999</v>
      </c>
    </row>
    <row r="25" spans="1:37">
      <c r="E25" s="109" t="s">
        <v>264</v>
      </c>
      <c r="F25" s="109" t="s">
        <v>263</v>
      </c>
      <c r="G25" s="230">
        <v>3.5498819279999998E-14</v>
      </c>
      <c r="H25" s="230">
        <v>4.2785692460000002E-16</v>
      </c>
      <c r="I25" s="230">
        <v>1.37294566E-17</v>
      </c>
      <c r="J25" s="230">
        <v>6.9021704639999997E-18</v>
      </c>
      <c r="K25" s="230">
        <v>3.2121096930000001E-19</v>
      </c>
      <c r="L25" s="230">
        <f t="shared" si="5"/>
        <v>3.5498819279999998E-14</v>
      </c>
      <c r="M25" s="230">
        <v>4.4236330220000001E-17</v>
      </c>
      <c r="N25" s="230">
        <v>3.2885927990000001E-16</v>
      </c>
      <c r="O25" s="230">
        <v>7.9159222519999996E-17</v>
      </c>
      <c r="P25" s="230">
        <v>1.7175918300000001E-17</v>
      </c>
      <c r="Q25" s="230">
        <v>1.844024602E-17</v>
      </c>
      <c r="R25" s="230">
        <v>4.7632356960000001E-17</v>
      </c>
      <c r="S25" s="230">
        <v>2.8082815860000003E-17</v>
      </c>
      <c r="T25" s="230">
        <v>1.9365883659999999E-17</v>
      </c>
      <c r="U25" s="230">
        <v>6.4873805830000003E-18</v>
      </c>
      <c r="V25" s="230">
        <v>8.3604322150000003E-18</v>
      </c>
      <c r="W25" s="230">
        <v>1.049373011E-18</v>
      </c>
      <c r="X25" s="230">
        <v>1.6351807910000001E-18</v>
      </c>
      <c r="Y25" s="230">
        <v>5.2241631520000003E-19</v>
      </c>
      <c r="Z25" s="230">
        <f t="shared" si="6"/>
        <v>3.2121096930000001E-19</v>
      </c>
      <c r="AA25" s="157">
        <v>7.033988107E-32</v>
      </c>
      <c r="AB25" s="157">
        <v>4.4730253240000003E-33</v>
      </c>
      <c r="AC25" s="157">
        <v>3.8688353129999998E-24</v>
      </c>
      <c r="AD25" s="152">
        <f t="shared" si="10"/>
        <v>-864925867.45904458</v>
      </c>
      <c r="AE25" s="148">
        <v>4.4519499929999999E-23</v>
      </c>
      <c r="AF25" s="141">
        <f t="shared" si="7"/>
        <v>-0.99999989594769334</v>
      </c>
      <c r="AG25" s="141"/>
      <c r="AH25" s="141">
        <f t="shared" si="8"/>
        <v>-0.99999675737349059</v>
      </c>
      <c r="AI25" s="141"/>
      <c r="AJ25" s="141">
        <f t="shared" si="9"/>
        <v>-0.99986140105978638</v>
      </c>
    </row>
    <row r="26" spans="1:37">
      <c r="E26" s="109" t="s">
        <v>265</v>
      </c>
      <c r="F26" s="109" t="s">
        <v>266</v>
      </c>
      <c r="G26" s="230">
        <v>2.0045235509999999E-5</v>
      </c>
      <c r="H26" s="230">
        <v>1.870040223E-5</v>
      </c>
      <c r="I26" s="230">
        <v>1.1713095980000001E-5</v>
      </c>
      <c r="J26" s="230">
        <v>1.423963863E-5</v>
      </c>
      <c r="K26" s="230">
        <v>1.372821104E-5</v>
      </c>
      <c r="L26" s="230">
        <f t="shared" si="5"/>
        <v>2.0045235509999999E-5</v>
      </c>
      <c r="M26" s="230">
        <v>1.9268158390000001E-5</v>
      </c>
      <c r="N26" s="230">
        <v>1.9071899419999999E-5</v>
      </c>
      <c r="O26" s="230">
        <v>1.085889421E-5</v>
      </c>
      <c r="P26" s="230">
        <v>1.7931580230000001E-5</v>
      </c>
      <c r="Q26" s="230">
        <v>1.786813879E-5</v>
      </c>
      <c r="R26" s="230">
        <v>1.632321543E-5</v>
      </c>
      <c r="S26" s="230">
        <v>1.8835130689999999E-5</v>
      </c>
      <c r="T26" s="230">
        <v>1.425507866E-5</v>
      </c>
      <c r="U26" s="230">
        <v>1.231310583E-5</v>
      </c>
      <c r="V26" s="230">
        <v>1.5619603890000002E-5</v>
      </c>
      <c r="W26" s="230">
        <v>1.590327458E-5</v>
      </c>
      <c r="X26" s="230">
        <v>1.4197163190000001E-5</v>
      </c>
      <c r="Y26" s="230">
        <v>1.4735582659999999E-5</v>
      </c>
      <c r="Z26" s="230">
        <f t="shared" si="6"/>
        <v>1.372821104E-5</v>
      </c>
      <c r="AA26" s="157">
        <v>7.3744474909999997E-6</v>
      </c>
      <c r="AB26" s="157">
        <v>5.0408818470000002E-6</v>
      </c>
      <c r="AC26" s="157">
        <v>7.0087980669999996E-6</v>
      </c>
      <c r="AD26" s="152">
        <f t="shared" si="10"/>
        <v>-0.39039126084083348</v>
      </c>
      <c r="AE26" s="148">
        <v>9.0773877379999999E-6</v>
      </c>
      <c r="AF26" s="141">
        <f t="shared" si="7"/>
        <v>-0.51458863684559364</v>
      </c>
      <c r="AG26" s="141"/>
      <c r="AH26" s="141">
        <f t="shared" si="8"/>
        <v>-0.225022337945531</v>
      </c>
      <c r="AI26" s="141"/>
      <c r="AJ26" s="141">
        <f t="shared" si="9"/>
        <v>-0.3387785406597304</v>
      </c>
      <c r="AK26" s="102" t="s">
        <v>179</v>
      </c>
    </row>
    <row r="27" spans="1:37">
      <c r="E27" s="109" t="s">
        <v>267</v>
      </c>
      <c r="F27" s="109" t="s">
        <v>268</v>
      </c>
      <c r="G27" s="230">
        <v>564673300</v>
      </c>
      <c r="H27" s="230">
        <v>43707140000</v>
      </c>
      <c r="I27" s="230">
        <v>853136200000</v>
      </c>
      <c r="J27" s="230">
        <v>2063067000000</v>
      </c>
      <c r="K27" s="230">
        <v>42738920000000</v>
      </c>
      <c r="L27" s="230">
        <f t="shared" si="5"/>
        <v>564673300</v>
      </c>
      <c r="M27" s="230">
        <v>435573200000</v>
      </c>
      <c r="N27" s="230">
        <v>57994100000</v>
      </c>
      <c r="O27" s="230">
        <v>137177900000</v>
      </c>
      <c r="P27" s="230">
        <v>1043995000000</v>
      </c>
      <c r="Q27" s="230">
        <v>968975100000</v>
      </c>
      <c r="R27" s="230">
        <v>342691700000</v>
      </c>
      <c r="S27" s="230">
        <v>670699500000</v>
      </c>
      <c r="T27" s="230">
        <v>736092300000</v>
      </c>
      <c r="U27" s="230">
        <v>1898009000000</v>
      </c>
      <c r="V27" s="230">
        <v>1868277000000</v>
      </c>
      <c r="W27" s="230">
        <v>15155030000000</v>
      </c>
      <c r="X27" s="230">
        <v>8682320000000</v>
      </c>
      <c r="Y27" s="230">
        <v>28206590000000</v>
      </c>
      <c r="Z27" s="230">
        <f t="shared" si="6"/>
        <v>42738920000000</v>
      </c>
      <c r="AA27" s="157">
        <v>1.0484020000000001E+26</v>
      </c>
      <c r="AB27" s="157">
        <v>1.126951E+27</v>
      </c>
      <c r="AC27" s="157">
        <v>1.811604E+18</v>
      </c>
      <c r="AD27" s="152">
        <f t="shared" si="10"/>
        <v>0.99999999839247311</v>
      </c>
      <c r="AE27" s="148">
        <v>2.038969E+17</v>
      </c>
      <c r="AF27" s="141">
        <f t="shared" si="7"/>
        <v>4665069.741302222</v>
      </c>
      <c r="AG27" s="141"/>
      <c r="AH27" s="141">
        <f t="shared" si="8"/>
        <v>238995.89170381002</v>
      </c>
      <c r="AI27" s="141"/>
      <c r="AJ27" s="141">
        <f t="shared" si="9"/>
        <v>4769.7546189749301</v>
      </c>
    </row>
    <row r="28" spans="1:37">
      <c r="F28" s="109" t="s">
        <v>153</v>
      </c>
      <c r="G28" s="123" t="s">
        <v>23</v>
      </c>
      <c r="H28" s="123" t="s">
        <v>195</v>
      </c>
      <c r="I28" s="136" t="s">
        <v>21</v>
      </c>
      <c r="J28" s="136" t="s">
        <v>26</v>
      </c>
      <c r="K28" s="136" t="s">
        <v>20</v>
      </c>
      <c r="L28" s="128"/>
      <c r="M28" s="166" t="s">
        <v>66</v>
      </c>
      <c r="N28" s="166" t="s">
        <v>67</v>
      </c>
      <c r="O28" s="166" t="s">
        <v>68</v>
      </c>
      <c r="P28" s="166" t="s">
        <v>69</v>
      </c>
      <c r="Q28" s="166" t="s">
        <v>70</v>
      </c>
      <c r="R28" s="166" t="s">
        <v>71</v>
      </c>
      <c r="S28" s="166" t="s">
        <v>72</v>
      </c>
      <c r="T28" s="166" t="s">
        <v>154</v>
      </c>
      <c r="U28" s="166" t="s">
        <v>155</v>
      </c>
      <c r="V28" s="166" t="s">
        <v>156</v>
      </c>
      <c r="W28" s="166" t="s">
        <v>192</v>
      </c>
      <c r="X28" s="166" t="s">
        <v>194</v>
      </c>
      <c r="Y28" s="166" t="s">
        <v>240</v>
      </c>
      <c r="Z28" s="129"/>
      <c r="AA28" s="158"/>
      <c r="AB28" s="158"/>
      <c r="AC28" s="158"/>
      <c r="AD28" s="120"/>
      <c r="AE28" s="149" t="s">
        <v>72</v>
      </c>
      <c r="AF28" s="140"/>
      <c r="AG28" s="140"/>
      <c r="AH28" s="140"/>
      <c r="AI28" s="140"/>
      <c r="AJ28" s="140"/>
    </row>
    <row r="29" spans="1:37">
      <c r="M29" s="170" t="s">
        <v>197</v>
      </c>
      <c r="N29" s="170"/>
      <c r="O29" s="171" t="s">
        <v>197</v>
      </c>
      <c r="P29" s="170" t="s">
        <v>197</v>
      </c>
      <c r="Q29" s="171"/>
      <c r="R29" s="170"/>
      <c r="S29" s="171"/>
      <c r="T29" s="171"/>
      <c r="U29" s="170"/>
      <c r="V29" s="171"/>
      <c r="W29" s="170"/>
      <c r="X29" s="170"/>
      <c r="Y29" s="170"/>
      <c r="AA29" s="172"/>
      <c r="AB29" s="172"/>
      <c r="AC29" s="172"/>
      <c r="AD29" s="171"/>
      <c r="AE29" s="173"/>
      <c r="AF29" s="174"/>
      <c r="AG29" s="174"/>
      <c r="AH29" s="174"/>
      <c r="AI29" s="174"/>
      <c r="AJ29" s="174"/>
    </row>
    <row r="30" spans="1:37">
      <c r="F30" s="185" t="s">
        <v>198</v>
      </c>
      <c r="G30" s="186"/>
      <c r="H30" s="186"/>
      <c r="I30" s="187"/>
      <c r="J30" s="187"/>
      <c r="K30" s="187"/>
      <c r="L30" s="188"/>
      <c r="M30" s="189">
        <f>COUNTIF(M5:M9,"&gt;0")</f>
        <v>2</v>
      </c>
      <c r="N30" s="189"/>
      <c r="O30" s="190">
        <f>COUNTIF(O5:O9,"&gt;0")</f>
        <v>3</v>
      </c>
      <c r="P30" s="190">
        <f>COUNTIF(P5:P9,"&gt;0")</f>
        <v>3</v>
      </c>
      <c r="Q30" s="190">
        <f>COUNTIF(Q5:Q9,"&gt;0")</f>
        <v>3</v>
      </c>
      <c r="R30" s="189">
        <f>COUNTIF(R5:R9,"&gt;0")</f>
        <v>3</v>
      </c>
      <c r="S30" s="190">
        <f>COUNTIF(S5:S9,"&gt;0")</f>
        <v>2</v>
      </c>
      <c r="T30" s="190"/>
      <c r="U30" s="189">
        <f>COUNTIF(U5:U9,"&gt;0")</f>
        <v>3</v>
      </c>
      <c r="V30" s="190">
        <f>COUNTIF(V5:V9,"&gt;0")</f>
        <v>3</v>
      </c>
      <c r="W30" s="190">
        <f>COUNTIF(W5:W9,"&gt;0")</f>
        <v>3</v>
      </c>
      <c r="X30" s="190">
        <f>COUNTIF(X5:X9,"&gt;0")</f>
        <v>2</v>
      </c>
      <c r="Y30" s="190"/>
      <c r="AA30" s="172"/>
      <c r="AB30" s="172"/>
      <c r="AC30" s="172"/>
      <c r="AD30" s="171"/>
      <c r="AE30" s="173"/>
      <c r="AF30" s="174"/>
      <c r="AG30" s="174"/>
      <c r="AH30" s="174"/>
      <c r="AI30" s="174"/>
      <c r="AJ30" s="174"/>
    </row>
    <row r="31" spans="1:37">
      <c r="F31" s="109" t="s">
        <v>208</v>
      </c>
      <c r="G31" s="123" t="str">
        <f>G28</f>
        <v>SiO2</v>
      </c>
      <c r="H31" s="123" t="str">
        <f>H28</f>
        <v>Al2O3</v>
      </c>
      <c r="I31" s="123" t="str">
        <f>I28</f>
        <v>HfO2</v>
      </c>
      <c r="J31" s="123" t="str">
        <f>J28</f>
        <v>La2O3</v>
      </c>
      <c r="K31" s="123" t="str">
        <f>K28</f>
        <v>TiO2</v>
      </c>
      <c r="L31" s="128" t="str">
        <f>G31</f>
        <v>SiO2</v>
      </c>
      <c r="M31" s="166" t="s">
        <v>66</v>
      </c>
      <c r="N31" s="166" t="s">
        <v>67</v>
      </c>
      <c r="O31" s="166" t="s">
        <v>68</v>
      </c>
      <c r="P31" s="166" t="s">
        <v>69</v>
      </c>
      <c r="Q31" s="166" t="s">
        <v>70</v>
      </c>
      <c r="R31" s="166" t="s">
        <v>71</v>
      </c>
      <c r="S31" s="166" t="s">
        <v>72</v>
      </c>
      <c r="T31" s="166" t="s">
        <v>154</v>
      </c>
      <c r="U31" s="166" t="s">
        <v>155</v>
      </c>
      <c r="V31" s="166" t="s">
        <v>156</v>
      </c>
      <c r="W31" s="166" t="s">
        <v>192</v>
      </c>
      <c r="X31" s="166" t="s">
        <v>194</v>
      </c>
      <c r="Y31" s="166" t="s">
        <v>240</v>
      </c>
      <c r="Z31" s="129" t="str">
        <f>K31</f>
        <v>TiO2</v>
      </c>
      <c r="AA31" s="172"/>
      <c r="AB31" s="172"/>
      <c r="AC31" s="172"/>
      <c r="AD31" s="171"/>
      <c r="AE31" s="173"/>
      <c r="AF31" s="174"/>
      <c r="AG31" s="174"/>
      <c r="AH31" s="174"/>
      <c r="AI31" s="174"/>
      <c r="AJ31" s="174"/>
    </row>
    <row r="32" spans="1:37">
      <c r="F32" s="109" t="s">
        <v>207</v>
      </c>
      <c r="G32" s="191">
        <f>1/(G19*G21*G18)*LOG10(G27)*1000</f>
        <v>9.5166390251319157</v>
      </c>
      <c r="H32" s="191">
        <f t="shared" ref="H32:Y32" si="11">1/(H19*H21*H18)*LOG10(H27)*1000</f>
        <v>12.280559705530194</v>
      </c>
      <c r="I32" s="191">
        <f t="shared" si="11"/>
        <v>18.798820437977213</v>
      </c>
      <c r="J32" s="191">
        <f t="shared" si="11"/>
        <v>22.463509412983676</v>
      </c>
      <c r="K32" s="191">
        <f t="shared" si="11"/>
        <v>37.67381355339888</v>
      </c>
      <c r="L32" s="191">
        <f t="shared" si="11"/>
        <v>9.5166390251319157</v>
      </c>
      <c r="M32" s="191">
        <f t="shared" si="11"/>
        <v>16.390871875765242</v>
      </c>
      <c r="N32" s="191">
        <f t="shared" si="11"/>
        <v>12.209903173849785</v>
      </c>
      <c r="O32" s="191">
        <f t="shared" si="11"/>
        <v>15.419198000681797</v>
      </c>
      <c r="P32" s="191">
        <f t="shared" si="11"/>
        <v>21.220814837040507</v>
      </c>
      <c r="Q32" s="191">
        <f t="shared" si="11"/>
        <v>21.414240131398902</v>
      </c>
      <c r="R32" s="191">
        <f t="shared" si="11"/>
        <v>19.564558598872516</v>
      </c>
      <c r="S32" s="191">
        <f t="shared" si="11"/>
        <v>21.461662556475265</v>
      </c>
      <c r="T32" s="191">
        <f t="shared" si="11"/>
        <v>17.428844671900308</v>
      </c>
      <c r="U32" s="191">
        <f t="shared" si="11"/>
        <v>20.621575843159683</v>
      </c>
      <c r="V32" s="191">
        <f t="shared" si="11"/>
        <v>20.472622921857525</v>
      </c>
      <c r="W32" s="191">
        <f t="shared" si="11"/>
        <v>29.244281016573616</v>
      </c>
      <c r="X32" s="191">
        <f t="shared" si="11"/>
        <v>29.110991011732871</v>
      </c>
      <c r="Y32" s="191">
        <f t="shared" si="11"/>
        <v>34.352721304262339</v>
      </c>
      <c r="Z32" s="191">
        <f>1/(Z19*Z21^2*Z18^3)*LOG10(Z27)*1000</f>
        <v>8.421996180064184</v>
      </c>
      <c r="AA32" s="172"/>
      <c r="AB32" s="172"/>
      <c r="AC32" s="172"/>
      <c r="AD32" s="171"/>
      <c r="AE32" s="173"/>
      <c r="AF32" s="174"/>
      <c r="AG32" s="174"/>
      <c r="AH32" s="174"/>
      <c r="AI32" s="174"/>
      <c r="AJ32" s="174"/>
    </row>
    <row r="35" spans="6:59" ht="15">
      <c r="F35" s="193" t="s">
        <v>208</v>
      </c>
      <c r="G35" s="194" t="str">
        <f t="shared" ref="G35:K36" si="12">G31</f>
        <v>SiO2</v>
      </c>
      <c r="H35" s="194" t="str">
        <f t="shared" si="12"/>
        <v>Al2O3</v>
      </c>
      <c r="I35" s="194" t="str">
        <f t="shared" si="12"/>
        <v>HfO2</v>
      </c>
      <c r="J35" s="194" t="str">
        <f t="shared" si="12"/>
        <v>La2O3</v>
      </c>
      <c r="K35" s="194" t="str">
        <f t="shared" si="12"/>
        <v>TiO2</v>
      </c>
      <c r="L35" s="194" t="str">
        <f>N31</f>
        <v>B</v>
      </c>
      <c r="M35" s="194" t="str">
        <f>P31</f>
        <v>D</v>
      </c>
      <c r="N35" s="194" t="str">
        <f>R31</f>
        <v>F</v>
      </c>
      <c r="O35" s="194" t="str">
        <f>Q31</f>
        <v>E</v>
      </c>
      <c r="P35" s="194" t="str">
        <f>X31</f>
        <v>M</v>
      </c>
      <c r="Q35" s="194" t="str">
        <f>U31</f>
        <v>J</v>
      </c>
      <c r="R35" s="194" t="str">
        <f>S31</f>
        <v>G</v>
      </c>
      <c r="S35" s="194" t="str">
        <f>V31</f>
        <v>K</v>
      </c>
      <c r="T35" s="194"/>
      <c r="U35" s="194" t="str">
        <f>M31</f>
        <v>A</v>
      </c>
      <c r="V35" s="194" t="str">
        <f>O31</f>
        <v>C</v>
      </c>
      <c r="W35" s="194" t="e">
        <f>#REF!</f>
        <v>#REF!</v>
      </c>
      <c r="X35" s="194" t="str">
        <f>W31</f>
        <v>L</v>
      </c>
      <c r="Y35" s="194"/>
    </row>
    <row r="36" spans="6:59" ht="15">
      <c r="F36" s="193" t="s">
        <v>207</v>
      </c>
      <c r="G36" s="195">
        <f>G32</f>
        <v>9.5166390251319157</v>
      </c>
      <c r="H36" s="195">
        <f t="shared" si="12"/>
        <v>12.280559705530194</v>
      </c>
      <c r="I36" s="195">
        <f t="shared" si="12"/>
        <v>18.798820437977213</v>
      </c>
      <c r="J36" s="195">
        <f t="shared" si="12"/>
        <v>22.463509412983676</v>
      </c>
      <c r="K36" s="195">
        <f t="shared" si="12"/>
        <v>37.67381355339888</v>
      </c>
      <c r="L36" s="195">
        <f>N32</f>
        <v>12.209903173849785</v>
      </c>
      <c r="M36" s="195">
        <f>P32</f>
        <v>21.220814837040507</v>
      </c>
      <c r="N36" s="195">
        <f>R32</f>
        <v>19.564558598872516</v>
      </c>
      <c r="O36" s="195">
        <f>Q32</f>
        <v>21.414240131398902</v>
      </c>
      <c r="P36" s="195">
        <f>X32</f>
        <v>29.110991011732871</v>
      </c>
      <c r="Q36" s="195">
        <f>U32</f>
        <v>20.621575843159683</v>
      </c>
      <c r="R36" s="195">
        <f>S32</f>
        <v>21.461662556475265</v>
      </c>
      <c r="S36" s="195">
        <f>V32</f>
        <v>20.472622921857525</v>
      </c>
      <c r="T36" s="195"/>
      <c r="U36" s="195">
        <f>M32</f>
        <v>16.390871875765242</v>
      </c>
      <c r="V36" s="195">
        <f>O32</f>
        <v>15.419198000681797</v>
      </c>
      <c r="W36" s="195" t="e">
        <f>#REF!</f>
        <v>#REF!</v>
      </c>
      <c r="X36" s="195">
        <f>W32</f>
        <v>29.244281016573616</v>
      </c>
      <c r="Y36" s="195"/>
    </row>
    <row r="39" spans="6:59" ht="15">
      <c r="F39" s="193" t="s">
        <v>208</v>
      </c>
      <c r="G39" s="194" t="s">
        <v>23</v>
      </c>
      <c r="H39" s="194" t="s">
        <v>195</v>
      </c>
      <c r="I39" s="194" t="s">
        <v>21</v>
      </c>
      <c r="J39" s="194" t="s">
        <v>26</v>
      </c>
      <c r="K39" s="194" t="s">
        <v>20</v>
      </c>
      <c r="L39" s="194" t="s">
        <v>66</v>
      </c>
      <c r="M39" s="194" t="s">
        <v>155</v>
      </c>
      <c r="N39" s="194" t="s">
        <v>67</v>
      </c>
      <c r="O39" s="194" t="s">
        <v>71</v>
      </c>
      <c r="P39" s="194" t="s">
        <v>156</v>
      </c>
      <c r="Q39" s="194" t="s">
        <v>72</v>
      </c>
      <c r="R39" s="194" t="s">
        <v>68</v>
      </c>
      <c r="S39" s="194" t="s">
        <v>69</v>
      </c>
      <c r="T39" s="194"/>
      <c r="U39" s="194" t="s">
        <v>154</v>
      </c>
      <c r="V39" s="194" t="s">
        <v>70</v>
      </c>
      <c r="W39" s="194" t="s">
        <v>194</v>
      </c>
      <c r="X39" s="194" t="s">
        <v>192</v>
      </c>
      <c r="Y39" s="194"/>
    </row>
    <row r="40" spans="6:59" ht="15">
      <c r="F40" s="193" t="s">
        <v>207</v>
      </c>
      <c r="G40" s="195">
        <v>1.3650788947414774</v>
      </c>
      <c r="H40" s="195">
        <v>1.9682949061120321</v>
      </c>
      <c r="I40" s="195">
        <v>8.3065190909133904</v>
      </c>
      <c r="J40" s="195">
        <v>2.2124356973465851</v>
      </c>
      <c r="K40" s="195">
        <v>8.5556164471982648</v>
      </c>
      <c r="L40" s="195">
        <v>2.9989968049116347</v>
      </c>
      <c r="M40" s="195">
        <v>-0.33306489462359323</v>
      </c>
      <c r="N40" s="195">
        <v>2.2549814000038353</v>
      </c>
      <c r="O40" s="195">
        <v>4.9149936396199063</v>
      </c>
      <c r="P40" s="195">
        <v>5.3029694271291214</v>
      </c>
      <c r="Q40" s="195">
        <v>11.592210143766989</v>
      </c>
      <c r="R40" s="195">
        <v>7.9244487946162971</v>
      </c>
      <c r="S40" s="195">
        <v>10.56541107189117</v>
      </c>
      <c r="T40" s="195"/>
      <c r="U40" s="195">
        <v>3.0914347745448993</v>
      </c>
      <c r="V40" s="195">
        <v>-9.1640610512162643E-2</v>
      </c>
      <c r="W40" s="195">
        <v>8.7999018229524211</v>
      </c>
      <c r="X40" s="195">
        <v>5.3312225661302799</v>
      </c>
      <c r="Y40" s="195"/>
    </row>
    <row r="43" spans="6:59" ht="15">
      <c r="F43" s="193" t="s">
        <v>208</v>
      </c>
      <c r="G43" s="194" t="s">
        <v>207</v>
      </c>
    </row>
    <row r="44" spans="6:59" ht="15">
      <c r="F44" s="194" t="s">
        <v>23</v>
      </c>
      <c r="G44" s="195">
        <f>G32</f>
        <v>9.5166390251319157</v>
      </c>
      <c r="AN44" s="103" t="s">
        <v>153</v>
      </c>
      <c r="AO44" s="103" t="s">
        <v>23</v>
      </c>
      <c r="AP44" s="103" t="s">
        <v>195</v>
      </c>
      <c r="AQ44" s="103" t="s">
        <v>21</v>
      </c>
      <c r="AR44" s="103" t="s">
        <v>26</v>
      </c>
      <c r="AS44" s="103" t="s">
        <v>20</v>
      </c>
      <c r="AT44" s="103" t="s">
        <v>204</v>
      </c>
      <c r="AU44" s="103" t="s">
        <v>66</v>
      </c>
      <c r="AV44" s="103" t="s">
        <v>67</v>
      </c>
      <c r="AW44" s="103" t="s">
        <v>68</v>
      </c>
      <c r="AX44" s="103" t="s">
        <v>69</v>
      </c>
      <c r="AY44" s="103" t="s">
        <v>70</v>
      </c>
      <c r="AZ44" s="103" t="s">
        <v>71</v>
      </c>
      <c r="BA44" s="103" t="s">
        <v>72</v>
      </c>
      <c r="BB44" s="103" t="s">
        <v>154</v>
      </c>
      <c r="BC44" s="103" t="s">
        <v>155</v>
      </c>
      <c r="BD44" s="103" t="s">
        <v>156</v>
      </c>
      <c r="BE44" s="103" t="s">
        <v>192</v>
      </c>
      <c r="BF44" s="103" t="s">
        <v>194</v>
      </c>
      <c r="BG44" s="103" t="s">
        <v>205</v>
      </c>
    </row>
    <row r="45" spans="6:59" ht="15">
      <c r="F45" s="194" t="s">
        <v>195</v>
      </c>
      <c r="G45" s="195">
        <f>H32</f>
        <v>12.280559705530194</v>
      </c>
      <c r="AN45" s="103" t="s">
        <v>150</v>
      </c>
      <c r="AO45" s="184">
        <v>3.9</v>
      </c>
      <c r="AP45" s="184">
        <v>12</v>
      </c>
      <c r="AQ45" s="184">
        <v>22</v>
      </c>
      <c r="AR45" s="184">
        <v>27</v>
      </c>
      <c r="AS45" s="184">
        <v>80</v>
      </c>
      <c r="AT45" s="184">
        <v>3.9</v>
      </c>
      <c r="AU45" s="184">
        <v>12.633333333333333</v>
      </c>
      <c r="AV45" s="184">
        <v>17.316666666666666</v>
      </c>
      <c r="AW45" s="184">
        <v>20.333333333333332</v>
      </c>
      <c r="AX45" s="184">
        <v>30</v>
      </c>
      <c r="AY45" s="184">
        <v>31.966666666666669</v>
      </c>
      <c r="AZ45" s="184">
        <v>35.300000000000004</v>
      </c>
      <c r="BA45" s="184">
        <v>38</v>
      </c>
      <c r="BB45" s="184">
        <v>41.949999999999996</v>
      </c>
      <c r="BC45" s="184">
        <v>43.300000000000004</v>
      </c>
      <c r="BD45" s="184">
        <v>51</v>
      </c>
      <c r="BE45" s="184">
        <v>59</v>
      </c>
      <c r="BF45" s="184">
        <v>70.333333333333329</v>
      </c>
      <c r="BG45" s="184">
        <v>80</v>
      </c>
    </row>
    <row r="46" spans="6:59" ht="15">
      <c r="F46" s="194" t="s">
        <v>21</v>
      </c>
      <c r="G46" s="195">
        <f>I32</f>
        <v>18.798820437977213</v>
      </c>
      <c r="AN46" s="103" t="s">
        <v>13</v>
      </c>
      <c r="AO46" s="103">
        <v>3</v>
      </c>
      <c r="AP46" s="103">
        <v>0</v>
      </c>
      <c r="AQ46" s="103">
        <v>0</v>
      </c>
      <c r="AR46" s="103">
        <v>0</v>
      </c>
      <c r="AS46" s="103">
        <v>0</v>
      </c>
      <c r="AT46" s="103">
        <v>3</v>
      </c>
      <c r="AU46" s="103">
        <v>1</v>
      </c>
      <c r="AV46" s="103">
        <v>0.5</v>
      </c>
      <c r="AW46" s="103">
        <v>0</v>
      </c>
      <c r="AX46" s="103">
        <v>0</v>
      </c>
      <c r="AY46" s="103">
        <v>1</v>
      </c>
      <c r="AZ46" s="103">
        <v>1</v>
      </c>
      <c r="BA46" s="103">
        <v>0</v>
      </c>
      <c r="BB46" s="103">
        <v>1.5</v>
      </c>
      <c r="BC46" s="103">
        <v>1</v>
      </c>
      <c r="BD46" s="103">
        <v>0</v>
      </c>
      <c r="BE46" s="103">
        <v>0</v>
      </c>
      <c r="BF46" s="103">
        <v>0</v>
      </c>
      <c r="BG46" s="103">
        <v>0</v>
      </c>
    </row>
    <row r="47" spans="6:59" ht="15">
      <c r="F47" s="194" t="s">
        <v>26</v>
      </c>
      <c r="G47" s="195">
        <f>J32</f>
        <v>22.463509412983676</v>
      </c>
      <c r="AN47" s="103" t="s">
        <v>33</v>
      </c>
      <c r="AO47" s="103">
        <v>0</v>
      </c>
      <c r="AP47" s="103">
        <v>3</v>
      </c>
      <c r="AQ47" s="103">
        <v>0</v>
      </c>
      <c r="AR47" s="103">
        <v>0</v>
      </c>
      <c r="AS47" s="103">
        <v>0</v>
      </c>
      <c r="AT47" s="103">
        <v>0</v>
      </c>
      <c r="AU47" s="103">
        <v>1</v>
      </c>
      <c r="AV47" s="103">
        <v>0.5</v>
      </c>
      <c r="AW47" s="103">
        <v>0.5</v>
      </c>
      <c r="AX47" s="103">
        <v>0.5</v>
      </c>
      <c r="AY47" s="103">
        <v>1</v>
      </c>
      <c r="AZ47" s="103">
        <v>0</v>
      </c>
      <c r="BA47" s="103">
        <v>1</v>
      </c>
      <c r="BB47" s="103">
        <v>0</v>
      </c>
      <c r="BC47" s="103">
        <v>0.5</v>
      </c>
      <c r="BD47" s="103">
        <v>0</v>
      </c>
      <c r="BE47" s="103">
        <v>0.5</v>
      </c>
      <c r="BF47" s="103">
        <v>0</v>
      </c>
      <c r="BG47" s="103">
        <v>0</v>
      </c>
    </row>
    <row r="48" spans="6:59" ht="15">
      <c r="F48" s="194" t="s">
        <v>20</v>
      </c>
      <c r="G48" s="195">
        <f>K32</f>
        <v>37.67381355339888</v>
      </c>
      <c r="AN48" s="103" t="s">
        <v>14</v>
      </c>
      <c r="AO48" s="103">
        <v>0</v>
      </c>
      <c r="AP48" s="103">
        <v>0</v>
      </c>
      <c r="AQ48" s="103">
        <v>3</v>
      </c>
      <c r="AR48" s="103">
        <v>0</v>
      </c>
      <c r="AS48" s="103">
        <v>0</v>
      </c>
      <c r="AT48" s="103">
        <v>0</v>
      </c>
      <c r="AU48" s="103">
        <v>1</v>
      </c>
      <c r="AV48" s="103">
        <v>2</v>
      </c>
      <c r="AW48" s="103">
        <v>2.5</v>
      </c>
      <c r="AX48" s="103">
        <v>2</v>
      </c>
      <c r="AY48" s="103">
        <v>0</v>
      </c>
      <c r="AZ48" s="103">
        <v>1</v>
      </c>
      <c r="BA48" s="103">
        <v>1</v>
      </c>
      <c r="BB48" s="103">
        <v>0</v>
      </c>
      <c r="BC48" s="103">
        <v>0</v>
      </c>
      <c r="BD48" s="103">
        <v>1.5</v>
      </c>
      <c r="BE48" s="103">
        <v>0.5</v>
      </c>
      <c r="BF48" s="103">
        <v>0.5</v>
      </c>
      <c r="BG48" s="103">
        <v>0</v>
      </c>
    </row>
    <row r="49" spans="6:59" ht="15">
      <c r="F49" s="194" t="s">
        <v>66</v>
      </c>
      <c r="G49" s="195">
        <f>N32</f>
        <v>12.209903173849785</v>
      </c>
      <c r="AN49" s="103" t="s">
        <v>196</v>
      </c>
      <c r="AO49" s="103">
        <v>0</v>
      </c>
      <c r="AP49" s="103">
        <v>0</v>
      </c>
      <c r="AQ49" s="103">
        <v>0</v>
      </c>
      <c r="AR49" s="103">
        <v>3</v>
      </c>
      <c r="AS49" s="103">
        <v>0</v>
      </c>
      <c r="AT49" s="103">
        <v>0</v>
      </c>
      <c r="AU49" s="103">
        <v>0</v>
      </c>
      <c r="AV49" s="103">
        <v>0</v>
      </c>
      <c r="AW49" s="103">
        <v>0</v>
      </c>
      <c r="AX49" s="103">
        <v>0</v>
      </c>
      <c r="AY49" s="103">
        <v>0</v>
      </c>
      <c r="AZ49" s="103">
        <v>0</v>
      </c>
      <c r="BA49" s="103">
        <v>0</v>
      </c>
      <c r="BB49" s="103">
        <v>0</v>
      </c>
      <c r="BC49" s="103">
        <v>0</v>
      </c>
      <c r="BD49" s="103">
        <v>0</v>
      </c>
      <c r="BE49" s="103">
        <v>0</v>
      </c>
      <c r="BF49" s="103">
        <v>0</v>
      </c>
      <c r="BG49" s="103">
        <v>0</v>
      </c>
    </row>
    <row r="50" spans="6:59" ht="15">
      <c r="F50" s="194" t="s">
        <v>67</v>
      </c>
      <c r="G50" s="195">
        <f>R32</f>
        <v>19.564558598872516</v>
      </c>
      <c r="AN50" s="103" t="s">
        <v>34</v>
      </c>
      <c r="AO50" s="103">
        <v>0</v>
      </c>
      <c r="AP50" s="103">
        <v>0</v>
      </c>
      <c r="AQ50" s="103">
        <v>0</v>
      </c>
      <c r="AR50" s="103">
        <v>0</v>
      </c>
      <c r="AS50" s="103">
        <v>3</v>
      </c>
      <c r="AT50" s="103">
        <v>0</v>
      </c>
      <c r="AU50" s="103">
        <v>0</v>
      </c>
      <c r="AV50" s="103">
        <v>0</v>
      </c>
      <c r="AW50" s="103">
        <v>0</v>
      </c>
      <c r="AX50" s="103">
        <v>0.5</v>
      </c>
      <c r="AY50" s="103">
        <v>1</v>
      </c>
      <c r="AZ50" s="103">
        <v>1</v>
      </c>
      <c r="BA50" s="103">
        <v>1</v>
      </c>
      <c r="BB50" s="103">
        <v>1.5</v>
      </c>
      <c r="BC50" s="103">
        <v>1.5</v>
      </c>
      <c r="BD50" s="103">
        <v>1.5</v>
      </c>
      <c r="BE50" s="103">
        <v>2</v>
      </c>
      <c r="BF50" s="103">
        <v>2.5</v>
      </c>
      <c r="BG50" s="103">
        <v>3</v>
      </c>
    </row>
    <row r="51" spans="6:59" ht="15">
      <c r="F51" s="194" t="s">
        <v>68</v>
      </c>
      <c r="G51" s="195">
        <f>S32</f>
        <v>21.461662556475265</v>
      </c>
      <c r="AN51" s="103" t="s">
        <v>206</v>
      </c>
      <c r="AO51" s="103">
        <v>3</v>
      </c>
      <c r="AP51" s="103">
        <v>3</v>
      </c>
      <c r="AQ51" s="103">
        <v>3</v>
      </c>
      <c r="AR51" s="103">
        <v>3</v>
      </c>
      <c r="AS51" s="103">
        <v>3</v>
      </c>
      <c r="AT51" s="103">
        <v>3</v>
      </c>
      <c r="AU51" s="103">
        <v>3</v>
      </c>
      <c r="AV51" s="103">
        <v>3</v>
      </c>
      <c r="AW51" s="103">
        <v>3</v>
      </c>
      <c r="AX51" s="103">
        <v>3</v>
      </c>
      <c r="AY51" s="103">
        <v>3</v>
      </c>
      <c r="AZ51" s="103">
        <v>3</v>
      </c>
      <c r="BA51" s="103">
        <v>3</v>
      </c>
      <c r="BB51" s="103">
        <v>3</v>
      </c>
      <c r="BC51" s="103">
        <v>3</v>
      </c>
      <c r="BD51" s="103">
        <v>3</v>
      </c>
      <c r="BE51" s="103">
        <v>3</v>
      </c>
      <c r="BF51" s="103">
        <v>3</v>
      </c>
      <c r="BG51" s="103">
        <v>3</v>
      </c>
    </row>
    <row r="52" spans="6:59" ht="15">
      <c r="F52" s="194" t="s">
        <v>69</v>
      </c>
      <c r="G52" s="195">
        <f>T32</f>
        <v>17.428844671900308</v>
      </c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</row>
    <row r="53" spans="6:59" ht="15">
      <c r="F53" s="194" t="s">
        <v>70</v>
      </c>
      <c r="G53" s="195">
        <f>V32</f>
        <v>20.472622921857525</v>
      </c>
    </row>
    <row r="54" spans="6:59" ht="15">
      <c r="F54" s="194" t="s">
        <v>71</v>
      </c>
      <c r="G54" s="195">
        <f>O32</f>
        <v>15.419198000681797</v>
      </c>
      <c r="BA54" s="102">
        <v>0.84970000000000001</v>
      </c>
    </row>
    <row r="55" spans="6:59" ht="15">
      <c r="F55" s="194" t="s">
        <v>72</v>
      </c>
      <c r="G55" s="195">
        <f>Q32</f>
        <v>21.414240131398902</v>
      </c>
      <c r="BA55" s="102">
        <v>79</v>
      </c>
    </row>
    <row r="56" spans="6:59" ht="15">
      <c r="F56" s="194" t="s">
        <v>154</v>
      </c>
      <c r="G56" s="195">
        <f>U32</f>
        <v>20.621575843159683</v>
      </c>
      <c r="BA56" s="102">
        <v>79.3</v>
      </c>
    </row>
    <row r="57" spans="6:59" ht="15">
      <c r="F57" s="194" t="s">
        <v>155</v>
      </c>
      <c r="G57" s="195">
        <f>M32</f>
        <v>16.390871875765242</v>
      </c>
      <c r="BA57" s="102">
        <v>8.8699999999999992</v>
      </c>
    </row>
    <row r="58" spans="6:59" ht="15">
      <c r="F58" s="194" t="s">
        <v>156</v>
      </c>
      <c r="G58" s="195">
        <f>P32</f>
        <v>21.220814837040507</v>
      </c>
      <c r="BA58" s="196">
        <v>9.9999999999999998E-17</v>
      </c>
    </row>
    <row r="59" spans="6:59" ht="15">
      <c r="F59" s="194" t="s">
        <v>192</v>
      </c>
      <c r="G59" s="195">
        <f>X32</f>
        <v>29.110991011732871</v>
      </c>
      <c r="BA59" s="196">
        <v>9.9999999999999995E-8</v>
      </c>
    </row>
    <row r="60" spans="6:59" ht="15">
      <c r="F60" s="194" t="s">
        <v>194</v>
      </c>
      <c r="G60" s="195">
        <f>W32</f>
        <v>29.244281016573616</v>
      </c>
      <c r="BA60" s="196">
        <v>1000000000</v>
      </c>
    </row>
    <row r="61" spans="6:59" ht="15">
      <c r="F61" s="194" t="s">
        <v>240</v>
      </c>
      <c r="G61" s="195">
        <f>Y32</f>
        <v>34.352721304262339</v>
      </c>
      <c r="BA61" s="196">
        <v>6.4800000000000002E-18</v>
      </c>
    </row>
    <row r="62" spans="6:59">
      <c r="BA62" s="196">
        <v>1.2300000000000001E-5</v>
      </c>
    </row>
    <row r="63" spans="6:59">
      <c r="BA63" s="196">
        <v>1890000000000</v>
      </c>
    </row>
    <row r="107" spans="1:59" s="169" customFormat="1" ht="21">
      <c r="A107" s="102"/>
      <c r="B107" s="102"/>
      <c r="C107" s="102"/>
      <c r="D107" s="216" t="s">
        <v>199</v>
      </c>
      <c r="E107" s="216"/>
      <c r="F107" s="181"/>
      <c r="G107" s="231"/>
      <c r="H107" s="231"/>
      <c r="I107" s="234"/>
      <c r="J107" s="234"/>
      <c r="K107" s="234"/>
      <c r="L107" s="231"/>
      <c r="O107" s="108"/>
      <c r="P107" s="108"/>
      <c r="Q107" s="108"/>
      <c r="S107" s="108"/>
      <c r="T107" s="108"/>
      <c r="V107" s="108"/>
      <c r="W107" s="108"/>
      <c r="X107" s="108"/>
      <c r="Y107" s="108"/>
      <c r="Z107" s="229"/>
      <c r="AA107" s="160"/>
      <c r="AB107" s="160"/>
      <c r="AC107" s="160"/>
      <c r="AD107" s="108"/>
      <c r="AE107" s="151"/>
      <c r="AF107" s="143"/>
      <c r="AG107" s="143"/>
      <c r="AH107" s="143"/>
      <c r="AI107" s="143"/>
      <c r="AJ107" s="143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  <c r="BF107" s="102"/>
      <c r="BG107" s="102"/>
    </row>
    <row r="108" spans="1:59" s="169" customFormat="1" ht="21">
      <c r="A108" s="102"/>
      <c r="B108" s="102"/>
      <c r="C108" s="102"/>
      <c r="D108" s="216" t="s">
        <v>202</v>
      </c>
      <c r="E108" s="216"/>
      <c r="F108" s="181"/>
      <c r="G108" s="231"/>
      <c r="H108" s="231"/>
      <c r="I108" s="234"/>
      <c r="J108" s="234"/>
      <c r="K108" s="234"/>
      <c r="L108" s="231"/>
      <c r="O108" s="108"/>
      <c r="P108" s="108"/>
      <c r="Q108" s="108"/>
      <c r="S108" s="108"/>
      <c r="T108" s="108"/>
      <c r="V108" s="108"/>
      <c r="W108" s="108"/>
      <c r="X108" s="108"/>
      <c r="Y108" s="108"/>
      <c r="Z108" s="229"/>
      <c r="AA108" s="160"/>
      <c r="AB108" s="160"/>
      <c r="AC108" s="160"/>
      <c r="AD108" s="108"/>
      <c r="AE108" s="151"/>
      <c r="AF108" s="143"/>
      <c r="AG108" s="143"/>
      <c r="AH108" s="143"/>
      <c r="AI108" s="143"/>
      <c r="AJ108" s="143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</row>
    <row r="109" spans="1:59" s="169" customFormat="1" ht="21">
      <c r="A109" s="102"/>
      <c r="B109" s="102"/>
      <c r="C109" s="102"/>
      <c r="D109" s="216" t="s">
        <v>200</v>
      </c>
      <c r="E109" s="216"/>
      <c r="F109" s="181"/>
      <c r="G109" s="231"/>
      <c r="H109" s="231"/>
      <c r="I109" s="234"/>
      <c r="J109" s="234"/>
      <c r="K109" s="234"/>
      <c r="L109" s="231"/>
      <c r="O109" s="108"/>
      <c r="P109" s="108"/>
      <c r="Q109" s="108"/>
      <c r="S109" s="108"/>
      <c r="T109" s="108"/>
      <c r="V109" s="108"/>
      <c r="W109" s="108"/>
      <c r="X109" s="108"/>
      <c r="Y109" s="108"/>
      <c r="Z109" s="229"/>
      <c r="AA109" s="160"/>
      <c r="AB109" s="160"/>
      <c r="AC109" s="160"/>
      <c r="AD109" s="108"/>
      <c r="AE109" s="151"/>
      <c r="AF109" s="143"/>
      <c r="AG109" s="143"/>
      <c r="AH109" s="143"/>
      <c r="AI109" s="143"/>
      <c r="AJ109" s="143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</row>
    <row r="110" spans="1:59" s="169" customFormat="1" ht="21">
      <c r="A110" s="102"/>
      <c r="B110" s="102"/>
      <c r="C110" s="102"/>
      <c r="D110" s="216" t="s">
        <v>201</v>
      </c>
      <c r="E110" s="216"/>
      <c r="F110" s="181"/>
      <c r="G110" s="231"/>
      <c r="H110" s="231"/>
      <c r="I110" s="234"/>
      <c r="J110" s="234"/>
      <c r="K110" s="234"/>
      <c r="L110" s="231"/>
      <c r="O110" s="108"/>
      <c r="P110" s="108"/>
      <c r="Q110" s="108"/>
      <c r="S110" s="108"/>
      <c r="T110" s="108"/>
      <c r="V110" s="108"/>
      <c r="W110" s="108"/>
      <c r="X110" s="108"/>
      <c r="Y110" s="108"/>
      <c r="Z110" s="229"/>
      <c r="AA110" s="160"/>
      <c r="AB110" s="160"/>
      <c r="AC110" s="160"/>
      <c r="AD110" s="108"/>
      <c r="AE110" s="151"/>
      <c r="AF110" s="143"/>
      <c r="AG110" s="143"/>
      <c r="AH110" s="143"/>
      <c r="AI110" s="143"/>
      <c r="AJ110" s="143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</row>
    <row r="111" spans="1:59" s="169" customFormat="1" ht="21">
      <c r="A111" s="102"/>
      <c r="B111" s="102"/>
      <c r="C111" s="102"/>
      <c r="D111" s="216" t="s">
        <v>203</v>
      </c>
      <c r="E111" s="216"/>
      <c r="F111" s="181"/>
      <c r="G111" s="231"/>
      <c r="H111" s="231"/>
      <c r="I111" s="234"/>
      <c r="J111" s="234"/>
      <c r="K111" s="234"/>
      <c r="L111" s="231"/>
      <c r="O111" s="108"/>
      <c r="P111" s="108"/>
      <c r="Q111" s="108"/>
      <c r="S111" s="108"/>
      <c r="T111" s="108"/>
      <c r="V111" s="108"/>
      <c r="W111" s="108"/>
      <c r="X111" s="108"/>
      <c r="Y111" s="108"/>
      <c r="Z111" s="229"/>
      <c r="AA111" s="160"/>
      <c r="AB111" s="160"/>
      <c r="AC111" s="160"/>
      <c r="AD111" s="108"/>
      <c r="AE111" s="151"/>
      <c r="AF111" s="143"/>
      <c r="AG111" s="143"/>
      <c r="AH111" s="143"/>
      <c r="AI111" s="143"/>
      <c r="AJ111" s="143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</row>
    <row r="112" spans="1:59" s="169" customFormat="1" ht="21">
      <c r="A112" s="102"/>
      <c r="B112" s="102"/>
      <c r="C112" s="102"/>
      <c r="D112" s="217"/>
      <c r="E112" s="217"/>
      <c r="F112" s="102"/>
      <c r="G112" s="232"/>
      <c r="H112" s="232"/>
      <c r="I112" s="233"/>
      <c r="J112" s="233"/>
      <c r="K112" s="233"/>
      <c r="L112" s="228"/>
      <c r="O112" s="108"/>
      <c r="P112" s="108"/>
      <c r="Q112" s="108"/>
      <c r="S112" s="108"/>
      <c r="T112" s="108"/>
      <c r="V112" s="108"/>
      <c r="W112" s="108"/>
      <c r="X112" s="108"/>
      <c r="Y112" s="108"/>
      <c r="Z112" s="229"/>
      <c r="AA112" s="160"/>
      <c r="AB112" s="160"/>
      <c r="AC112" s="160"/>
      <c r="AD112" s="108"/>
      <c r="AE112" s="151"/>
      <c r="AF112" s="143"/>
      <c r="AG112" s="143"/>
      <c r="AH112" s="143"/>
      <c r="AI112" s="143"/>
      <c r="AJ112" s="143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</row>
    <row r="113" spans="1:59" s="169" customFormat="1" ht="21">
      <c r="A113" s="102"/>
      <c r="B113" s="102"/>
      <c r="C113" s="102"/>
      <c r="D113" s="217"/>
      <c r="E113" s="217"/>
      <c r="F113" s="102"/>
      <c r="G113" s="232"/>
      <c r="H113" s="232"/>
      <c r="I113" s="233"/>
      <c r="J113" s="233"/>
      <c r="K113" s="233"/>
      <c r="L113" s="228"/>
      <c r="O113" s="108"/>
      <c r="P113" s="108"/>
      <c r="Q113" s="108"/>
      <c r="S113" s="108"/>
      <c r="T113" s="108"/>
      <c r="V113" s="108"/>
      <c r="W113" s="108"/>
      <c r="X113" s="108"/>
      <c r="Y113" s="108"/>
      <c r="Z113" s="229"/>
      <c r="AA113" s="160"/>
      <c r="AB113" s="160"/>
      <c r="AC113" s="160"/>
      <c r="AD113" s="108"/>
      <c r="AE113" s="151"/>
      <c r="AF113" s="143"/>
      <c r="AG113" s="143"/>
      <c r="AH113" s="143"/>
      <c r="AI113" s="143"/>
      <c r="AJ113" s="143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</row>
    <row r="114" spans="1:59" s="169" customFormat="1" ht="21">
      <c r="A114" s="102"/>
      <c r="B114" s="102"/>
      <c r="C114" s="102"/>
      <c r="D114" s="217"/>
      <c r="E114" s="217"/>
      <c r="F114" s="102"/>
      <c r="G114" s="232"/>
      <c r="H114" s="232"/>
      <c r="I114" s="233"/>
      <c r="J114" s="233"/>
      <c r="K114" s="233"/>
      <c r="L114" s="228"/>
      <c r="O114" s="108"/>
      <c r="P114" s="108"/>
      <c r="Q114" s="108"/>
      <c r="S114" s="108"/>
      <c r="T114" s="108"/>
      <c r="V114" s="108"/>
      <c r="W114" s="108"/>
      <c r="X114" s="108"/>
      <c r="Y114" s="108"/>
      <c r="Z114" s="229"/>
      <c r="AA114" s="160"/>
      <c r="AB114" s="160"/>
      <c r="AC114" s="160"/>
      <c r="AD114" s="108"/>
      <c r="AE114" s="151"/>
      <c r="AF114" s="143"/>
      <c r="AG114" s="143"/>
      <c r="AH114" s="143"/>
      <c r="AI114" s="143"/>
      <c r="AJ114" s="143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</row>
  </sheetData>
  <conditionalFormatting sqref="G44:G6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J36 P36 L36 S36:U36 N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:J40 P40 L40 S40:U40 N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X32 Z3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X3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G115"/>
  <sheetViews>
    <sheetView topLeftCell="A7" zoomScale="81" zoomScaleNormal="78" workbookViewId="0">
      <selection activeCell="A18" sqref="A18:C24"/>
    </sheetView>
  </sheetViews>
  <sheetFormatPr defaultColWidth="8.85546875" defaultRowHeight="12"/>
  <cols>
    <col min="1" max="1" width="17.7109375" style="102" customWidth="1"/>
    <col min="2" max="2" width="8.28515625" style="102" customWidth="1"/>
    <col min="3" max="3" width="11.7109375" style="102" bestFit="1" customWidth="1"/>
    <col min="4" max="5" width="14.28515625" style="212" customWidth="1"/>
    <col min="6" max="6" width="16.85546875" style="102" customWidth="1"/>
    <col min="7" max="7" width="10.5703125" style="232" customWidth="1"/>
    <col min="8" max="8" width="8.28515625" style="232" customWidth="1"/>
    <col min="9" max="11" width="9" style="233" customWidth="1"/>
    <col min="12" max="12" width="8.28515625" style="228" customWidth="1"/>
    <col min="13" max="14" width="9.140625" style="169" bestFit="1" customWidth="1"/>
    <col min="15" max="19" width="9.140625" style="108" bestFit="1" customWidth="1"/>
    <col min="20" max="21" width="9.140625" style="169" bestFit="1" customWidth="1"/>
    <col min="22" max="25" width="8.85546875" style="108" customWidth="1"/>
    <col min="26" max="26" width="9.28515625" style="229" bestFit="1" customWidth="1"/>
    <col min="27" max="28" width="15.42578125" style="160" customWidth="1"/>
    <col min="29" max="29" width="21.140625" style="160" bestFit="1" customWidth="1"/>
    <col min="30" max="30" width="16.85546875" style="108" bestFit="1" customWidth="1"/>
    <col min="31" max="31" width="14.28515625" style="151" bestFit="1" customWidth="1"/>
    <col min="32" max="32" width="12.7109375" style="143" bestFit="1" customWidth="1"/>
    <col min="33" max="33" width="15.7109375" style="143" customWidth="1"/>
    <col min="34" max="34" width="12.28515625" style="143" bestFit="1" customWidth="1"/>
    <col min="35" max="35" width="12.7109375" style="143" customWidth="1"/>
    <col min="36" max="36" width="15.28515625" style="143" bestFit="1" customWidth="1"/>
    <col min="37" max="37" width="12" style="102" bestFit="1" customWidth="1"/>
    <col min="38" max="39" width="8.85546875" style="102"/>
    <col min="40" max="40" width="15.85546875" style="102" customWidth="1"/>
    <col min="41" max="41" width="13.28515625" style="102" hidden="1" customWidth="1"/>
    <col min="42" max="42" width="14.28515625" style="102" hidden="1" customWidth="1"/>
    <col min="43" max="43" width="13.7109375" style="102" hidden="1" customWidth="1"/>
    <col min="44" max="44" width="14.28515625" style="102" hidden="1" customWidth="1"/>
    <col min="45" max="45" width="13.28515625" style="102" hidden="1" customWidth="1"/>
    <col min="46" max="46" width="14.140625" style="102" hidden="1" customWidth="1"/>
    <col min="47" max="47" width="11" style="102" bestFit="1" customWidth="1"/>
    <col min="48" max="49" width="10.7109375" style="102" bestFit="1" customWidth="1"/>
    <col min="50" max="50" width="11" style="102" bestFit="1" customWidth="1"/>
    <col min="51" max="52" width="10.7109375" style="102" bestFit="1" customWidth="1"/>
    <col min="53" max="54" width="11" style="102" bestFit="1" customWidth="1"/>
    <col min="55" max="55" width="10.5703125" style="102" bestFit="1" customWidth="1"/>
    <col min="56" max="56" width="10.7109375" style="102" bestFit="1" customWidth="1"/>
    <col min="57" max="57" width="10.5703125" style="102" bestFit="1" customWidth="1"/>
    <col min="58" max="58" width="11.42578125" style="102" customWidth="1"/>
    <col min="59" max="59" width="14.140625" style="102" bestFit="1" customWidth="1"/>
    <col min="60" max="16384" width="8.85546875" style="102"/>
  </cols>
  <sheetData>
    <row r="2" spans="1:37" s="103" customFormat="1" ht="397.15" customHeight="1">
      <c r="F2" s="240" t="s">
        <v>303</v>
      </c>
      <c r="G2" s="132" t="s">
        <v>302</v>
      </c>
      <c r="H2" s="132" t="s">
        <v>304</v>
      </c>
      <c r="I2" s="132" t="s">
        <v>305</v>
      </c>
      <c r="J2" s="132" t="s">
        <v>307</v>
      </c>
      <c r="K2" s="132" t="s">
        <v>306</v>
      </c>
      <c r="L2" s="132" t="s">
        <v>302</v>
      </c>
      <c r="M2" s="132" t="s">
        <v>308</v>
      </c>
      <c r="N2" s="132" t="s">
        <v>313</v>
      </c>
      <c r="O2" s="132" t="s">
        <v>314</v>
      </c>
      <c r="P2" s="132" t="s">
        <v>316</v>
      </c>
      <c r="Q2" s="132" t="s">
        <v>317</v>
      </c>
      <c r="R2" s="132" t="s">
        <v>310</v>
      </c>
      <c r="S2" s="132" t="s">
        <v>312</v>
      </c>
      <c r="T2" s="161" t="s">
        <v>315</v>
      </c>
      <c r="U2" s="161" t="s">
        <v>309</v>
      </c>
      <c r="V2" s="161" t="s">
        <v>311</v>
      </c>
      <c r="W2" s="161" t="s">
        <v>320</v>
      </c>
      <c r="X2" s="161" t="s">
        <v>318</v>
      </c>
      <c r="Y2" s="161" t="s">
        <v>319</v>
      </c>
      <c r="Z2" s="133"/>
      <c r="AA2" s="153"/>
      <c r="AB2" s="153"/>
      <c r="AC2" s="153"/>
      <c r="AD2" s="112"/>
      <c r="AE2" s="144"/>
      <c r="AF2" s="138"/>
      <c r="AG2" s="138"/>
      <c r="AH2" s="138"/>
      <c r="AI2" s="138"/>
      <c r="AJ2" s="138"/>
    </row>
    <row r="3" spans="1:37" s="101" customFormat="1" ht="24">
      <c r="A3" s="101" t="s">
        <v>87</v>
      </c>
      <c r="C3" s="101" t="s">
        <v>158</v>
      </c>
      <c r="D3" s="101" t="s">
        <v>52</v>
      </c>
      <c r="F3" s="244" t="s">
        <v>168</v>
      </c>
      <c r="G3" s="162">
        <v>3.9</v>
      </c>
      <c r="H3" s="162">
        <v>12</v>
      </c>
      <c r="I3" s="162">
        <v>22</v>
      </c>
      <c r="J3" s="162">
        <v>30</v>
      </c>
      <c r="K3" s="162">
        <v>80</v>
      </c>
      <c r="L3" s="162">
        <v>3.9</v>
      </c>
      <c r="M3" s="162"/>
      <c r="N3" s="162"/>
      <c r="O3" s="115"/>
      <c r="P3" s="115"/>
      <c r="Q3" s="115"/>
      <c r="R3" s="115"/>
      <c r="S3" s="115"/>
      <c r="T3" s="162"/>
      <c r="U3" s="162"/>
      <c r="V3" s="115"/>
      <c r="W3" s="115"/>
      <c r="X3" s="115"/>
      <c r="Y3" s="115"/>
      <c r="Z3" s="128">
        <v>80</v>
      </c>
      <c r="AA3" s="154"/>
      <c r="AB3" s="154"/>
      <c r="AC3" s="154"/>
      <c r="AD3" s="115"/>
      <c r="AE3" s="145"/>
      <c r="AF3" s="139"/>
      <c r="AG3" s="139"/>
      <c r="AH3" s="139"/>
      <c r="AI3" s="139"/>
      <c r="AJ3" s="139"/>
    </row>
    <row r="4" spans="1:37" s="248" customFormat="1" ht="15.75" thickBot="1">
      <c r="F4" s="261"/>
      <c r="G4" s="262" t="str">
        <f t="shared" ref="G4:L4" si="0">G29</f>
        <v>SiO2</v>
      </c>
      <c r="H4" s="262" t="str">
        <f t="shared" si="0"/>
        <v>Al2O3</v>
      </c>
      <c r="I4" s="262" t="str">
        <f t="shared" si="0"/>
        <v>HfO2</v>
      </c>
      <c r="J4" s="262" t="str">
        <f t="shared" si="0"/>
        <v>La2O3</v>
      </c>
      <c r="K4" s="262" t="str">
        <f t="shared" si="0"/>
        <v>TiO2</v>
      </c>
      <c r="L4" s="262">
        <f t="shared" si="0"/>
        <v>0</v>
      </c>
      <c r="M4" s="263" t="s">
        <v>66</v>
      </c>
      <c r="N4" s="263" t="s">
        <v>67</v>
      </c>
      <c r="O4" s="263" t="s">
        <v>68</v>
      </c>
      <c r="P4" s="263" t="s">
        <v>69</v>
      </c>
      <c r="Q4" s="263" t="s">
        <v>70</v>
      </c>
      <c r="R4" s="263" t="s">
        <v>71</v>
      </c>
      <c r="S4" s="263" t="s">
        <v>72</v>
      </c>
      <c r="T4" s="263" t="s">
        <v>154</v>
      </c>
      <c r="U4" s="263" t="s">
        <v>155</v>
      </c>
      <c r="V4" s="263" t="s">
        <v>156</v>
      </c>
      <c r="W4" s="263" t="s">
        <v>192</v>
      </c>
      <c r="X4" s="263" t="s">
        <v>194</v>
      </c>
      <c r="Y4" s="263" t="s">
        <v>240</v>
      </c>
      <c r="Z4" s="242"/>
      <c r="AA4" s="258"/>
      <c r="AB4" s="249"/>
      <c r="AC4" s="249"/>
      <c r="AD4" s="250"/>
      <c r="AE4" s="251"/>
      <c r="AF4" s="252"/>
      <c r="AG4" s="252"/>
      <c r="AH4" s="252"/>
      <c r="AI4" s="252"/>
      <c r="AJ4" s="252"/>
    </row>
    <row r="5" spans="1:37" s="219" customFormat="1" ht="15.75" thickTop="1">
      <c r="D5" s="218" t="s">
        <v>236</v>
      </c>
      <c r="E5" s="218"/>
      <c r="F5" s="264" t="s">
        <v>13</v>
      </c>
      <c r="G5" s="264">
        <v>3</v>
      </c>
      <c r="H5" s="264">
        <v>0</v>
      </c>
      <c r="I5" s="264">
        <v>0</v>
      </c>
      <c r="J5" s="264">
        <v>0</v>
      </c>
      <c r="K5" s="264">
        <v>0</v>
      </c>
      <c r="L5" s="264">
        <v>3</v>
      </c>
      <c r="M5" s="265">
        <v>1</v>
      </c>
      <c r="N5" s="265">
        <v>0.5</v>
      </c>
      <c r="O5" s="265">
        <v>0.5</v>
      </c>
      <c r="P5" s="265">
        <v>0</v>
      </c>
      <c r="Q5" s="265">
        <v>0</v>
      </c>
      <c r="R5" s="265">
        <v>1</v>
      </c>
      <c r="S5" s="265">
        <v>1</v>
      </c>
      <c r="T5" s="265">
        <v>0</v>
      </c>
      <c r="U5" s="265">
        <v>1.5</v>
      </c>
      <c r="V5" s="265">
        <v>1</v>
      </c>
      <c r="W5" s="265">
        <v>0</v>
      </c>
      <c r="X5" s="265">
        <v>0</v>
      </c>
      <c r="Y5" s="265">
        <v>0</v>
      </c>
      <c r="Z5" s="243">
        <v>0</v>
      </c>
      <c r="AA5" s="245"/>
      <c r="AB5" s="246"/>
      <c r="AC5" s="246"/>
      <c r="AD5" s="246"/>
      <c r="AE5" s="246">
        <v>0</v>
      </c>
      <c r="AF5" s="247"/>
      <c r="AG5" s="247"/>
      <c r="AH5" s="247"/>
      <c r="AI5" s="247"/>
      <c r="AJ5" s="247"/>
    </row>
    <row r="6" spans="1:37" s="222" customFormat="1" ht="15">
      <c r="D6" s="172" t="s">
        <v>237</v>
      </c>
      <c r="E6" s="172"/>
      <c r="F6" s="264" t="s">
        <v>269</v>
      </c>
      <c r="G6" s="264">
        <v>0</v>
      </c>
      <c r="H6" s="264">
        <v>3</v>
      </c>
      <c r="I6" s="264">
        <v>0</v>
      </c>
      <c r="J6" s="264">
        <v>0</v>
      </c>
      <c r="K6" s="264">
        <v>0</v>
      </c>
      <c r="L6" s="264">
        <v>0</v>
      </c>
      <c r="M6" s="265">
        <v>1</v>
      </c>
      <c r="N6" s="265">
        <v>0.5</v>
      </c>
      <c r="O6" s="264">
        <v>0</v>
      </c>
      <c r="P6" s="264">
        <v>0.5</v>
      </c>
      <c r="Q6" s="264">
        <v>0.5</v>
      </c>
      <c r="R6" s="264">
        <v>1</v>
      </c>
      <c r="S6" s="264">
        <v>0</v>
      </c>
      <c r="T6" s="265">
        <v>1</v>
      </c>
      <c r="U6" s="265">
        <v>0</v>
      </c>
      <c r="V6" s="265">
        <v>0.5</v>
      </c>
      <c r="W6" s="265">
        <v>0</v>
      </c>
      <c r="X6" s="265">
        <v>0.5</v>
      </c>
      <c r="Y6" s="265">
        <v>0</v>
      </c>
      <c r="Z6" s="234">
        <v>0</v>
      </c>
      <c r="AA6" s="236"/>
      <c r="AB6" s="220"/>
      <c r="AC6" s="220"/>
      <c r="AD6" s="220"/>
      <c r="AE6" s="220">
        <v>1</v>
      </c>
      <c r="AF6" s="221"/>
      <c r="AG6" s="221"/>
      <c r="AH6" s="221"/>
      <c r="AI6" s="221"/>
      <c r="AJ6" s="221"/>
    </row>
    <row r="7" spans="1:37" s="178" customFormat="1" ht="15">
      <c r="F7" s="264" t="s">
        <v>14</v>
      </c>
      <c r="G7" s="264">
        <v>0</v>
      </c>
      <c r="H7" s="264">
        <v>0</v>
      </c>
      <c r="I7" s="264">
        <v>3</v>
      </c>
      <c r="J7" s="264">
        <v>0</v>
      </c>
      <c r="K7" s="264">
        <v>0</v>
      </c>
      <c r="L7" s="264">
        <v>0</v>
      </c>
      <c r="M7" s="265">
        <v>1</v>
      </c>
      <c r="N7" s="265">
        <v>2</v>
      </c>
      <c r="O7" s="265">
        <v>2.5</v>
      </c>
      <c r="P7" s="265">
        <v>2.5</v>
      </c>
      <c r="Q7" s="265">
        <v>2</v>
      </c>
      <c r="R7" s="265">
        <v>0</v>
      </c>
      <c r="S7" s="265">
        <v>1</v>
      </c>
      <c r="T7" s="265">
        <v>1</v>
      </c>
      <c r="U7" s="265">
        <v>0</v>
      </c>
      <c r="V7" s="265">
        <v>0</v>
      </c>
      <c r="W7" s="265">
        <v>1.5</v>
      </c>
      <c r="X7" s="265">
        <v>0.5</v>
      </c>
      <c r="Y7" s="265">
        <v>0.5</v>
      </c>
      <c r="Z7" s="243">
        <v>0</v>
      </c>
      <c r="AA7" s="237"/>
      <c r="AB7" s="158"/>
      <c r="AC7" s="158"/>
      <c r="AD7" s="158"/>
      <c r="AE7" s="158">
        <v>1</v>
      </c>
      <c r="AF7" s="177"/>
      <c r="AG7" s="177"/>
      <c r="AH7" s="177"/>
      <c r="AI7" s="177"/>
      <c r="AJ7" s="177"/>
    </row>
    <row r="8" spans="1:37" s="134" customFormat="1" ht="15">
      <c r="D8" s="213"/>
      <c r="E8" s="213"/>
      <c r="F8" s="264" t="s">
        <v>196</v>
      </c>
      <c r="G8" s="264">
        <v>0</v>
      </c>
      <c r="H8" s="264">
        <v>0</v>
      </c>
      <c r="I8" s="264">
        <v>0</v>
      </c>
      <c r="J8" s="264">
        <v>3</v>
      </c>
      <c r="K8" s="264">
        <v>0</v>
      </c>
      <c r="L8" s="264">
        <v>0</v>
      </c>
      <c r="M8" s="265">
        <v>0</v>
      </c>
      <c r="N8" s="265">
        <v>0</v>
      </c>
      <c r="O8" s="265">
        <v>0</v>
      </c>
      <c r="P8" s="265">
        <v>0</v>
      </c>
      <c r="Q8" s="265">
        <v>0</v>
      </c>
      <c r="R8" s="265">
        <v>0</v>
      </c>
      <c r="S8" s="265">
        <v>0</v>
      </c>
      <c r="T8" s="265">
        <v>0</v>
      </c>
      <c r="U8" s="265">
        <v>0</v>
      </c>
      <c r="V8" s="265">
        <v>0</v>
      </c>
      <c r="W8" s="265">
        <v>0</v>
      </c>
      <c r="X8" s="265">
        <v>0</v>
      </c>
      <c r="Y8" s="265">
        <v>0</v>
      </c>
      <c r="Z8" s="243">
        <v>0</v>
      </c>
      <c r="AA8" s="237"/>
      <c r="AB8" s="158"/>
      <c r="AC8" s="158"/>
      <c r="AD8" s="120"/>
      <c r="AE8" s="149"/>
      <c r="AF8" s="140"/>
      <c r="AG8" s="140"/>
      <c r="AH8" s="140"/>
      <c r="AI8" s="140"/>
      <c r="AJ8" s="140"/>
    </row>
    <row r="9" spans="1:37" s="204" customFormat="1" ht="15">
      <c r="D9" s="214" t="s">
        <v>238</v>
      </c>
      <c r="E9" s="214"/>
      <c r="F9" s="264" t="s">
        <v>34</v>
      </c>
      <c r="G9" s="264">
        <v>0</v>
      </c>
      <c r="H9" s="264">
        <v>0</v>
      </c>
      <c r="I9" s="264">
        <v>0</v>
      </c>
      <c r="J9" s="264">
        <v>0</v>
      </c>
      <c r="K9" s="264">
        <v>3</v>
      </c>
      <c r="L9" s="264">
        <v>0</v>
      </c>
      <c r="M9" s="265">
        <v>0</v>
      </c>
      <c r="N9" s="265">
        <v>0</v>
      </c>
      <c r="O9" s="265">
        <v>0</v>
      </c>
      <c r="P9" s="265">
        <v>0</v>
      </c>
      <c r="Q9" s="265">
        <v>0.5</v>
      </c>
      <c r="R9" s="265">
        <v>1</v>
      </c>
      <c r="S9" s="265">
        <v>1</v>
      </c>
      <c r="T9" s="265">
        <v>1</v>
      </c>
      <c r="U9" s="265">
        <v>1.5</v>
      </c>
      <c r="V9" s="265">
        <v>1.5</v>
      </c>
      <c r="W9" s="265">
        <v>1.5</v>
      </c>
      <c r="X9" s="265">
        <v>2</v>
      </c>
      <c r="Y9" s="265">
        <v>2.5</v>
      </c>
      <c r="Z9" s="243">
        <v>3</v>
      </c>
      <c r="AA9" s="238"/>
      <c r="AB9" s="201"/>
      <c r="AC9" s="201"/>
      <c r="AD9" s="201"/>
      <c r="AE9" s="201">
        <v>1</v>
      </c>
      <c r="AF9" s="203"/>
      <c r="AG9" s="203"/>
      <c r="AH9" s="203"/>
      <c r="AI9" s="203"/>
      <c r="AJ9" s="203"/>
    </row>
    <row r="10" spans="1:37" s="225" customFormat="1" ht="15">
      <c r="D10" s="223" t="s">
        <v>239</v>
      </c>
      <c r="E10" s="223"/>
      <c r="F10" s="264" t="s">
        <v>151</v>
      </c>
      <c r="G10" s="264">
        <f t="shared" ref="G10:P10" si="1">SUM(G5:G9)</f>
        <v>3</v>
      </c>
      <c r="H10" s="264">
        <f t="shared" si="1"/>
        <v>3</v>
      </c>
      <c r="I10" s="264">
        <f t="shared" si="1"/>
        <v>3</v>
      </c>
      <c r="J10" s="264">
        <f t="shared" si="1"/>
        <v>3</v>
      </c>
      <c r="K10" s="264">
        <f t="shared" si="1"/>
        <v>3</v>
      </c>
      <c r="L10" s="264">
        <f t="shared" si="1"/>
        <v>3</v>
      </c>
      <c r="M10" s="265">
        <f t="shared" si="1"/>
        <v>3</v>
      </c>
      <c r="N10" s="265">
        <f t="shared" si="1"/>
        <v>3</v>
      </c>
      <c r="O10" s="265">
        <f t="shared" si="1"/>
        <v>3</v>
      </c>
      <c r="P10" s="265">
        <f t="shared" si="1"/>
        <v>3</v>
      </c>
      <c r="Q10" s="265">
        <v>3</v>
      </c>
      <c r="R10" s="265">
        <f>SUM(R5:R9)</f>
        <v>3</v>
      </c>
      <c r="S10" s="265">
        <f>SUM(S5:S9)</f>
        <v>3</v>
      </c>
      <c r="T10" s="265">
        <f t="shared" ref="T10:Z10" si="2">SUM(T5:T9)</f>
        <v>3</v>
      </c>
      <c r="U10" s="265">
        <f>SUM(U5:U9)</f>
        <v>3</v>
      </c>
      <c r="V10" s="265">
        <f>SUM(V5:V9)</f>
        <v>3</v>
      </c>
      <c r="W10" s="265">
        <f>SUM(W5:W9)</f>
        <v>3</v>
      </c>
      <c r="X10" s="265">
        <f t="shared" si="2"/>
        <v>3</v>
      </c>
      <c r="Y10" s="265">
        <v>3</v>
      </c>
      <c r="Z10" s="242">
        <f t="shared" si="2"/>
        <v>3</v>
      </c>
      <c r="AA10" s="239"/>
      <c r="AB10" s="224"/>
      <c r="AC10" s="224"/>
      <c r="AD10" s="224"/>
      <c r="AE10" s="224">
        <f>SUM(AE5:AE9)</f>
        <v>3</v>
      </c>
      <c r="AF10" s="207"/>
      <c r="AG10" s="207"/>
      <c r="AH10" s="207"/>
      <c r="AI10" s="207"/>
      <c r="AJ10" s="207"/>
    </row>
    <row r="11" spans="1:37" s="274" customFormat="1" ht="15">
      <c r="E11" s="274" t="s">
        <v>290</v>
      </c>
      <c r="F11" s="275"/>
      <c r="G11" s="276">
        <f>$C$18*$C$22*$C$24/(G15+G16+G17)</f>
        <v>3.9</v>
      </c>
      <c r="H11" s="276">
        <f>$C$18*$C$21*$C$24/(H15+H16+H17)</f>
        <v>12</v>
      </c>
      <c r="I11" s="276">
        <f>$C$18*$C$22*$C$24/(I15+I16+I17)</f>
        <v>25</v>
      </c>
      <c r="J11" s="276">
        <f>$C$18*$C$23*$C$24/(J15+J16+J17)</f>
        <v>30</v>
      </c>
      <c r="K11" s="276">
        <f>$C$18*$C$22*$C$24/(K15+K16+K17)</f>
        <v>95</v>
      </c>
      <c r="L11" s="275">
        <f>$C$18*$C$22*$C$24/(L15+L16+L17)</f>
        <v>3.9</v>
      </c>
      <c r="M11" s="277">
        <f>$C$18*$C$21*$C$22/(M15+M16+M17)</f>
        <v>7.9000675219446324</v>
      </c>
      <c r="N11" s="277">
        <f>$C$18*$C$21*$C$22/(N15+N16+N17)</f>
        <v>12.006157003591586</v>
      </c>
      <c r="O11" s="277">
        <f>$C$18*$C$21*$C$22/(O15+O16+O17)</f>
        <v>13.146067415730338</v>
      </c>
      <c r="P11" s="277">
        <f>$C$18*$C$21*$C$22/(P15+P16+P17)</f>
        <v>21.176470588235293</v>
      </c>
      <c r="Q11" s="277">
        <f>$C$21*$C$22*$C$24/(Q15+Q16+Q17)</f>
        <v>23.635107118175537</v>
      </c>
      <c r="R11" s="277">
        <f>$C$18*$C$21*$C$24/(R15+R16+R17)</f>
        <v>8.5648237333847046</v>
      </c>
      <c r="S11" s="277">
        <f>$C$18*$C$22*$C$24/(S15+S16+S17)</f>
        <v>9.774006331340134</v>
      </c>
      <c r="T11" s="277">
        <f>$C$21*$C$22*$C$24/(T15+T16+T17)</f>
        <v>22.411533420707734</v>
      </c>
      <c r="U11" s="277">
        <f>$C$18*$C$22*$C$24/(U15+U16+U17)</f>
        <v>7.492416582406471</v>
      </c>
      <c r="V11" s="277">
        <f>$C$18*$C$21*$C$24/(V15+V16+V17)</f>
        <v>9.5582070299903261</v>
      </c>
      <c r="W11" s="277">
        <f>$C$18*$C$22*$C$24/(W15+W16+W17)</f>
        <v>39.583333333333336</v>
      </c>
      <c r="X11" s="277">
        <f>$C$21*$C$22*$C$24/(X15+X16+X17)</f>
        <v>36.267232237539773</v>
      </c>
      <c r="Y11" s="277">
        <f>$C$18*$C$22*$C$24/(Y15+Y16+Y17)</f>
        <v>64.772727272727266</v>
      </c>
      <c r="Z11" s="278">
        <f>$C$21*$C$22*$C$24/(Z15+Z16+Z17)</f>
        <v>95</v>
      </c>
      <c r="AA11" s="253"/>
      <c r="AB11" s="206"/>
      <c r="AC11" s="206"/>
      <c r="AD11" s="206"/>
      <c r="AE11" s="206"/>
      <c r="AF11" s="207"/>
      <c r="AG11" s="207"/>
      <c r="AH11" s="207"/>
      <c r="AI11" s="207"/>
      <c r="AJ11" s="207"/>
    </row>
    <row r="12" spans="1:37" s="205" customFormat="1" ht="15">
      <c r="E12" s="205" t="s">
        <v>291</v>
      </c>
      <c r="F12" s="264" t="s">
        <v>275</v>
      </c>
      <c r="G12" s="283"/>
      <c r="H12" s="283"/>
      <c r="I12" s="283"/>
      <c r="J12" s="283"/>
      <c r="K12" s="283"/>
      <c r="L12" s="264"/>
      <c r="M12" s="284">
        <f>M14</f>
        <v>13.633333333333333</v>
      </c>
      <c r="N12" s="284">
        <f t="shared" ref="N12:Y12" si="3">N14</f>
        <v>19.316666666666666</v>
      </c>
      <c r="O12" s="284">
        <f t="shared" si="3"/>
        <v>21.483333333333334</v>
      </c>
      <c r="P12" s="284">
        <f t="shared" si="3"/>
        <v>22.833333333333332</v>
      </c>
      <c r="Q12" s="284">
        <f t="shared" si="3"/>
        <v>34.5</v>
      </c>
      <c r="R12" s="284">
        <f t="shared" si="3"/>
        <v>36.966666666666669</v>
      </c>
      <c r="S12" s="284">
        <f t="shared" si="3"/>
        <v>41.300000000000004</v>
      </c>
      <c r="T12" s="284">
        <f t="shared" si="3"/>
        <v>44</v>
      </c>
      <c r="U12" s="284">
        <f t="shared" si="3"/>
        <v>49.449999999999996</v>
      </c>
      <c r="V12" s="284">
        <f t="shared" si="3"/>
        <v>50.800000000000004</v>
      </c>
      <c r="W12" s="284">
        <f t="shared" si="3"/>
        <v>60</v>
      </c>
      <c r="X12" s="284">
        <f t="shared" si="3"/>
        <v>69.5</v>
      </c>
      <c r="Y12" s="284">
        <f t="shared" si="3"/>
        <v>83.333333333333329</v>
      </c>
      <c r="Z12" s="285"/>
      <c r="AA12" s="286"/>
      <c r="AB12" s="257"/>
      <c r="AC12" s="257"/>
      <c r="AD12" s="257"/>
      <c r="AE12" s="257"/>
      <c r="AF12" s="287"/>
      <c r="AG12" s="287"/>
      <c r="AH12" s="287"/>
      <c r="AI12" s="287"/>
      <c r="AJ12" s="287"/>
      <c r="AK12" s="274"/>
    </row>
    <row r="13" spans="1:37" s="101" customFormat="1" ht="30">
      <c r="F13" s="266" t="s">
        <v>171</v>
      </c>
      <c r="G13" s="267">
        <v>9</v>
      </c>
      <c r="H13" s="267">
        <v>8.1999999999999993</v>
      </c>
      <c r="I13" s="267">
        <v>5.2</v>
      </c>
      <c r="J13" s="267">
        <v>5.2</v>
      </c>
      <c r="K13" s="267">
        <v>3.5</v>
      </c>
      <c r="L13" s="267">
        <v>9</v>
      </c>
      <c r="M13" s="268">
        <f t="shared" ref="M13:Y13" si="4">($B$18*M5+$B$21*M6+$B$22*M7+$B$24*M9)/M10</f>
        <v>7.4666666666666659</v>
      </c>
      <c r="N13" s="268">
        <f>($B$18*N5+$B$21*N6+$B$22*N7+$B$24*N9)/N10</f>
        <v>6.333333333333333</v>
      </c>
      <c r="O13" s="268">
        <f>($B$18*O5+$B$21*O6+$B$22*O7+$B$24*O9)/O10</f>
        <v>5.833333333333333</v>
      </c>
      <c r="P13" s="268">
        <f>($B$18*P5+$B$21*P6+$B$22*P7+$B$24*P9)/P10</f>
        <v>5.7</v>
      </c>
      <c r="Q13" s="268">
        <f>($B$18*Q5+$B$21*Q6+$B$22*Q7+$B$24*Q9)/Q10</f>
        <v>5.416666666666667</v>
      </c>
      <c r="R13" s="268">
        <f t="shared" si="4"/>
        <v>6.8999999999999995</v>
      </c>
      <c r="S13" s="268">
        <f t="shared" si="4"/>
        <v>5.8999999999999995</v>
      </c>
      <c r="T13" s="268">
        <f t="shared" si="4"/>
        <v>5.6333333333333329</v>
      </c>
      <c r="U13" s="268">
        <f>($B$18*U5+$B$21*U6+$B$22*U7+$B$24*U9)/U10</f>
        <v>6.25</v>
      </c>
      <c r="V13" s="268">
        <f>($B$18*V5+$B$21*V6+$B$22*V7+$B$24*V9)/V10</f>
        <v>6.1166666666666671</v>
      </c>
      <c r="W13" s="268">
        <f>($B$18*W5+$B$21*W6+$B$22*W7+$B$24*W9)/W10</f>
        <v>4.3500000000000005</v>
      </c>
      <c r="X13" s="268">
        <f t="shared" si="4"/>
        <v>4.5666666666666664</v>
      </c>
      <c r="Y13" s="268">
        <f t="shared" si="4"/>
        <v>3.7833333333333332</v>
      </c>
      <c r="Z13" s="242">
        <v>3.5</v>
      </c>
      <c r="AA13" s="269" t="s">
        <v>187</v>
      </c>
      <c r="AB13" s="270" t="s">
        <v>185</v>
      </c>
      <c r="AC13" s="270" t="s">
        <v>184</v>
      </c>
      <c r="AD13" s="271" t="s">
        <v>186</v>
      </c>
      <c r="AE13" s="272" t="s">
        <v>175</v>
      </c>
      <c r="AF13" s="273" t="s">
        <v>176</v>
      </c>
      <c r="AG13" s="273" t="s">
        <v>191</v>
      </c>
      <c r="AH13" s="273" t="s">
        <v>177</v>
      </c>
      <c r="AI13" s="273" t="s">
        <v>177</v>
      </c>
      <c r="AJ13" s="273" t="s">
        <v>178</v>
      </c>
      <c r="AK13" s="273" t="s">
        <v>178</v>
      </c>
    </row>
    <row r="14" spans="1:37" s="205" customFormat="1">
      <c r="A14" s="205" t="s">
        <v>169</v>
      </c>
      <c r="B14" s="205" t="s">
        <v>167</v>
      </c>
      <c r="C14" s="205" t="s">
        <v>168</v>
      </c>
      <c r="F14" s="259" t="s">
        <v>150</v>
      </c>
      <c r="G14" s="260">
        <f>($C$18*G5+$C$21*G6+$C$22*G7+$C$24*G9)/G10</f>
        <v>3.9</v>
      </c>
      <c r="H14" s="260">
        <f>($C$18*H5+$C$21*H6+$C$22*H7+$C$24*H9)/H10</f>
        <v>12</v>
      </c>
      <c r="I14" s="260">
        <f>($C$18*I5+$C$21*I6+$C$22*I7+$C$24*I9)/I10</f>
        <v>25</v>
      </c>
      <c r="J14" s="260">
        <v>27</v>
      </c>
      <c r="K14" s="260">
        <f t="shared" ref="K14:Z14" si="5">($C$18*K5+$C$21*K6+$C$22*K7+$C$24*K9)/K10</f>
        <v>95</v>
      </c>
      <c r="L14" s="260">
        <f t="shared" si="5"/>
        <v>3.9</v>
      </c>
      <c r="M14" s="257">
        <f t="shared" si="5"/>
        <v>13.633333333333333</v>
      </c>
      <c r="N14" s="257">
        <f>($C$18*N5+$C$21*N6+$C$22*N7+$C$24*N9)/N10</f>
        <v>19.316666666666666</v>
      </c>
      <c r="O14" s="257">
        <f>($C$18*O5+$C$21*O6+$C$22*O7+$C$24*O9)/O10</f>
        <v>21.483333333333334</v>
      </c>
      <c r="P14" s="257">
        <f>($C$18*P5+$C$21*P6+$C$22*P7+$C$24*P9)/P10</f>
        <v>22.833333333333332</v>
      </c>
      <c r="Q14" s="257">
        <f>($C$18*Q5+$C$21*Q6+$C$22*Q7+$C$24*Q9)/Q10</f>
        <v>34.5</v>
      </c>
      <c r="R14" s="257">
        <f t="shared" si="5"/>
        <v>36.966666666666669</v>
      </c>
      <c r="S14" s="257">
        <f t="shared" si="5"/>
        <v>41.300000000000004</v>
      </c>
      <c r="T14" s="257">
        <f t="shared" si="5"/>
        <v>44</v>
      </c>
      <c r="U14" s="257">
        <f>($C$18*U5+$C$21*U6+$C$22*U7+$C$24*U9)/U10</f>
        <v>49.449999999999996</v>
      </c>
      <c r="V14" s="257">
        <f>($C$18*V5+$C$21*V6+$C$22*V7+$C$24*V9)/V10</f>
        <v>50.800000000000004</v>
      </c>
      <c r="W14" s="257">
        <f>($C$18*W5+$C$21*W6+$C$22*W7+$C$24*W9)/W10</f>
        <v>60</v>
      </c>
      <c r="X14" s="257">
        <f t="shared" si="5"/>
        <v>69.5</v>
      </c>
      <c r="Y14" s="257">
        <f t="shared" si="5"/>
        <v>83.333333333333329</v>
      </c>
      <c r="Z14" s="260">
        <f t="shared" si="5"/>
        <v>95</v>
      </c>
      <c r="AA14" s="206">
        <v>80</v>
      </c>
      <c r="AB14" s="206">
        <v>80</v>
      </c>
      <c r="AC14" s="206">
        <v>80</v>
      </c>
      <c r="AD14" s="206"/>
      <c r="AE14" s="206"/>
      <c r="AF14" s="207"/>
      <c r="AG14" s="207"/>
      <c r="AH14" s="207"/>
      <c r="AI14" s="207"/>
      <c r="AJ14" s="207"/>
    </row>
    <row r="15" spans="1:37" s="208" customFormat="1" ht="24">
      <c r="E15" s="357" t="s">
        <v>301</v>
      </c>
      <c r="F15" s="209" t="s">
        <v>230</v>
      </c>
      <c r="G15" s="227">
        <f>$C$22*$C$24*G5/G10</f>
        <v>2375</v>
      </c>
      <c r="H15" s="227">
        <f>$C$20*$C$24*H5/H10</f>
        <v>0</v>
      </c>
      <c r="I15" s="227">
        <f>$C$22*$C$24*I5/I10</f>
        <v>0</v>
      </c>
      <c r="J15" s="227">
        <f>$C$23*$C$24*J5/J10</f>
        <v>0</v>
      </c>
      <c r="K15" s="227">
        <f>$C$22*$C$24*K5/K10</f>
        <v>0</v>
      </c>
      <c r="L15" s="227">
        <f>$C$22*$C$24*L5/L10</f>
        <v>2375</v>
      </c>
      <c r="M15" s="215">
        <f>$C$21*$C$22*M5/M10</f>
        <v>100</v>
      </c>
      <c r="N15" s="215">
        <f>$C$21*$C$22*N5/N10</f>
        <v>50</v>
      </c>
      <c r="O15" s="215">
        <f>$C$21*$C$22*O5/O10</f>
        <v>50</v>
      </c>
      <c r="P15" s="215">
        <f>$C$21*$C$22*P5/P10</f>
        <v>0</v>
      </c>
      <c r="Q15" s="116">
        <f>$C$22*$C$24*Q6/Q10</f>
        <v>395.83333333333331</v>
      </c>
      <c r="R15" s="226">
        <f>$C$21*$C$24*R5/R10</f>
        <v>380</v>
      </c>
      <c r="S15" s="227">
        <f>$C$22*$C$24*S5/S10</f>
        <v>791.66666666666663</v>
      </c>
      <c r="T15" s="116">
        <f>$C$22*$C$24*T6/T10</f>
        <v>791.66666666666663</v>
      </c>
      <c r="U15" s="227">
        <f>$C$22*$C$24*U5/U10</f>
        <v>1187.5</v>
      </c>
      <c r="V15" s="226">
        <f>$C$21*$C$24*V5/V10</f>
        <v>380</v>
      </c>
      <c r="W15" s="227">
        <f>$C$22*$C$24*W5/W10</f>
        <v>0</v>
      </c>
      <c r="X15" s="116">
        <f>$C$22*$C$24*X6/X10</f>
        <v>395.83333333333331</v>
      </c>
      <c r="Y15" s="227">
        <f>$C$22*$C$24*Y5/Y10</f>
        <v>0</v>
      </c>
      <c r="Z15" s="210">
        <f>$C$22*$C$24*Z6/Z10</f>
        <v>0</v>
      </c>
      <c r="AA15" s="210"/>
      <c r="AB15" s="210"/>
      <c r="AC15" s="210"/>
      <c r="AD15" s="210"/>
      <c r="AE15" s="210"/>
      <c r="AF15" s="211"/>
      <c r="AG15" s="211"/>
      <c r="AH15" s="211"/>
      <c r="AI15" s="211"/>
      <c r="AJ15" s="211"/>
    </row>
    <row r="16" spans="1:37" s="208" customFormat="1" ht="24">
      <c r="E16" s="357"/>
      <c r="F16" s="209" t="s">
        <v>232</v>
      </c>
      <c r="G16" s="227">
        <f>$C$18*$C$24*G7/G10</f>
        <v>0</v>
      </c>
      <c r="H16" s="227">
        <f>$C$18*$C$24*H6/H10</f>
        <v>370.5</v>
      </c>
      <c r="I16" s="227">
        <f>$C$18*$C$24*I7/I10</f>
        <v>370.5</v>
      </c>
      <c r="J16" s="227">
        <f>$C$18*$C$24*J8/J10</f>
        <v>370.5</v>
      </c>
      <c r="K16" s="227">
        <f>$C$18*$C$24*K7/K10</f>
        <v>0</v>
      </c>
      <c r="L16" s="227">
        <f>$C$18*$C$24*L7/L10</f>
        <v>0</v>
      </c>
      <c r="M16" s="215">
        <f>$C$18*$C$22*M6/M10</f>
        <v>32.5</v>
      </c>
      <c r="N16" s="215">
        <f>$C$18*$C$22*N6/N10</f>
        <v>16.25</v>
      </c>
      <c r="O16" s="215">
        <f>$C$18*$C$22*O6/O10</f>
        <v>0</v>
      </c>
      <c r="P16" s="215">
        <f>$C$18*$C$22*P6/P10</f>
        <v>16.25</v>
      </c>
      <c r="Q16" s="116">
        <f>$C$21*$C$24*Q7/Q10</f>
        <v>760</v>
      </c>
      <c r="R16" s="226">
        <f>$C$18*$C$24*R6/R10</f>
        <v>123.5</v>
      </c>
      <c r="S16" s="227">
        <f>$C$18*$C$24*S7/S10</f>
        <v>123.5</v>
      </c>
      <c r="T16" s="116">
        <f>$C$21*$C$24*T7/T10</f>
        <v>380</v>
      </c>
      <c r="U16" s="227">
        <f>$C$18*$C$24*U7/U10</f>
        <v>0</v>
      </c>
      <c r="V16" s="226">
        <f>$C$18*$C$24*V6/V10</f>
        <v>61.75</v>
      </c>
      <c r="W16" s="227">
        <f>$C$18*$C$24*W7/W10</f>
        <v>185.25</v>
      </c>
      <c r="X16" s="116">
        <f>$C$21*$C$24*X7/X10</f>
        <v>190</v>
      </c>
      <c r="Y16" s="227">
        <f>$C$18*$C$24*Y7/Y10</f>
        <v>61.75</v>
      </c>
      <c r="Z16" s="210">
        <f>$C$21*$C$24*Z7/Z10</f>
        <v>0</v>
      </c>
      <c r="AA16" s="210"/>
      <c r="AB16" s="210"/>
      <c r="AC16" s="210"/>
      <c r="AD16" s="210"/>
      <c r="AE16" s="210"/>
      <c r="AF16" s="211"/>
      <c r="AG16" s="211"/>
      <c r="AH16" s="211"/>
      <c r="AI16" s="211"/>
      <c r="AJ16" s="211"/>
    </row>
    <row r="17" spans="1:37" s="208" customFormat="1" ht="24">
      <c r="E17" s="358"/>
      <c r="F17" s="209" t="s">
        <v>231</v>
      </c>
      <c r="G17" s="227">
        <f>$C$18*$C$22*G9/G10</f>
        <v>0</v>
      </c>
      <c r="H17" s="227">
        <f>$C$18*$C$22*H9/H10</f>
        <v>0</v>
      </c>
      <c r="I17" s="227">
        <f>$C$18*$C$22*I9/I10</f>
        <v>0</v>
      </c>
      <c r="J17" s="227">
        <f>$C$18*$C$23*J9/J10</f>
        <v>0</v>
      </c>
      <c r="K17" s="227">
        <f>$C$18*$C$22*K9/K10</f>
        <v>97.5</v>
      </c>
      <c r="L17" s="227">
        <f>$C$18*$C$22*L9/L10</f>
        <v>0</v>
      </c>
      <c r="M17" s="215">
        <f>$C$21*$C$18*M7/M10</f>
        <v>15.6</v>
      </c>
      <c r="N17" s="215">
        <f>$C$21*$C$18*N7/N10</f>
        <v>31.2</v>
      </c>
      <c r="O17" s="215">
        <f>$C$21*$C$18*O7/O10</f>
        <v>39</v>
      </c>
      <c r="P17" s="215">
        <f>$C$21*$C$18*P7/P10</f>
        <v>39</v>
      </c>
      <c r="Q17" s="116">
        <f>$C$22*$C$21*Q9/Q10</f>
        <v>50</v>
      </c>
      <c r="R17" s="226">
        <f>$C$18*$C$21*R9/R10</f>
        <v>15.6</v>
      </c>
      <c r="S17" s="227">
        <f>$C$18*$C$22*S9/S10</f>
        <v>32.5</v>
      </c>
      <c r="T17" s="116">
        <f>$C$22*$C$21*T9/T10</f>
        <v>100</v>
      </c>
      <c r="U17" s="227">
        <f>$C$18*$C$22*U9/U10</f>
        <v>48.75</v>
      </c>
      <c r="V17" s="226">
        <f>$C$18*$C$21*V9/V10</f>
        <v>23.399999999999995</v>
      </c>
      <c r="W17" s="227">
        <f>$C$18*$C$22*W9/W10</f>
        <v>48.75</v>
      </c>
      <c r="X17" s="116">
        <f>$C$22*$C$21*X9/X10</f>
        <v>200</v>
      </c>
      <c r="Y17" s="227">
        <f>$C$18*$C$22*Y9/Y10</f>
        <v>81.25</v>
      </c>
      <c r="Z17" s="210">
        <f>$C$22*$C$21*Z9/Z10</f>
        <v>300</v>
      </c>
      <c r="AA17" s="210" t="s">
        <v>332</v>
      </c>
      <c r="AB17" s="210" t="s">
        <v>333</v>
      </c>
      <c r="AC17" s="210" t="s">
        <v>334</v>
      </c>
      <c r="AD17" s="210" t="s">
        <v>335</v>
      </c>
      <c r="AE17" s="210"/>
      <c r="AF17" s="211"/>
      <c r="AG17" s="211"/>
      <c r="AH17" s="211"/>
      <c r="AI17" s="211"/>
      <c r="AJ17" s="211"/>
    </row>
    <row r="18" spans="1:37" ht="15.75">
      <c r="A18" s="48" t="s">
        <v>23</v>
      </c>
      <c r="B18" s="48">
        <v>9</v>
      </c>
      <c r="C18" s="48">
        <v>3.9</v>
      </c>
      <c r="D18" s="212" t="s">
        <v>233</v>
      </c>
      <c r="E18" s="109" t="s">
        <v>258</v>
      </c>
      <c r="F18" s="135" t="s">
        <v>257</v>
      </c>
      <c r="G18" s="304">
        <v>0.53180000000000005</v>
      </c>
      <c r="H18" s="304">
        <v>0.75160000000000005</v>
      </c>
      <c r="I18" s="313">
        <v>0.86729999999999996</v>
      </c>
      <c r="J18" s="304">
        <v>0.88529999999999998</v>
      </c>
      <c r="K18" s="304">
        <v>0.94210000000000005</v>
      </c>
      <c r="L18" s="304">
        <f t="shared" ref="L18:L26" si="6">G18</f>
        <v>0.53180000000000005</v>
      </c>
      <c r="M18" s="304">
        <v>0.70120000000000005</v>
      </c>
      <c r="N18" s="304">
        <v>0.78169999999999995</v>
      </c>
      <c r="O18" s="304">
        <v>0.80010000000000003</v>
      </c>
      <c r="P18" s="304">
        <v>0.84470000000000001</v>
      </c>
      <c r="Q18" s="304">
        <v>0.85799999999999998</v>
      </c>
      <c r="R18" s="304">
        <v>0.73119999999999996</v>
      </c>
      <c r="S18" s="304">
        <v>0.76880000000000004</v>
      </c>
      <c r="T18" s="304">
        <v>0.84970000000000001</v>
      </c>
      <c r="U18" s="304">
        <v>0.72519999999999996</v>
      </c>
      <c r="V18" s="304">
        <v>0.7631</v>
      </c>
      <c r="W18" s="304">
        <v>0.90269999999999995</v>
      </c>
      <c r="X18" s="304">
        <v>0.8952</v>
      </c>
      <c r="Y18" s="304">
        <v>0.92789999999999995</v>
      </c>
      <c r="Z18" s="304">
        <v>0.94210000000000005</v>
      </c>
      <c r="AA18" s="304">
        <f>MIN(M18:Z18)</f>
        <v>0.70120000000000005</v>
      </c>
      <c r="AB18" s="304">
        <f>MAX(G18:Z18)</f>
        <v>0.94210000000000005</v>
      </c>
      <c r="AC18" s="311">
        <f>(AA18-$I$18)/I18</f>
        <v>-0.19151389369307037</v>
      </c>
      <c r="AD18" s="309">
        <f>(AB18-$I$18)/$I$18</f>
        <v>8.6244667358468918E-2</v>
      </c>
      <c r="AE18" s="147"/>
      <c r="AF18" s="141"/>
      <c r="AG18" s="141"/>
      <c r="AH18" s="141"/>
      <c r="AI18" s="141"/>
      <c r="AJ18" s="141"/>
    </row>
    <row r="19" spans="1:37" ht="15.75">
      <c r="A19" s="48" t="s">
        <v>170</v>
      </c>
      <c r="B19" s="48">
        <v>4.5999999999999996</v>
      </c>
      <c r="C19" s="48">
        <v>7.5</v>
      </c>
      <c r="E19" s="109" t="s">
        <v>259</v>
      </c>
      <c r="F19" s="135" t="s">
        <v>260</v>
      </c>
      <c r="G19" s="304">
        <v>89.6</v>
      </c>
      <c r="H19" s="304">
        <v>87.8</v>
      </c>
      <c r="I19" s="313">
        <v>82.5</v>
      </c>
      <c r="J19" s="304">
        <v>81.8</v>
      </c>
      <c r="K19" s="304">
        <v>76.2</v>
      </c>
      <c r="L19" s="304">
        <f t="shared" si="6"/>
        <v>89.6</v>
      </c>
      <c r="M19" s="304">
        <v>82.6</v>
      </c>
      <c r="N19" s="304">
        <v>81.099999999999994</v>
      </c>
      <c r="O19" s="304">
        <v>81.7</v>
      </c>
      <c r="P19" s="304">
        <v>82</v>
      </c>
      <c r="Q19" s="304">
        <v>80.3</v>
      </c>
      <c r="R19" s="304">
        <v>78.900000000000006</v>
      </c>
      <c r="S19" s="304">
        <v>76.8</v>
      </c>
      <c r="T19" s="304">
        <v>79</v>
      </c>
      <c r="U19" s="304">
        <v>77.099999999999994</v>
      </c>
      <c r="V19" s="304">
        <v>76.2</v>
      </c>
      <c r="W19" s="304">
        <v>79.8</v>
      </c>
      <c r="X19" s="304">
        <v>78.3</v>
      </c>
      <c r="Y19" s="304">
        <v>77</v>
      </c>
      <c r="Z19" s="304">
        <v>76.2</v>
      </c>
      <c r="AA19" s="304">
        <f t="shared" ref="AA19:AA27" si="7">MIN(G19:Z19)</f>
        <v>76.2</v>
      </c>
      <c r="AB19" s="304">
        <f t="shared" ref="AB19:AB29" si="8">MAX(G19:Z19)</f>
        <v>89.6</v>
      </c>
      <c r="AC19" s="311">
        <f>(AA19-$I$19)/I19</f>
        <v>-7.6363636363636328E-2</v>
      </c>
      <c r="AD19" s="309">
        <f t="shared" ref="AD19:AD29" si="9">(AB19-$I$18)/$I$18</f>
        <v>102.3091202582728</v>
      </c>
      <c r="AE19" s="147"/>
      <c r="AF19" s="141"/>
      <c r="AG19" s="141"/>
      <c r="AH19" s="141"/>
      <c r="AI19" s="141"/>
      <c r="AJ19" s="141"/>
    </row>
    <row r="20" spans="1:37" ht="15.75">
      <c r="A20" s="48" t="s">
        <v>39</v>
      </c>
      <c r="B20" s="48"/>
      <c r="C20" s="48">
        <v>12</v>
      </c>
      <c r="F20" s="135" t="s">
        <v>143</v>
      </c>
      <c r="G20" s="304">
        <v>89.5</v>
      </c>
      <c r="H20" s="304">
        <v>88.1</v>
      </c>
      <c r="I20" s="313">
        <v>82.8</v>
      </c>
      <c r="J20" s="304">
        <v>82.1</v>
      </c>
      <c r="K20" s="304">
        <v>75</v>
      </c>
      <c r="L20" s="304">
        <f t="shared" si="6"/>
        <v>89.5</v>
      </c>
      <c r="M20" s="304">
        <v>82.7</v>
      </c>
      <c r="N20" s="304">
        <v>81.400000000000006</v>
      </c>
      <c r="O20" s="304">
        <v>81.900000000000006</v>
      </c>
      <c r="P20" s="304">
        <v>82.4</v>
      </c>
      <c r="Q20" s="304">
        <v>80.7</v>
      </c>
      <c r="R20" s="304">
        <v>-1099.8</v>
      </c>
      <c r="S20" s="304">
        <v>76.900000000000006</v>
      </c>
      <c r="T20" s="304">
        <v>79.3</v>
      </c>
      <c r="U20" s="304">
        <v>77.3</v>
      </c>
      <c r="V20" s="304">
        <v>76.3</v>
      </c>
      <c r="W20" s="304">
        <v>80</v>
      </c>
      <c r="X20" s="304">
        <v>78.400000000000006</v>
      </c>
      <c r="Y20" s="304">
        <v>76.2</v>
      </c>
      <c r="Z20" s="304">
        <v>75</v>
      </c>
      <c r="AA20" s="304">
        <f t="shared" si="7"/>
        <v>-1099.8</v>
      </c>
      <c r="AB20" s="304">
        <f t="shared" si="8"/>
        <v>89.5</v>
      </c>
      <c r="AC20" s="309">
        <f>(AA20-$I$18)/I20</f>
        <v>-13.293083333333332</v>
      </c>
      <c r="AD20" s="309">
        <f t="shared" si="9"/>
        <v>102.1938199008417</v>
      </c>
      <c r="AE20" s="147"/>
      <c r="AF20" s="141"/>
      <c r="AG20" s="141"/>
      <c r="AH20" s="141"/>
      <c r="AI20" s="141"/>
      <c r="AJ20" s="141"/>
    </row>
    <row r="21" spans="1:37" ht="15.75">
      <c r="A21" s="48" t="s">
        <v>25</v>
      </c>
      <c r="B21" s="48">
        <v>8.1999999999999993</v>
      </c>
      <c r="C21" s="48">
        <v>12</v>
      </c>
      <c r="D21" s="212" t="s">
        <v>234</v>
      </c>
      <c r="E21" s="109" t="s">
        <v>261</v>
      </c>
      <c r="F21" s="135" t="s">
        <v>262</v>
      </c>
      <c r="G21" s="304">
        <v>19.3</v>
      </c>
      <c r="H21" s="304">
        <v>13.13</v>
      </c>
      <c r="I21" s="313">
        <v>8.8699999999999992</v>
      </c>
      <c r="J21" s="304">
        <v>7.57</v>
      </c>
      <c r="K21" s="304">
        <v>5.04</v>
      </c>
      <c r="L21" s="304">
        <f t="shared" si="6"/>
        <v>19.3</v>
      </c>
      <c r="M21" s="304">
        <v>15.22</v>
      </c>
      <c r="N21" s="304">
        <v>9.3000000000000007</v>
      </c>
      <c r="O21" s="304">
        <v>8.43</v>
      </c>
      <c r="P21" s="304">
        <v>9.83</v>
      </c>
      <c r="Q21" s="304">
        <v>8.6999999999999993</v>
      </c>
      <c r="R21" s="304">
        <v>12.52</v>
      </c>
      <c r="S21" s="304">
        <v>9.48</v>
      </c>
      <c r="T21" s="304">
        <v>8.8699999999999992</v>
      </c>
      <c r="U21" s="304">
        <v>12.7</v>
      </c>
      <c r="V21" s="304">
        <v>9.74</v>
      </c>
      <c r="W21" s="304">
        <v>6.17</v>
      </c>
      <c r="X21" s="304">
        <v>6.43</v>
      </c>
      <c r="Y21" s="304">
        <v>5.48</v>
      </c>
      <c r="Z21" s="304">
        <v>5.04</v>
      </c>
      <c r="AA21" s="304">
        <f>MIN(G21:Z21)</f>
        <v>5.04</v>
      </c>
      <c r="AB21" s="304">
        <f t="shared" si="8"/>
        <v>19.3</v>
      </c>
      <c r="AC21" s="311">
        <f>(AA21-$I$21)/I21</f>
        <v>-0.43179255918827503</v>
      </c>
      <c r="AD21" s="309">
        <f t="shared" si="9"/>
        <v>21.252968984203854</v>
      </c>
      <c r="AE21" s="147"/>
      <c r="AF21" s="141"/>
      <c r="AG21" s="102"/>
      <c r="AH21" s="141"/>
      <c r="AI21" s="102"/>
      <c r="AJ21" s="141"/>
      <c r="AK21" s="102" t="s">
        <v>180</v>
      </c>
    </row>
    <row r="22" spans="1:37" ht="15.75">
      <c r="A22" s="48" t="s">
        <v>21</v>
      </c>
      <c r="B22" s="48">
        <v>5.2</v>
      </c>
      <c r="C22" s="48">
        <v>25</v>
      </c>
      <c r="F22" s="135" t="s">
        <v>321</v>
      </c>
      <c r="G22" s="305">
        <v>9.9999999999999994E-12</v>
      </c>
      <c r="H22" s="305">
        <v>1E-13</v>
      </c>
      <c r="I22" s="314">
        <v>1E-14</v>
      </c>
      <c r="J22" s="305">
        <v>1E-14</v>
      </c>
      <c r="K22" s="305">
        <v>1E-14</v>
      </c>
      <c r="L22" s="305">
        <f t="shared" si="6"/>
        <v>9.9999999999999994E-12</v>
      </c>
      <c r="M22" s="305">
        <v>1E-13</v>
      </c>
      <c r="N22" s="305">
        <v>1E-14</v>
      </c>
      <c r="O22" s="305">
        <v>1E-14</v>
      </c>
      <c r="P22" s="305">
        <v>1E-14</v>
      </c>
      <c r="Q22" s="305">
        <v>1E-14</v>
      </c>
      <c r="R22" s="305">
        <v>1E-13</v>
      </c>
      <c r="S22" s="305">
        <v>1E-14</v>
      </c>
      <c r="T22" s="305">
        <v>1E-14</v>
      </c>
      <c r="U22" s="305">
        <v>1E-13</v>
      </c>
      <c r="V22" s="305">
        <v>1E-14</v>
      </c>
      <c r="W22" s="305">
        <v>1.0000000000000001E-15</v>
      </c>
      <c r="X22" s="305">
        <v>1.0000000000000001E-15</v>
      </c>
      <c r="Y22" s="305">
        <v>1.0000000000000001E-15</v>
      </c>
      <c r="Z22" s="305">
        <v>1E-14</v>
      </c>
      <c r="AA22" s="305">
        <f t="shared" si="7"/>
        <v>1.0000000000000001E-15</v>
      </c>
      <c r="AB22" s="305">
        <f t="shared" si="8"/>
        <v>9.9999999999999994E-12</v>
      </c>
      <c r="AC22" s="311">
        <f>(AA22-$I$22)/I22</f>
        <v>-0.89999999999999991</v>
      </c>
      <c r="AD22" s="309">
        <f t="shared" si="9"/>
        <v>-0.99999999998847</v>
      </c>
      <c r="AE22" s="148"/>
      <c r="AF22" s="141"/>
      <c r="AG22" s="141"/>
      <c r="AH22" s="141"/>
      <c r="AI22" s="141"/>
      <c r="AJ22" s="141"/>
    </row>
    <row r="23" spans="1:37" ht="15.75">
      <c r="A23" s="48" t="s">
        <v>26</v>
      </c>
      <c r="B23" s="48">
        <v>5.6</v>
      </c>
      <c r="C23" s="48">
        <v>30</v>
      </c>
      <c r="F23" s="135" t="s">
        <v>322</v>
      </c>
      <c r="G23" s="305">
        <v>9.9999999999999995E-8</v>
      </c>
      <c r="H23" s="305">
        <v>9.9999999999999995E-8</v>
      </c>
      <c r="I23" s="314">
        <v>9.9999999999999995E-8</v>
      </c>
      <c r="J23" s="305">
        <v>9.9999999999999995E-8</v>
      </c>
      <c r="K23" s="305">
        <v>9.9999999999999995E-8</v>
      </c>
      <c r="L23" s="305">
        <f t="shared" si="6"/>
        <v>9.9999999999999995E-8</v>
      </c>
      <c r="M23" s="305">
        <v>9.9999999999999995E-8</v>
      </c>
      <c r="N23" s="305">
        <v>9.9999999999999995E-8</v>
      </c>
      <c r="O23" s="305">
        <v>9.9999999999999995E-8</v>
      </c>
      <c r="P23" s="305">
        <v>9.9999999999999995E-8</v>
      </c>
      <c r="Q23" s="305">
        <v>9.9999999999999995E-8</v>
      </c>
      <c r="R23" s="305">
        <v>9.9999999999999995E-8</v>
      </c>
      <c r="S23" s="305">
        <v>9.9999999999999995E-8</v>
      </c>
      <c r="T23" s="305">
        <v>9.9999999999999995E-8</v>
      </c>
      <c r="U23" s="305">
        <v>9.9999999999999995E-8</v>
      </c>
      <c r="V23" s="305">
        <v>9.9999999999999995E-8</v>
      </c>
      <c r="W23" s="305">
        <v>9.9999999999999995E-8</v>
      </c>
      <c r="X23" s="305">
        <v>9.9999999999999995E-8</v>
      </c>
      <c r="Y23" s="305">
        <v>9.9999999999999995E-8</v>
      </c>
      <c r="Z23" s="305">
        <v>9.9999999999999995E-8</v>
      </c>
      <c r="AA23" s="305">
        <f t="shared" si="7"/>
        <v>9.9999999999999995E-8</v>
      </c>
      <c r="AB23" s="305">
        <f t="shared" si="8"/>
        <v>9.9999999999999995E-8</v>
      </c>
      <c r="AC23" s="309">
        <f>(AA23-$I$23)/I23</f>
        <v>0</v>
      </c>
      <c r="AD23" s="309">
        <f t="shared" si="9"/>
        <v>-0.99999988469964263</v>
      </c>
      <c r="AE23" s="148"/>
      <c r="AF23" s="141"/>
      <c r="AG23" s="141"/>
      <c r="AH23" s="141"/>
      <c r="AI23" s="141"/>
      <c r="AJ23" s="141"/>
    </row>
    <row r="24" spans="1:37" s="320" customFormat="1" ht="15.75">
      <c r="A24" s="315" t="s">
        <v>20</v>
      </c>
      <c r="B24" s="315">
        <v>3.5</v>
      </c>
      <c r="C24" s="315">
        <v>95</v>
      </c>
      <c r="D24" s="316" t="s">
        <v>235</v>
      </c>
      <c r="E24" s="316"/>
      <c r="F24" s="317" t="s">
        <v>242</v>
      </c>
      <c r="G24" s="305">
        <v>10000</v>
      </c>
      <c r="H24" s="305">
        <v>1000000</v>
      </c>
      <c r="I24" s="305">
        <v>10000000</v>
      </c>
      <c r="J24" s="305">
        <v>10000000</v>
      </c>
      <c r="K24" s="305">
        <v>10000000</v>
      </c>
      <c r="L24" s="305">
        <f t="shared" si="6"/>
        <v>10000</v>
      </c>
      <c r="M24" s="305">
        <v>1000000</v>
      </c>
      <c r="N24" s="305">
        <v>10000000</v>
      </c>
      <c r="O24" s="305">
        <v>10000000</v>
      </c>
      <c r="P24" s="305">
        <v>10000000</v>
      </c>
      <c r="Q24" s="305">
        <v>10000000</v>
      </c>
      <c r="R24" s="305">
        <v>1000000</v>
      </c>
      <c r="S24" s="305">
        <v>10000000</v>
      </c>
      <c r="T24" s="305">
        <v>10000000</v>
      </c>
      <c r="U24" s="305">
        <v>1000000</v>
      </c>
      <c r="V24" s="305">
        <v>10000000</v>
      </c>
      <c r="W24" s="305">
        <v>100000000</v>
      </c>
      <c r="X24" s="305">
        <v>100000000</v>
      </c>
      <c r="Y24" s="305">
        <v>100000000</v>
      </c>
      <c r="Z24" s="305">
        <v>10000000</v>
      </c>
      <c r="AA24" s="305">
        <f t="shared" si="7"/>
        <v>10000</v>
      </c>
      <c r="AB24" s="305">
        <f>MAX(G24:Z24)</f>
        <v>100000000</v>
      </c>
      <c r="AC24" s="310">
        <f>(AA24-$I$24)/I24</f>
        <v>-0.999</v>
      </c>
      <c r="AD24" s="321">
        <f>(AB24-$I$24)/$I$24</f>
        <v>9</v>
      </c>
      <c r="AE24" s="318"/>
      <c r="AF24" s="319"/>
      <c r="AG24" s="319"/>
      <c r="AH24" s="319"/>
      <c r="AI24" s="319"/>
      <c r="AJ24" s="319"/>
    </row>
    <row r="25" spans="1:37">
      <c r="E25" s="109" t="s">
        <v>264</v>
      </c>
      <c r="F25" s="135" t="s">
        <v>263</v>
      </c>
      <c r="G25" s="305">
        <v>3.5499100140000001E-14</v>
      </c>
      <c r="H25" s="305">
        <v>4.2756333009999998E-16</v>
      </c>
      <c r="I25" s="314">
        <v>7.4843940040000001E-16</v>
      </c>
      <c r="J25" s="306">
        <v>1.4999248239999999E-15</v>
      </c>
      <c r="K25" s="306">
        <v>1.483032294E-14</v>
      </c>
      <c r="L25" s="306">
        <f t="shared" si="6"/>
        <v>3.5499100140000001E-14</v>
      </c>
      <c r="M25" s="306">
        <v>3.2803418760000001E-16</v>
      </c>
      <c r="N25" s="306">
        <v>2.2342132890000001E-17</v>
      </c>
      <c r="O25" s="306">
        <v>1.3535978149999999E-16</v>
      </c>
      <c r="P25" s="306">
        <v>7.4776230850000004E-16</v>
      </c>
      <c r="Q25" s="306">
        <v>1.0119630439999999E-15</v>
      </c>
      <c r="R25" s="306">
        <v>3.716788569E-17</v>
      </c>
      <c r="S25" s="306">
        <v>1.9312871429999999E-16</v>
      </c>
      <c r="T25" s="306">
        <v>1.2531103650000001E-15</v>
      </c>
      <c r="U25" s="306">
        <v>4.7144181870000002E-17</v>
      </c>
      <c r="V25" s="306">
        <v>2.2839110080000001E-16</v>
      </c>
      <c r="W25" s="306">
        <v>4.2920780240000002E-15</v>
      </c>
      <c r="X25" s="306">
        <v>3.9813840200000001E-15</v>
      </c>
      <c r="Y25" s="306">
        <v>3.3363251519999998E-15</v>
      </c>
      <c r="Z25" s="306">
        <v>1.483032294E-14</v>
      </c>
      <c r="AA25" s="306">
        <f t="shared" si="7"/>
        <v>2.2342132890000001E-17</v>
      </c>
      <c r="AB25" s="306">
        <f>MAX(M25:Y25)</f>
        <v>4.2920780240000002E-15</v>
      </c>
      <c r="AC25" s="309">
        <f>(AA25-$I$25)/I25</f>
        <v>-0.97014837423302491</v>
      </c>
      <c r="AD25" s="312">
        <f>(AB25-$I$25)/$I$25</f>
        <v>4.7347034665814212</v>
      </c>
      <c r="AE25" s="148"/>
      <c r="AF25" s="141"/>
      <c r="AG25" s="141"/>
      <c r="AH25" s="141"/>
      <c r="AI25" s="141"/>
      <c r="AJ25" s="141"/>
    </row>
    <row r="26" spans="1:37">
      <c r="E26" s="109" t="s">
        <v>265</v>
      </c>
      <c r="F26" s="135" t="s">
        <v>266</v>
      </c>
      <c r="G26" s="305">
        <v>2.0045235509999999E-5</v>
      </c>
      <c r="H26" s="305">
        <v>1.870040223E-5</v>
      </c>
      <c r="I26" s="314">
        <v>1.1713095980000001E-5</v>
      </c>
      <c r="J26" s="305">
        <v>1.423963863E-5</v>
      </c>
      <c r="K26" s="305">
        <v>1.372821104E-5</v>
      </c>
      <c r="L26" s="305">
        <f t="shared" si="6"/>
        <v>2.0045235509999999E-5</v>
      </c>
      <c r="M26" s="305">
        <v>1.9071899419999999E-5</v>
      </c>
      <c r="N26" s="305">
        <v>1.632321543E-5</v>
      </c>
      <c r="O26" s="305">
        <v>1.8835130689999999E-5</v>
      </c>
      <c r="P26" s="305">
        <v>1.425507866E-5</v>
      </c>
      <c r="Q26" s="305">
        <v>1.5619603890000002E-5</v>
      </c>
      <c r="R26" s="305">
        <v>1.085889421E-5</v>
      </c>
      <c r="S26" s="305">
        <v>1.786813879E-5</v>
      </c>
      <c r="T26" s="305">
        <v>1.231310583E-5</v>
      </c>
      <c r="U26" s="305">
        <v>1.9268158390000001E-5</v>
      </c>
      <c r="V26" s="305">
        <v>1.7931580230000001E-5</v>
      </c>
      <c r="W26" s="305">
        <v>1.4197163190000001E-5</v>
      </c>
      <c r="X26" s="305">
        <v>1.590327458E-5</v>
      </c>
      <c r="Y26" s="305">
        <v>1.4735582659999999E-5</v>
      </c>
      <c r="Z26" s="305">
        <v>1.372821104E-5</v>
      </c>
      <c r="AA26" s="305">
        <f t="shared" si="7"/>
        <v>1.085889421E-5</v>
      </c>
      <c r="AB26" s="305">
        <f t="shared" si="8"/>
        <v>2.0045235509999999E-5</v>
      </c>
      <c r="AC26" s="309">
        <f>(AA26-$I$26)/I26</f>
        <v>-7.2927069961566254E-2</v>
      </c>
      <c r="AD26" s="309">
        <f>(AB26-$I$25)/$I$25</f>
        <v>26782710127.952213</v>
      </c>
      <c r="AE26" s="148"/>
      <c r="AF26" s="141"/>
      <c r="AG26" s="141"/>
      <c r="AH26" s="141"/>
      <c r="AI26" s="141"/>
      <c r="AJ26" s="141"/>
      <c r="AK26" s="102" t="s">
        <v>179</v>
      </c>
    </row>
    <row r="27" spans="1:37">
      <c r="E27" s="109" t="s">
        <v>267</v>
      </c>
      <c r="F27" s="135" t="s">
        <v>268</v>
      </c>
      <c r="G27" s="305">
        <v>564668800</v>
      </c>
      <c r="H27" s="305">
        <v>43737150000</v>
      </c>
      <c r="I27" s="314">
        <f>I26/I25</f>
        <v>15650025872.154766</v>
      </c>
      <c r="J27" s="305">
        <f>J26/J25</f>
        <v>9493568212.3226204</v>
      </c>
      <c r="K27" s="305">
        <f>K26/K25</f>
        <v>925685239.32628536</v>
      </c>
      <c r="L27" s="305">
        <f>L26/L25</f>
        <v>564668834.72951043</v>
      </c>
      <c r="M27" s="305">
        <f t="shared" ref="M27:Z27" si="10">M26/M25</f>
        <v>58139974859.132637</v>
      </c>
      <c r="N27" s="305">
        <f>N26/N25</f>
        <v>730602378491.17896</v>
      </c>
      <c r="O27" s="305">
        <f>O26/O25</f>
        <v>139148648743.94025</v>
      </c>
      <c r="P27" s="305">
        <f>P26/P25</f>
        <v>19063649635.66494</v>
      </c>
      <c r="Q27" s="305">
        <f>Q26/Q25</f>
        <v>15434954846.038828</v>
      </c>
      <c r="R27" s="305">
        <f t="shared" si="10"/>
        <v>292157974778.79083</v>
      </c>
      <c r="S27" s="305">
        <f t="shared" si="10"/>
        <v>92519327614.039841</v>
      </c>
      <c r="T27" s="305">
        <f t="shared" si="10"/>
        <v>9826034620.661684</v>
      </c>
      <c r="U27" s="305">
        <f>U26/U25</f>
        <v>408707026524.11945</v>
      </c>
      <c r="V27" s="305">
        <f>V26/V25</f>
        <v>78512604769.581284</v>
      </c>
      <c r="W27" s="305">
        <f>W26/W25</f>
        <v>3307759810.1930499</v>
      </c>
      <c r="X27" s="305">
        <f t="shared" si="10"/>
        <v>3994408602.6647587</v>
      </c>
      <c r="Y27" s="305">
        <f t="shared" si="10"/>
        <v>4416710598.8355417</v>
      </c>
      <c r="Z27" s="305">
        <f t="shared" si="10"/>
        <v>925685239.32628536</v>
      </c>
      <c r="AA27" s="305">
        <f t="shared" si="7"/>
        <v>564668800</v>
      </c>
      <c r="AB27" s="305">
        <f t="shared" si="8"/>
        <v>730602378491.17896</v>
      </c>
      <c r="AC27" s="309">
        <f>(AA27-$I$18)/I27</f>
        <v>3.608101377885798E-2</v>
      </c>
      <c r="AD27" s="309">
        <f t="shared" si="9"/>
        <v>842387153799.5061</v>
      </c>
      <c r="AE27" s="148"/>
      <c r="AF27" s="141"/>
      <c r="AG27" s="141"/>
      <c r="AH27" s="141"/>
      <c r="AI27" s="141"/>
      <c r="AJ27" s="141"/>
    </row>
    <row r="28" spans="1:37">
      <c r="E28" s="102"/>
      <c r="F28" s="135" t="s">
        <v>337</v>
      </c>
      <c r="G28" s="305"/>
      <c r="H28" s="305"/>
      <c r="I28" s="314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9"/>
      <c r="AD28" s="309"/>
      <c r="AE28" s="148"/>
      <c r="AF28" s="141"/>
      <c r="AG28" s="141"/>
      <c r="AH28" s="141"/>
      <c r="AI28" s="141"/>
      <c r="AJ28" s="141"/>
    </row>
    <row r="29" spans="1:37">
      <c r="F29" s="109" t="s">
        <v>153</v>
      </c>
      <c r="G29" s="123" t="s">
        <v>23</v>
      </c>
      <c r="H29" s="123" t="s">
        <v>195</v>
      </c>
      <c r="I29" s="136" t="s">
        <v>21</v>
      </c>
      <c r="J29" s="136" t="s">
        <v>26</v>
      </c>
      <c r="K29" s="136" t="s">
        <v>20</v>
      </c>
      <c r="L29" s="128"/>
      <c r="M29" s="166" t="s">
        <v>66</v>
      </c>
      <c r="N29" s="166" t="s">
        <v>67</v>
      </c>
      <c r="O29" s="166" t="s">
        <v>68</v>
      </c>
      <c r="P29" s="166" t="s">
        <v>69</v>
      </c>
      <c r="Q29" s="166" t="s">
        <v>70</v>
      </c>
      <c r="R29" s="166" t="s">
        <v>71</v>
      </c>
      <c r="S29" s="166" t="s">
        <v>72</v>
      </c>
      <c r="T29" s="166" t="s">
        <v>154</v>
      </c>
      <c r="U29" s="166" t="s">
        <v>155</v>
      </c>
      <c r="V29" s="166" t="s">
        <v>156</v>
      </c>
      <c r="W29" s="166" t="s">
        <v>192</v>
      </c>
      <c r="X29" s="166" t="s">
        <v>194</v>
      </c>
      <c r="Y29" s="166" t="s">
        <v>240</v>
      </c>
      <c r="Z29" s="129"/>
      <c r="AA29" s="304"/>
      <c r="AB29" s="304">
        <f t="shared" si="8"/>
        <v>0</v>
      </c>
      <c r="AC29" s="158"/>
      <c r="AD29" s="309">
        <f t="shared" si="9"/>
        <v>-1</v>
      </c>
      <c r="AE29" s="149"/>
      <c r="AF29" s="140"/>
      <c r="AG29" s="140"/>
      <c r="AH29" s="140"/>
      <c r="AI29" s="140"/>
      <c r="AJ29" s="140"/>
    </row>
    <row r="30" spans="1:37">
      <c r="D30" s="12"/>
      <c r="M30" s="170"/>
      <c r="N30" s="170"/>
      <c r="O30" s="171"/>
      <c r="P30" s="171"/>
      <c r="Q30" s="171"/>
      <c r="R30" s="171" t="s">
        <v>197</v>
      </c>
      <c r="S30" s="171"/>
      <c r="T30" s="170"/>
      <c r="U30" s="170" t="s">
        <v>197</v>
      </c>
      <c r="V30" s="170" t="s">
        <v>197</v>
      </c>
      <c r="W30" s="170"/>
      <c r="X30" s="170"/>
      <c r="Y30" s="170"/>
      <c r="AA30" s="172"/>
      <c r="AB30" s="172"/>
      <c r="AC30" s="172"/>
      <c r="AD30" s="171"/>
      <c r="AE30" s="173"/>
      <c r="AF30" s="174"/>
      <c r="AG30" s="174"/>
      <c r="AH30" s="174"/>
      <c r="AI30" s="174"/>
      <c r="AJ30" s="174"/>
    </row>
    <row r="31" spans="1:37">
      <c r="D31" s="12">
        <v>0.86729999999999996</v>
      </c>
      <c r="F31" s="185" t="s">
        <v>198</v>
      </c>
      <c r="G31" s="186"/>
      <c r="H31" s="186"/>
      <c r="I31" s="187"/>
      <c r="J31" s="187"/>
      <c r="K31" s="187"/>
      <c r="L31" s="188"/>
      <c r="M31" s="189"/>
      <c r="N31" s="189">
        <f>COUNTIF(N5:N9,"&gt;0")</f>
        <v>3</v>
      </c>
      <c r="O31" s="190">
        <f>COUNTIF(O5:O9,"&gt;0")</f>
        <v>2</v>
      </c>
      <c r="P31" s="190"/>
      <c r="Q31" s="190">
        <f t="shared" ref="Q31:X31" si="11">COUNTIF(Q5:Q9,"&gt;0")</f>
        <v>3</v>
      </c>
      <c r="R31" s="190">
        <f t="shared" si="11"/>
        <v>3</v>
      </c>
      <c r="S31" s="190">
        <f t="shared" si="11"/>
        <v>3</v>
      </c>
      <c r="T31" s="189">
        <f t="shared" si="11"/>
        <v>3</v>
      </c>
      <c r="U31" s="189">
        <f t="shared" si="11"/>
        <v>2</v>
      </c>
      <c r="V31" s="190">
        <f t="shared" si="11"/>
        <v>3</v>
      </c>
      <c r="W31" s="190">
        <f t="shared" si="11"/>
        <v>2</v>
      </c>
      <c r="X31" s="190">
        <f t="shared" si="11"/>
        <v>3</v>
      </c>
      <c r="Y31" s="190"/>
      <c r="AA31" s="172"/>
      <c r="AB31" s="172"/>
      <c r="AC31" s="172"/>
      <c r="AD31" s="171"/>
      <c r="AE31" s="173"/>
      <c r="AF31" s="174"/>
      <c r="AG31" s="174"/>
      <c r="AH31" s="174"/>
      <c r="AI31" s="174"/>
      <c r="AJ31" s="174"/>
    </row>
    <row r="32" spans="1:37">
      <c r="D32" s="12">
        <v>82.5</v>
      </c>
      <c r="F32" s="109" t="s">
        <v>208</v>
      </c>
      <c r="G32" s="123" t="str">
        <f>G29</f>
        <v>SiO2</v>
      </c>
      <c r="H32" s="123" t="str">
        <f>H29</f>
        <v>Al2O3</v>
      </c>
      <c r="I32" s="123" t="str">
        <f>I29</f>
        <v>HfO2</v>
      </c>
      <c r="J32" s="123" t="str">
        <f>J29</f>
        <v>La2O3</v>
      </c>
      <c r="K32" s="123" t="str">
        <f>K29</f>
        <v>TiO2</v>
      </c>
      <c r="L32" s="128" t="str">
        <f>G32</f>
        <v>SiO2</v>
      </c>
      <c r="M32" s="166" t="str">
        <f>M29</f>
        <v>A</v>
      </c>
      <c r="N32" s="166" t="str">
        <f t="shared" ref="N32:Y32" si="12">N29</f>
        <v>B</v>
      </c>
      <c r="O32" s="166" t="str">
        <f t="shared" si="12"/>
        <v>C</v>
      </c>
      <c r="P32" s="166" t="str">
        <f t="shared" si="12"/>
        <v>D</v>
      </c>
      <c r="Q32" s="166" t="str">
        <f t="shared" si="12"/>
        <v>E</v>
      </c>
      <c r="R32" s="166" t="str">
        <f t="shared" si="12"/>
        <v>F</v>
      </c>
      <c r="S32" s="166" t="str">
        <f t="shared" si="12"/>
        <v>G</v>
      </c>
      <c r="T32" s="166" t="str">
        <f t="shared" si="12"/>
        <v>H</v>
      </c>
      <c r="U32" s="166" t="str">
        <f t="shared" si="12"/>
        <v>J</v>
      </c>
      <c r="V32" s="166" t="str">
        <f t="shared" si="12"/>
        <v>K</v>
      </c>
      <c r="W32" s="166" t="str">
        <f t="shared" si="12"/>
        <v>L</v>
      </c>
      <c r="X32" s="166" t="str">
        <f t="shared" si="12"/>
        <v>M</v>
      </c>
      <c r="Y32" s="166" t="str">
        <f t="shared" si="12"/>
        <v>N</v>
      </c>
      <c r="Z32" s="129" t="str">
        <f>K32</f>
        <v>TiO2</v>
      </c>
      <c r="AA32" s="172"/>
      <c r="AB32" s="172"/>
      <c r="AC32" s="172"/>
      <c r="AD32" s="171"/>
      <c r="AE32" s="173"/>
      <c r="AF32" s="174"/>
      <c r="AG32" s="174"/>
      <c r="AH32" s="174"/>
      <c r="AI32" s="174"/>
      <c r="AJ32" s="174"/>
    </row>
    <row r="33" spans="4:59">
      <c r="D33" s="12"/>
      <c r="F33" s="109" t="s">
        <v>207</v>
      </c>
      <c r="G33" s="191">
        <f>1/(G19*G21^2*G18^3)*LOG10(G27)*1000</f>
        <v>1.743530101317867</v>
      </c>
      <c r="H33" s="191">
        <f t="shared" ref="H33:Z33" si="13">1/(H19*H21^2*H18^3)*LOG10(H27)*1000</f>
        <v>1.6557396859003475</v>
      </c>
      <c r="I33" s="191">
        <f t="shared" si="13"/>
        <v>2.4074503785884751</v>
      </c>
      <c r="J33" s="191">
        <f t="shared" si="13"/>
        <v>3.0676245967072249</v>
      </c>
      <c r="K33" s="191">
        <f t="shared" si="13"/>
        <v>5.5400555766934723</v>
      </c>
      <c r="L33" s="191">
        <f t="shared" si="13"/>
        <v>1.7435301066392137</v>
      </c>
      <c r="M33" s="191">
        <f t="shared" si="13"/>
        <v>1.6317655970434075</v>
      </c>
      <c r="N33" s="191">
        <f t="shared" si="13"/>
        <v>3.5408895189077922</v>
      </c>
      <c r="O33" s="191">
        <f t="shared" si="13"/>
        <v>3.7472337220081271</v>
      </c>
      <c r="P33" s="191">
        <f t="shared" si="13"/>
        <v>2.1526501253183099</v>
      </c>
      <c r="Q33" s="191">
        <f t="shared" si="13"/>
        <v>2.6539611694739569</v>
      </c>
      <c r="R33" s="191">
        <f t="shared" si="13"/>
        <v>2.3713914489914152</v>
      </c>
      <c r="S33" s="191">
        <f t="shared" si="13"/>
        <v>3.4965474752213184</v>
      </c>
      <c r="T33" s="191">
        <f t="shared" si="13"/>
        <v>2.6205815641268813</v>
      </c>
      <c r="U33" s="191">
        <f t="shared" si="13"/>
        <v>2.448216568767005</v>
      </c>
      <c r="V33" s="191">
        <f t="shared" si="13"/>
        <v>3.3916230069947746</v>
      </c>
      <c r="W33" s="191">
        <f t="shared" si="13"/>
        <v>4.2600249334862097</v>
      </c>
      <c r="X33" s="191">
        <f t="shared" si="13"/>
        <v>4.1342145274317739</v>
      </c>
      <c r="Y33" s="191">
        <f t="shared" si="13"/>
        <v>5.2209714802271483</v>
      </c>
      <c r="Z33" s="191">
        <f t="shared" si="13"/>
        <v>5.5400555766934723</v>
      </c>
      <c r="AA33" s="172"/>
      <c r="AB33" s="172"/>
      <c r="AC33" s="172"/>
      <c r="AD33" s="171"/>
      <c r="AE33" s="173"/>
      <c r="AF33" s="174"/>
      <c r="AG33" s="174"/>
      <c r="AH33" s="174"/>
      <c r="AI33" s="174"/>
      <c r="AJ33" s="174"/>
    </row>
    <row r="34" spans="4:59">
      <c r="D34" s="12">
        <v>8.8699999999999992</v>
      </c>
    </row>
    <row r="35" spans="4:59">
      <c r="D35" s="296">
        <v>9.9999999999999998E-17</v>
      </c>
    </row>
    <row r="36" spans="4:59" ht="15">
      <c r="D36" s="296">
        <v>9.9999999999999995E-8</v>
      </c>
      <c r="F36" s="193" t="s">
        <v>208</v>
      </c>
      <c r="G36" s="194" t="str">
        <f t="shared" ref="G36:K37" si="14">G32</f>
        <v>SiO2</v>
      </c>
      <c r="H36" s="194" t="str">
        <f t="shared" si="14"/>
        <v>Al2O3</v>
      </c>
      <c r="I36" s="194" t="str">
        <f t="shared" si="14"/>
        <v>HfO2</v>
      </c>
      <c r="J36" s="194" t="str">
        <f t="shared" si="14"/>
        <v>La2O3</v>
      </c>
      <c r="K36" s="194" t="str">
        <f t="shared" si="14"/>
        <v>TiO2</v>
      </c>
      <c r="L36" s="194" t="s">
        <v>66</v>
      </c>
      <c r="M36" s="194" t="s">
        <v>67</v>
      </c>
      <c r="N36" s="194" t="s">
        <v>68</v>
      </c>
      <c r="O36" s="194" t="s">
        <v>69</v>
      </c>
      <c r="P36" s="194"/>
      <c r="Q36" s="194" t="str">
        <f t="shared" ref="Q36:W37" si="15">R32</f>
        <v>F</v>
      </c>
      <c r="R36" s="194" t="str">
        <f t="shared" si="15"/>
        <v>G</v>
      </c>
      <c r="S36" s="194" t="str">
        <f t="shared" si="15"/>
        <v>H</v>
      </c>
      <c r="T36" s="194" t="str">
        <f t="shared" si="15"/>
        <v>J</v>
      </c>
      <c r="U36" s="194" t="str">
        <f t="shared" si="15"/>
        <v>K</v>
      </c>
      <c r="V36" s="194" t="str">
        <f t="shared" si="15"/>
        <v>L</v>
      </c>
      <c r="W36" s="194" t="str">
        <f t="shared" si="15"/>
        <v>M</v>
      </c>
      <c r="X36" s="194" t="e">
        <f>#REF!</f>
        <v>#REF!</v>
      </c>
      <c r="Y36" s="194"/>
    </row>
    <row r="37" spans="4:59" ht="15">
      <c r="D37" s="296">
        <v>1000000000</v>
      </c>
      <c r="F37" s="193" t="s">
        <v>207</v>
      </c>
      <c r="G37" s="195">
        <f>G33</f>
        <v>1.743530101317867</v>
      </c>
      <c r="H37" s="195">
        <f t="shared" si="14"/>
        <v>1.6557396859003475</v>
      </c>
      <c r="I37" s="195">
        <f t="shared" si="14"/>
        <v>2.4074503785884751</v>
      </c>
      <c r="J37" s="195">
        <f t="shared" si="14"/>
        <v>3.0676245967072249</v>
      </c>
      <c r="K37" s="195">
        <f t="shared" si="14"/>
        <v>5.5400555766934723</v>
      </c>
      <c r="L37" s="195">
        <f>M33</f>
        <v>1.6317655970434075</v>
      </c>
      <c r="M37" s="195">
        <f>N33</f>
        <v>3.5408895189077922</v>
      </c>
      <c r="N37" s="195">
        <f>O33</f>
        <v>3.7472337220081271</v>
      </c>
      <c r="O37" s="195">
        <f>Q33</f>
        <v>2.6539611694739569</v>
      </c>
      <c r="P37" s="195"/>
      <c r="Q37" s="195">
        <f t="shared" si="15"/>
        <v>2.3713914489914152</v>
      </c>
      <c r="R37" s="195">
        <f t="shared" si="15"/>
        <v>3.4965474752213184</v>
      </c>
      <c r="S37" s="195">
        <f t="shared" si="15"/>
        <v>2.6205815641268813</v>
      </c>
      <c r="T37" s="195">
        <f t="shared" si="15"/>
        <v>2.448216568767005</v>
      </c>
      <c r="U37" s="195">
        <f t="shared" si="15"/>
        <v>3.3916230069947746</v>
      </c>
      <c r="V37" s="195">
        <f t="shared" si="15"/>
        <v>4.2600249334862097</v>
      </c>
      <c r="W37" s="195">
        <f t="shared" si="15"/>
        <v>4.1342145274317739</v>
      </c>
      <c r="X37" s="195" t="e">
        <f>#REF!</f>
        <v>#REF!</v>
      </c>
      <c r="Y37" s="195"/>
    </row>
    <row r="38" spans="4:59">
      <c r="D38" s="296">
        <v>-7.4843940040000001E-16</v>
      </c>
    </row>
    <row r="39" spans="4:59">
      <c r="D39" s="296">
        <v>1.1713095980000001E-5</v>
      </c>
    </row>
    <row r="40" spans="4:59" ht="15">
      <c r="D40" s="296">
        <v>-15650030000</v>
      </c>
      <c r="F40" s="193" t="s">
        <v>208</v>
      </c>
      <c r="G40" s="194" t="s">
        <v>23</v>
      </c>
      <c r="H40" s="194" t="s">
        <v>195</v>
      </c>
      <c r="I40" s="194" t="s">
        <v>21</v>
      </c>
      <c r="J40" s="194" t="s">
        <v>26</v>
      </c>
      <c r="K40" s="194" t="s">
        <v>20</v>
      </c>
      <c r="L40" s="194" t="s">
        <v>66</v>
      </c>
      <c r="M40" s="194" t="s">
        <v>67</v>
      </c>
      <c r="N40" s="194" t="s">
        <v>68</v>
      </c>
      <c r="O40" s="194" t="s">
        <v>69</v>
      </c>
      <c r="P40" s="194"/>
      <c r="Q40" s="194" t="s">
        <v>70</v>
      </c>
      <c r="R40" s="194" t="s">
        <v>71</v>
      </c>
      <c r="S40" s="194" t="s">
        <v>72</v>
      </c>
      <c r="T40" s="194" t="s">
        <v>154</v>
      </c>
      <c r="U40" s="194" t="s">
        <v>155</v>
      </c>
      <c r="V40" s="194" t="s">
        <v>156</v>
      </c>
      <c r="W40" s="194" t="s">
        <v>192</v>
      </c>
      <c r="X40" s="194" t="s">
        <v>194</v>
      </c>
      <c r="Y40" s="194"/>
    </row>
    <row r="41" spans="4:59" ht="15">
      <c r="F41" s="193" t="s">
        <v>207</v>
      </c>
      <c r="G41" s="195">
        <v>1.3650788947414774</v>
      </c>
      <c r="H41" s="195">
        <v>1.9682949061120321</v>
      </c>
      <c r="I41" s="195">
        <v>8.3065190909133904</v>
      </c>
      <c r="J41" s="195">
        <v>2.2124356973465851</v>
      </c>
      <c r="K41" s="195">
        <v>8.5556164471982648</v>
      </c>
      <c r="L41" s="195">
        <v>2.9989968049116347</v>
      </c>
      <c r="M41" s="195">
        <v>2.2549814000038353</v>
      </c>
      <c r="N41" s="195">
        <v>7.9244487946162971</v>
      </c>
      <c r="O41" s="195">
        <v>10.56541107189117</v>
      </c>
      <c r="P41" s="195"/>
      <c r="Q41" s="195">
        <v>-9.1640610512162643E-2</v>
      </c>
      <c r="R41" s="195">
        <v>4.9149936396199063</v>
      </c>
      <c r="S41" s="195">
        <v>11.592210143766989</v>
      </c>
      <c r="T41" s="195">
        <v>3.0914347745448993</v>
      </c>
      <c r="U41" s="195">
        <v>-0.33306489462359323</v>
      </c>
      <c r="V41" s="195">
        <v>5.3029694271291214</v>
      </c>
      <c r="W41" s="195">
        <v>5.3312225661302799</v>
      </c>
      <c r="X41" s="195">
        <v>8.7999018229524211</v>
      </c>
      <c r="Y41" s="195"/>
    </row>
    <row r="44" spans="4:59" ht="15">
      <c r="F44" s="194" t="s">
        <v>169</v>
      </c>
      <c r="G44" s="194" t="s">
        <v>323</v>
      </c>
    </row>
    <row r="45" spans="4:59" ht="15">
      <c r="F45" s="194" t="s">
        <v>23</v>
      </c>
      <c r="G45" s="195">
        <f>G33</f>
        <v>1.743530101317867</v>
      </c>
      <c r="AN45" s="103" t="s">
        <v>153</v>
      </c>
      <c r="AO45" s="103" t="s">
        <v>23</v>
      </c>
      <c r="AP45" s="103" t="s">
        <v>195</v>
      </c>
      <c r="AQ45" s="103" t="s">
        <v>21</v>
      </c>
      <c r="AR45" s="103" t="s">
        <v>26</v>
      </c>
      <c r="AS45" s="103" t="s">
        <v>20</v>
      </c>
      <c r="AT45" s="103" t="s">
        <v>204</v>
      </c>
      <c r="AU45" s="103" t="s">
        <v>66</v>
      </c>
      <c r="AV45" s="103" t="s">
        <v>67</v>
      </c>
      <c r="AW45" s="103" t="s">
        <v>68</v>
      </c>
      <c r="AX45" s="103" t="s">
        <v>69</v>
      </c>
      <c r="AY45" s="103" t="s">
        <v>70</v>
      </c>
      <c r="AZ45" s="103" t="s">
        <v>71</v>
      </c>
      <c r="BA45" s="103" t="s">
        <v>72</v>
      </c>
      <c r="BB45" s="103" t="s">
        <v>154</v>
      </c>
      <c r="BC45" s="103" t="s">
        <v>155</v>
      </c>
      <c r="BD45" s="103" t="s">
        <v>156</v>
      </c>
      <c r="BE45" s="103" t="s">
        <v>192</v>
      </c>
      <c r="BF45" s="103" t="s">
        <v>194</v>
      </c>
      <c r="BG45" s="103" t="s">
        <v>205</v>
      </c>
    </row>
    <row r="46" spans="4:59" ht="15">
      <c r="F46" s="194" t="s">
        <v>195</v>
      </c>
      <c r="G46" s="195">
        <f>H33</f>
        <v>1.6557396859003475</v>
      </c>
      <c r="AN46" s="103" t="s">
        <v>150</v>
      </c>
      <c r="AO46" s="184">
        <v>3.9</v>
      </c>
      <c r="AP46" s="184">
        <v>12</v>
      </c>
      <c r="AQ46" s="184">
        <v>22</v>
      </c>
      <c r="AR46" s="184">
        <v>27</v>
      </c>
      <c r="AS46" s="184">
        <v>80</v>
      </c>
      <c r="AT46" s="184">
        <v>3.9</v>
      </c>
      <c r="AU46" s="184">
        <v>12.633333333333333</v>
      </c>
      <c r="AV46" s="184">
        <v>17.316666666666666</v>
      </c>
      <c r="AW46" s="184">
        <v>20.333333333333332</v>
      </c>
      <c r="AX46" s="184">
        <v>30</v>
      </c>
      <c r="AY46" s="184">
        <v>31.966666666666669</v>
      </c>
      <c r="AZ46" s="184">
        <v>35.300000000000004</v>
      </c>
      <c r="BA46" s="184">
        <v>38</v>
      </c>
      <c r="BB46" s="184">
        <v>41.949999999999996</v>
      </c>
      <c r="BC46" s="184">
        <v>43.300000000000004</v>
      </c>
      <c r="BD46" s="184">
        <v>51</v>
      </c>
      <c r="BE46" s="184">
        <v>59</v>
      </c>
      <c r="BF46" s="184">
        <v>70.333333333333329</v>
      </c>
      <c r="BG46" s="184">
        <v>80</v>
      </c>
    </row>
    <row r="47" spans="4:59" ht="15">
      <c r="F47" s="194" t="s">
        <v>21</v>
      </c>
      <c r="G47" s="195">
        <f>I33</f>
        <v>2.4074503785884751</v>
      </c>
      <c r="AN47" s="103" t="s">
        <v>13</v>
      </c>
      <c r="AO47" s="103">
        <v>3</v>
      </c>
      <c r="AP47" s="103">
        <v>0</v>
      </c>
      <c r="AQ47" s="103">
        <v>0</v>
      </c>
      <c r="AR47" s="103">
        <v>0</v>
      </c>
      <c r="AS47" s="103">
        <v>0</v>
      </c>
      <c r="AT47" s="103">
        <v>3</v>
      </c>
      <c r="AU47" s="103">
        <v>1</v>
      </c>
      <c r="AV47" s="103">
        <v>0.5</v>
      </c>
      <c r="AW47" s="103">
        <v>0</v>
      </c>
      <c r="AX47" s="103">
        <v>0</v>
      </c>
      <c r="AY47" s="103">
        <v>1</v>
      </c>
      <c r="AZ47" s="103">
        <v>1</v>
      </c>
      <c r="BA47" s="103">
        <v>0</v>
      </c>
      <c r="BB47" s="103">
        <v>1.5</v>
      </c>
      <c r="BC47" s="103">
        <v>1</v>
      </c>
      <c r="BD47" s="103">
        <v>0</v>
      </c>
      <c r="BE47" s="103">
        <v>0</v>
      </c>
      <c r="BF47" s="103">
        <v>0</v>
      </c>
      <c r="BG47" s="103">
        <v>0</v>
      </c>
    </row>
    <row r="48" spans="4:59" ht="15">
      <c r="F48" s="194" t="s">
        <v>26</v>
      </c>
      <c r="G48" s="195">
        <f>J33</f>
        <v>3.0676245967072249</v>
      </c>
      <c r="AN48" s="103" t="s">
        <v>33</v>
      </c>
      <c r="AO48" s="103">
        <v>0</v>
      </c>
      <c r="AP48" s="103">
        <v>3</v>
      </c>
      <c r="AQ48" s="103">
        <v>0</v>
      </c>
      <c r="AR48" s="103">
        <v>0</v>
      </c>
      <c r="AS48" s="103">
        <v>0</v>
      </c>
      <c r="AT48" s="103">
        <v>0</v>
      </c>
      <c r="AU48" s="103">
        <v>1</v>
      </c>
      <c r="AV48" s="103">
        <v>0.5</v>
      </c>
      <c r="AW48" s="103">
        <v>0.5</v>
      </c>
      <c r="AX48" s="103">
        <v>0.5</v>
      </c>
      <c r="AY48" s="103">
        <v>1</v>
      </c>
      <c r="AZ48" s="103">
        <v>0</v>
      </c>
      <c r="BA48" s="103">
        <v>1</v>
      </c>
      <c r="BB48" s="103">
        <v>0</v>
      </c>
      <c r="BC48" s="103">
        <v>0.5</v>
      </c>
      <c r="BD48" s="103">
        <v>0</v>
      </c>
      <c r="BE48" s="103">
        <v>0.5</v>
      </c>
      <c r="BF48" s="103">
        <v>0</v>
      </c>
      <c r="BG48" s="103">
        <v>0</v>
      </c>
    </row>
    <row r="49" spans="6:59" ht="15">
      <c r="F49" s="194" t="s">
        <v>20</v>
      </c>
      <c r="G49" s="195">
        <f>K33</f>
        <v>5.5400555766934723</v>
      </c>
      <c r="AN49" s="103" t="s">
        <v>14</v>
      </c>
      <c r="AO49" s="103">
        <v>0</v>
      </c>
      <c r="AP49" s="103">
        <v>0</v>
      </c>
      <c r="AQ49" s="103">
        <v>3</v>
      </c>
      <c r="AR49" s="103">
        <v>0</v>
      </c>
      <c r="AS49" s="103">
        <v>0</v>
      </c>
      <c r="AT49" s="103">
        <v>0</v>
      </c>
      <c r="AU49" s="103">
        <v>1</v>
      </c>
      <c r="AV49" s="103">
        <v>2</v>
      </c>
      <c r="AW49" s="103">
        <v>2.5</v>
      </c>
      <c r="AX49" s="103">
        <v>2</v>
      </c>
      <c r="AY49" s="103">
        <v>0</v>
      </c>
      <c r="AZ49" s="103">
        <v>1</v>
      </c>
      <c r="BA49" s="103">
        <v>1</v>
      </c>
      <c r="BB49" s="103">
        <v>0</v>
      </c>
      <c r="BC49" s="103">
        <v>0</v>
      </c>
      <c r="BD49" s="103">
        <v>1.5</v>
      </c>
      <c r="BE49" s="103">
        <v>0.5</v>
      </c>
      <c r="BF49" s="103">
        <v>0.5</v>
      </c>
      <c r="BG49" s="103">
        <v>0</v>
      </c>
    </row>
    <row r="50" spans="6:59" ht="15">
      <c r="F50" s="194" t="s">
        <v>293</v>
      </c>
      <c r="G50" s="195">
        <f>M33</f>
        <v>1.6317655970434075</v>
      </c>
      <c r="AN50" s="103" t="s">
        <v>196</v>
      </c>
      <c r="AO50" s="103">
        <v>0</v>
      </c>
      <c r="AP50" s="103">
        <v>0</v>
      </c>
      <c r="AQ50" s="103">
        <v>0</v>
      </c>
      <c r="AR50" s="103">
        <v>3</v>
      </c>
      <c r="AS50" s="103">
        <v>0</v>
      </c>
      <c r="AT50" s="103">
        <v>0</v>
      </c>
      <c r="AU50" s="103">
        <v>0</v>
      </c>
      <c r="AV50" s="103">
        <v>0</v>
      </c>
      <c r="AW50" s="103">
        <v>0</v>
      </c>
      <c r="AX50" s="103">
        <v>0</v>
      </c>
      <c r="AY50" s="103">
        <v>0</v>
      </c>
      <c r="AZ50" s="103">
        <v>0</v>
      </c>
      <c r="BA50" s="103">
        <v>0</v>
      </c>
      <c r="BB50" s="103">
        <v>0</v>
      </c>
      <c r="BC50" s="103">
        <v>0</v>
      </c>
      <c r="BD50" s="103">
        <v>0</v>
      </c>
      <c r="BE50" s="103">
        <v>0</v>
      </c>
      <c r="BF50" s="103">
        <v>0</v>
      </c>
      <c r="BG50" s="103">
        <v>0</v>
      </c>
    </row>
    <row r="51" spans="6:59" ht="15">
      <c r="F51" s="194" t="s">
        <v>324</v>
      </c>
      <c r="G51" s="195">
        <f>N33</f>
        <v>3.5408895189077922</v>
      </c>
      <c r="AN51" s="103" t="s">
        <v>34</v>
      </c>
      <c r="AO51" s="103">
        <v>0</v>
      </c>
      <c r="AP51" s="103">
        <v>0</v>
      </c>
      <c r="AQ51" s="103">
        <v>0</v>
      </c>
      <c r="AR51" s="103">
        <v>0</v>
      </c>
      <c r="AS51" s="103">
        <v>3</v>
      </c>
      <c r="AT51" s="103">
        <v>0</v>
      </c>
      <c r="AU51" s="103">
        <v>0</v>
      </c>
      <c r="AV51" s="103">
        <v>0</v>
      </c>
      <c r="AW51" s="103">
        <v>0</v>
      </c>
      <c r="AX51" s="103">
        <v>0.5</v>
      </c>
      <c r="AY51" s="103">
        <v>1</v>
      </c>
      <c r="AZ51" s="103">
        <v>1</v>
      </c>
      <c r="BA51" s="103">
        <v>1</v>
      </c>
      <c r="BB51" s="103">
        <v>1.5</v>
      </c>
      <c r="BC51" s="103">
        <v>1.5</v>
      </c>
      <c r="BD51" s="103">
        <v>1.5</v>
      </c>
      <c r="BE51" s="103">
        <v>2</v>
      </c>
      <c r="BF51" s="103">
        <v>2.5</v>
      </c>
      <c r="BG51" s="103">
        <v>3</v>
      </c>
    </row>
    <row r="52" spans="6:59" ht="15">
      <c r="F52" s="194" t="s">
        <v>325</v>
      </c>
      <c r="G52" s="195">
        <f>O33</f>
        <v>3.7472337220081271</v>
      </c>
      <c r="AN52" s="103" t="s">
        <v>206</v>
      </c>
      <c r="AO52" s="103">
        <v>3</v>
      </c>
      <c r="AP52" s="103">
        <v>3</v>
      </c>
      <c r="AQ52" s="103">
        <v>3</v>
      </c>
      <c r="AR52" s="103">
        <v>3</v>
      </c>
      <c r="AS52" s="103">
        <v>3</v>
      </c>
      <c r="AT52" s="103">
        <v>3</v>
      </c>
      <c r="AU52" s="103">
        <v>3</v>
      </c>
      <c r="AV52" s="103">
        <v>3</v>
      </c>
      <c r="AW52" s="103">
        <v>3</v>
      </c>
      <c r="AX52" s="103">
        <v>3</v>
      </c>
      <c r="AY52" s="103">
        <v>3</v>
      </c>
      <c r="AZ52" s="103">
        <v>3</v>
      </c>
      <c r="BA52" s="103">
        <v>3</v>
      </c>
      <c r="BB52" s="103">
        <v>3</v>
      </c>
      <c r="BC52" s="103">
        <v>3</v>
      </c>
      <c r="BD52" s="103">
        <v>3</v>
      </c>
      <c r="BE52" s="103">
        <v>3</v>
      </c>
      <c r="BF52" s="103">
        <v>3</v>
      </c>
      <c r="BG52" s="103">
        <v>3</v>
      </c>
    </row>
    <row r="53" spans="6:59" ht="15">
      <c r="F53" s="194" t="s">
        <v>326</v>
      </c>
      <c r="G53" s="195">
        <f>P33</f>
        <v>2.1526501253183099</v>
      </c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</row>
    <row r="54" spans="6:59" ht="15">
      <c r="F54" s="194" t="s">
        <v>327</v>
      </c>
      <c r="G54" s="195">
        <f>Q33</f>
        <v>2.6539611694739569</v>
      </c>
    </row>
    <row r="55" spans="6:59" ht="15">
      <c r="F55" s="194" t="s">
        <v>328</v>
      </c>
      <c r="G55" s="195">
        <f>R33</f>
        <v>2.3713914489914152</v>
      </c>
      <c r="BA55" s="102">
        <v>0.84970000000000001</v>
      </c>
    </row>
    <row r="56" spans="6:59" ht="15">
      <c r="F56" s="194" t="s">
        <v>329</v>
      </c>
      <c r="G56" s="195">
        <f>S33</f>
        <v>3.4965474752213184</v>
      </c>
      <c r="BA56" s="102">
        <v>79</v>
      </c>
    </row>
    <row r="57" spans="6:59" ht="15">
      <c r="F57" s="194" t="s">
        <v>129</v>
      </c>
      <c r="G57" s="195">
        <f>T33</f>
        <v>2.6205815641268813</v>
      </c>
      <c r="BA57" s="102">
        <v>79.3</v>
      </c>
    </row>
    <row r="58" spans="6:59" ht="15">
      <c r="F58" s="194" t="s">
        <v>131</v>
      </c>
      <c r="G58" s="195">
        <f>U33</f>
        <v>2.448216568767005</v>
      </c>
      <c r="BA58" s="102">
        <v>8.8699999999999992</v>
      </c>
    </row>
    <row r="59" spans="6:59" ht="15">
      <c r="F59" s="194" t="s">
        <v>132</v>
      </c>
      <c r="G59" s="195">
        <f>V33</f>
        <v>3.3916230069947746</v>
      </c>
      <c r="BA59" s="196">
        <v>9.9999999999999998E-17</v>
      </c>
    </row>
    <row r="60" spans="6:59" ht="15">
      <c r="F60" s="194" t="s">
        <v>133</v>
      </c>
      <c r="G60" s="195">
        <f>W33</f>
        <v>4.2600249334862097</v>
      </c>
      <c r="BA60" s="196">
        <v>9.9999999999999995E-8</v>
      </c>
    </row>
    <row r="61" spans="6:59" ht="15">
      <c r="F61" s="194" t="s">
        <v>330</v>
      </c>
      <c r="G61" s="195">
        <f>X33</f>
        <v>4.1342145274317739</v>
      </c>
      <c r="BA61" s="196">
        <v>1000000000</v>
      </c>
    </row>
    <row r="62" spans="6:59" ht="15">
      <c r="F62" s="194" t="s">
        <v>331</v>
      </c>
      <c r="G62" s="195">
        <f>Y33</f>
        <v>5.2209714802271483</v>
      </c>
      <c r="BA62" s="196">
        <v>6.4800000000000002E-18</v>
      </c>
    </row>
    <row r="63" spans="6:59">
      <c r="BA63" s="196">
        <v>1.2300000000000001E-5</v>
      </c>
    </row>
    <row r="64" spans="6:59">
      <c r="BA64" s="196">
        <v>1890000000000</v>
      </c>
    </row>
    <row r="108" spans="1:59" s="169" customFormat="1" ht="21">
      <c r="A108" s="102"/>
      <c r="B108" s="102"/>
      <c r="C108" s="102"/>
      <c r="D108" s="216" t="s">
        <v>199</v>
      </c>
      <c r="E108" s="216"/>
      <c r="F108" s="181"/>
      <c r="G108" s="231"/>
      <c r="H108" s="231"/>
      <c r="I108" s="234"/>
      <c r="J108" s="234"/>
      <c r="K108" s="234"/>
      <c r="L108" s="231"/>
      <c r="O108" s="108"/>
      <c r="P108" s="108"/>
      <c r="Q108" s="108"/>
      <c r="R108" s="108"/>
      <c r="S108" s="108"/>
      <c r="V108" s="108"/>
      <c r="W108" s="108"/>
      <c r="X108" s="108"/>
      <c r="Y108" s="108"/>
      <c r="Z108" s="229"/>
      <c r="AA108" s="160"/>
      <c r="AB108" s="160"/>
      <c r="AC108" s="160"/>
      <c r="AD108" s="108"/>
      <c r="AE108" s="151"/>
      <c r="AF108" s="143"/>
      <c r="AG108" s="143"/>
      <c r="AH108" s="143"/>
      <c r="AI108" s="143"/>
      <c r="AJ108" s="143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</row>
    <row r="109" spans="1:59" s="169" customFormat="1" ht="21">
      <c r="A109" s="102"/>
      <c r="B109" s="102"/>
      <c r="C109" s="102"/>
      <c r="D109" s="216" t="s">
        <v>202</v>
      </c>
      <c r="E109" s="216"/>
      <c r="F109" s="181"/>
      <c r="G109" s="231"/>
      <c r="H109" s="231"/>
      <c r="I109" s="234"/>
      <c r="J109" s="234"/>
      <c r="K109" s="234"/>
      <c r="L109" s="231"/>
      <c r="O109" s="108"/>
      <c r="P109" s="108"/>
      <c r="Q109" s="108"/>
      <c r="R109" s="108"/>
      <c r="S109" s="108"/>
      <c r="V109" s="108"/>
      <c r="W109" s="108"/>
      <c r="X109" s="108"/>
      <c r="Y109" s="108"/>
      <c r="Z109" s="229"/>
      <c r="AA109" s="160"/>
      <c r="AB109" s="160"/>
      <c r="AC109" s="160"/>
      <c r="AD109" s="108"/>
      <c r="AE109" s="151"/>
      <c r="AF109" s="143"/>
      <c r="AG109" s="143"/>
      <c r="AH109" s="143"/>
      <c r="AI109" s="143"/>
      <c r="AJ109" s="143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</row>
    <row r="110" spans="1:59" s="169" customFormat="1" ht="21">
      <c r="A110" s="102"/>
      <c r="B110" s="102"/>
      <c r="C110" s="102"/>
      <c r="D110" s="216" t="s">
        <v>200</v>
      </c>
      <c r="E110" s="216"/>
      <c r="F110" s="181"/>
      <c r="G110" s="231"/>
      <c r="H110" s="231"/>
      <c r="I110" s="234"/>
      <c r="J110" s="234"/>
      <c r="K110" s="234"/>
      <c r="L110" s="231"/>
      <c r="O110" s="108"/>
      <c r="P110" s="108"/>
      <c r="Q110" s="108"/>
      <c r="R110" s="108"/>
      <c r="S110" s="108"/>
      <c r="V110" s="108"/>
      <c r="W110" s="108"/>
      <c r="X110" s="108"/>
      <c r="Y110" s="108"/>
      <c r="Z110" s="229"/>
      <c r="AA110" s="160"/>
      <c r="AB110" s="160"/>
      <c r="AC110" s="160"/>
      <c r="AD110" s="108"/>
      <c r="AE110" s="151"/>
      <c r="AF110" s="143"/>
      <c r="AG110" s="143"/>
      <c r="AH110" s="143"/>
      <c r="AI110" s="143"/>
      <c r="AJ110" s="143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</row>
    <row r="111" spans="1:59" s="169" customFormat="1" ht="21">
      <c r="A111" s="102"/>
      <c r="B111" s="102"/>
      <c r="C111" s="102"/>
      <c r="D111" s="216" t="s">
        <v>201</v>
      </c>
      <c r="E111" s="216"/>
      <c r="F111" s="181"/>
      <c r="G111" s="231"/>
      <c r="H111" s="231"/>
      <c r="I111" s="234"/>
      <c r="J111" s="234"/>
      <c r="K111" s="234"/>
      <c r="L111" s="231"/>
      <c r="O111" s="108"/>
      <c r="P111" s="108"/>
      <c r="Q111" s="108"/>
      <c r="R111" s="108"/>
      <c r="S111" s="108"/>
      <c r="V111" s="108"/>
      <c r="W111" s="108"/>
      <c r="X111" s="108"/>
      <c r="Y111" s="108"/>
      <c r="Z111" s="229"/>
      <c r="AA111" s="160"/>
      <c r="AB111" s="160"/>
      <c r="AC111" s="160"/>
      <c r="AD111" s="108"/>
      <c r="AE111" s="151"/>
      <c r="AF111" s="143"/>
      <c r="AG111" s="143"/>
      <c r="AH111" s="143"/>
      <c r="AI111" s="143"/>
      <c r="AJ111" s="143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</row>
    <row r="112" spans="1:59" s="169" customFormat="1" ht="21">
      <c r="A112" s="102"/>
      <c r="B112" s="102"/>
      <c r="C112" s="102"/>
      <c r="D112" s="216" t="s">
        <v>203</v>
      </c>
      <c r="E112" s="216"/>
      <c r="F112" s="181"/>
      <c r="G112" s="231"/>
      <c r="H112" s="231"/>
      <c r="I112" s="234"/>
      <c r="J112" s="234"/>
      <c r="K112" s="234"/>
      <c r="L112" s="231"/>
      <c r="O112" s="108"/>
      <c r="P112" s="108"/>
      <c r="Q112" s="108"/>
      <c r="R112" s="108"/>
      <c r="S112" s="108"/>
      <c r="V112" s="108"/>
      <c r="W112" s="108"/>
      <c r="X112" s="108"/>
      <c r="Y112" s="108"/>
      <c r="Z112" s="229"/>
      <c r="AA112" s="160"/>
      <c r="AB112" s="160"/>
      <c r="AC112" s="160"/>
      <c r="AD112" s="108"/>
      <c r="AE112" s="151"/>
      <c r="AF112" s="143"/>
      <c r="AG112" s="143"/>
      <c r="AH112" s="143"/>
      <c r="AI112" s="143"/>
      <c r="AJ112" s="143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</row>
    <row r="113" spans="1:59" s="169" customFormat="1" ht="21">
      <c r="A113" s="102"/>
      <c r="B113" s="102"/>
      <c r="C113" s="102"/>
      <c r="D113" s="217"/>
      <c r="E113" s="217"/>
      <c r="F113" s="102"/>
      <c r="G113" s="232"/>
      <c r="H113" s="232"/>
      <c r="I113" s="233"/>
      <c r="J113" s="233"/>
      <c r="K113" s="233"/>
      <c r="L113" s="228"/>
      <c r="O113" s="108"/>
      <c r="P113" s="108"/>
      <c r="Q113" s="108"/>
      <c r="R113" s="108"/>
      <c r="S113" s="108"/>
      <c r="V113" s="108"/>
      <c r="W113" s="108"/>
      <c r="X113" s="108"/>
      <c r="Y113" s="108"/>
      <c r="Z113" s="229"/>
      <c r="AA113" s="160"/>
      <c r="AB113" s="160"/>
      <c r="AC113" s="160"/>
      <c r="AD113" s="108"/>
      <c r="AE113" s="151"/>
      <c r="AF113" s="143"/>
      <c r="AG113" s="143"/>
      <c r="AH113" s="143"/>
      <c r="AI113" s="143"/>
      <c r="AJ113" s="143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</row>
    <row r="114" spans="1:59" s="169" customFormat="1" ht="21">
      <c r="A114" s="102"/>
      <c r="B114" s="102"/>
      <c r="C114" s="102"/>
      <c r="D114" s="217"/>
      <c r="E114" s="217"/>
      <c r="F114" s="102"/>
      <c r="G114" s="232"/>
      <c r="H114" s="232"/>
      <c r="I114" s="233"/>
      <c r="J114" s="233"/>
      <c r="K114" s="233"/>
      <c r="L114" s="228"/>
      <c r="O114" s="108"/>
      <c r="P114" s="108"/>
      <c r="Q114" s="108"/>
      <c r="R114" s="108"/>
      <c r="S114" s="108"/>
      <c r="V114" s="108"/>
      <c r="W114" s="108"/>
      <c r="X114" s="108"/>
      <c r="Y114" s="108"/>
      <c r="Z114" s="229"/>
      <c r="AA114" s="160"/>
      <c r="AB114" s="160"/>
      <c r="AC114" s="160"/>
      <c r="AD114" s="108"/>
      <c r="AE114" s="151"/>
      <c r="AF114" s="143"/>
      <c r="AG114" s="143"/>
      <c r="AH114" s="143"/>
      <c r="AI114" s="143"/>
      <c r="AJ114" s="143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</row>
    <row r="115" spans="1:59" s="169" customFormat="1" ht="21">
      <c r="A115" s="102"/>
      <c r="B115" s="102"/>
      <c r="C115" s="102"/>
      <c r="D115" s="217"/>
      <c r="E115" s="217"/>
      <c r="F115" s="102"/>
      <c r="G115" s="232"/>
      <c r="H115" s="232"/>
      <c r="I115" s="233"/>
      <c r="J115" s="233"/>
      <c r="K115" s="233"/>
      <c r="L115" s="228"/>
      <c r="O115" s="108"/>
      <c r="P115" s="108"/>
      <c r="Q115" s="108"/>
      <c r="R115" s="108"/>
      <c r="S115" s="108"/>
      <c r="V115" s="108"/>
      <c r="W115" s="108"/>
      <c r="X115" s="108"/>
      <c r="Y115" s="108"/>
      <c r="Z115" s="229"/>
      <c r="AA115" s="160"/>
      <c r="AB115" s="160"/>
      <c r="AC115" s="160"/>
      <c r="AD115" s="108"/>
      <c r="AE115" s="151"/>
      <c r="AF115" s="143"/>
      <c r="AG115" s="143"/>
      <c r="AH115" s="143"/>
      <c r="AI115" s="143"/>
      <c r="AJ115" s="143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</row>
  </sheetData>
  <mergeCells count="1">
    <mergeCell ref="E15:E17"/>
  </mergeCells>
  <conditionalFormatting sqref="G45:G6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J37 V37 T37 L37:M37 O37:P3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:J41 V41 T41 L41:M41 O41:P4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Z3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G115"/>
  <sheetViews>
    <sheetView topLeftCell="H13" zoomScale="85" zoomScaleNormal="85" workbookViewId="0">
      <selection activeCell="U4" sqref="U1:U1048576"/>
    </sheetView>
  </sheetViews>
  <sheetFormatPr defaultColWidth="8.85546875" defaultRowHeight="12"/>
  <cols>
    <col min="1" max="1" width="17.7109375" style="102" customWidth="1"/>
    <col min="2" max="2" width="8.28515625" style="102" customWidth="1"/>
    <col min="3" max="3" width="11.7109375" style="102" bestFit="1" customWidth="1"/>
    <col min="4" max="5" width="14.28515625" style="212" customWidth="1"/>
    <col min="6" max="6" width="23.7109375" style="102" bestFit="1" customWidth="1"/>
    <col min="7" max="7" width="14.140625" style="232" bestFit="1" customWidth="1"/>
    <col min="8" max="8" width="8.28515625" style="232" customWidth="1"/>
    <col min="9" max="11" width="9" style="233" customWidth="1"/>
    <col min="12" max="12" width="8.28515625" style="228" customWidth="1"/>
    <col min="13" max="14" width="9.140625" style="169" bestFit="1" customWidth="1"/>
    <col min="15" max="16" width="9.140625" style="108" bestFit="1" customWidth="1"/>
    <col min="17" max="17" width="9.140625" style="108" customWidth="1"/>
    <col min="18" max="19" width="9.140625" style="108" bestFit="1" customWidth="1"/>
    <col min="20" max="21" width="9.140625" style="169" bestFit="1" customWidth="1"/>
    <col min="22" max="25" width="8.85546875" style="108" customWidth="1"/>
    <col min="26" max="26" width="9.28515625" style="229" bestFit="1" customWidth="1"/>
    <col min="27" max="28" width="15.42578125" style="160" customWidth="1"/>
    <col min="29" max="29" width="21.140625" style="160" bestFit="1" customWidth="1"/>
    <col min="30" max="30" width="16.85546875" style="108" bestFit="1" customWidth="1"/>
    <col min="31" max="31" width="14.28515625" style="151" bestFit="1" customWidth="1"/>
    <col min="32" max="32" width="12.7109375" style="143" bestFit="1" customWidth="1"/>
    <col min="33" max="33" width="15.7109375" style="143" customWidth="1"/>
    <col min="34" max="34" width="12.28515625" style="143" bestFit="1" customWidth="1"/>
    <col min="35" max="35" width="12.7109375" style="143" customWidth="1"/>
    <col min="36" max="36" width="15.28515625" style="143" bestFit="1" customWidth="1"/>
    <col min="37" max="37" width="12" style="102" bestFit="1" customWidth="1"/>
    <col min="38" max="39" width="8.85546875" style="102"/>
    <col min="40" max="40" width="15.85546875" style="102" customWidth="1"/>
    <col min="41" max="41" width="13.28515625" style="102" hidden="1" customWidth="1"/>
    <col min="42" max="42" width="14.28515625" style="102" hidden="1" customWidth="1"/>
    <col min="43" max="43" width="13.7109375" style="102" hidden="1" customWidth="1"/>
    <col min="44" max="44" width="14.28515625" style="102" hidden="1" customWidth="1"/>
    <col min="45" max="45" width="13.28515625" style="102" hidden="1" customWidth="1"/>
    <col min="46" max="46" width="14.140625" style="102" hidden="1" customWidth="1"/>
    <col min="47" max="47" width="11" style="102" bestFit="1" customWidth="1"/>
    <col min="48" max="49" width="10.7109375" style="102" bestFit="1" customWidth="1"/>
    <col min="50" max="50" width="11" style="102" bestFit="1" customWidth="1"/>
    <col min="51" max="52" width="10.7109375" style="102" bestFit="1" customWidth="1"/>
    <col min="53" max="54" width="11" style="102" bestFit="1" customWidth="1"/>
    <col min="55" max="55" width="10.5703125" style="102" bestFit="1" customWidth="1"/>
    <col min="56" max="56" width="10.7109375" style="102" bestFit="1" customWidth="1"/>
    <col min="57" max="57" width="10.5703125" style="102" bestFit="1" customWidth="1"/>
    <col min="58" max="58" width="11.42578125" style="102" customWidth="1"/>
    <col min="59" max="59" width="14.140625" style="102" bestFit="1" customWidth="1"/>
    <col min="60" max="16384" width="8.85546875" style="102"/>
  </cols>
  <sheetData>
    <row r="2" spans="1:37" s="103" customFormat="1" ht="397.15" customHeight="1">
      <c r="F2" s="240" t="s">
        <v>303</v>
      </c>
      <c r="G2" s="132" t="s">
        <v>338</v>
      </c>
      <c r="H2" s="132" t="s">
        <v>338</v>
      </c>
      <c r="I2" s="132" t="s">
        <v>338</v>
      </c>
      <c r="J2" s="132" t="s">
        <v>338</v>
      </c>
      <c r="K2" s="132" t="s">
        <v>338</v>
      </c>
      <c r="L2" s="132"/>
      <c r="M2" s="132" t="s">
        <v>338</v>
      </c>
      <c r="N2" s="132" t="s">
        <v>338</v>
      </c>
      <c r="O2" s="132" t="s">
        <v>338</v>
      </c>
      <c r="P2" s="132" t="s">
        <v>338</v>
      </c>
      <c r="Q2" s="132" t="s">
        <v>338</v>
      </c>
      <c r="R2" s="132" t="s">
        <v>338</v>
      </c>
      <c r="S2" s="132" t="s">
        <v>338</v>
      </c>
      <c r="T2" s="161" t="s">
        <v>338</v>
      </c>
      <c r="U2" s="161" t="s">
        <v>338</v>
      </c>
      <c r="V2" s="161" t="s">
        <v>338</v>
      </c>
      <c r="W2" s="161" t="s">
        <v>338</v>
      </c>
      <c r="X2" s="161" t="s">
        <v>338</v>
      </c>
      <c r="Y2" s="161" t="s">
        <v>338</v>
      </c>
      <c r="Z2" s="133"/>
      <c r="AA2" s="153"/>
      <c r="AB2" s="153"/>
      <c r="AC2" s="153"/>
      <c r="AD2" s="112"/>
      <c r="AE2" s="144"/>
      <c r="AF2" s="138"/>
      <c r="AG2" s="138"/>
      <c r="AH2" s="138"/>
      <c r="AI2" s="138"/>
      <c r="AJ2" s="138"/>
    </row>
    <row r="3" spans="1:37" s="101" customFormat="1" ht="24">
      <c r="A3" s="101" t="s">
        <v>87</v>
      </c>
      <c r="C3" s="101" t="s">
        <v>158</v>
      </c>
      <c r="D3" s="101" t="s">
        <v>52</v>
      </c>
      <c r="F3" s="244" t="s">
        <v>168</v>
      </c>
      <c r="G3" s="162">
        <v>3.9</v>
      </c>
      <c r="H3" s="162">
        <v>12</v>
      </c>
      <c r="I3" s="162">
        <v>22</v>
      </c>
      <c r="J3" s="162">
        <v>30</v>
      </c>
      <c r="K3" s="162">
        <v>80</v>
      </c>
      <c r="L3" s="162">
        <v>3.9</v>
      </c>
      <c r="M3" s="162"/>
      <c r="N3" s="162"/>
      <c r="O3" s="115"/>
      <c r="P3" s="115"/>
      <c r="Q3" s="115"/>
      <c r="R3" s="115"/>
      <c r="S3" s="115"/>
      <c r="T3" s="162"/>
      <c r="U3" s="162"/>
      <c r="V3" s="115"/>
      <c r="W3" s="115"/>
      <c r="X3" s="115"/>
      <c r="Y3" s="115"/>
      <c r="Z3" s="128">
        <v>80</v>
      </c>
      <c r="AA3" s="154"/>
      <c r="AB3" s="154"/>
      <c r="AC3" s="154"/>
      <c r="AD3" s="115"/>
      <c r="AE3" s="145"/>
      <c r="AF3" s="139"/>
      <c r="AG3" s="139"/>
      <c r="AH3" s="139"/>
      <c r="AI3" s="139"/>
      <c r="AJ3" s="139"/>
    </row>
    <row r="4" spans="1:37" s="248" customFormat="1" ht="15.75" thickBot="1">
      <c r="F4" s="261"/>
      <c r="G4" s="262" t="str">
        <f t="shared" ref="G4:L4" si="0">G29</f>
        <v>SiO2</v>
      </c>
      <c r="H4" s="262" t="str">
        <f t="shared" si="0"/>
        <v>Al2O3</v>
      </c>
      <c r="I4" s="262" t="str">
        <f t="shared" si="0"/>
        <v>HfO2</v>
      </c>
      <c r="J4" s="262" t="str">
        <f t="shared" si="0"/>
        <v>La2O3</v>
      </c>
      <c r="K4" s="262" t="str">
        <f t="shared" si="0"/>
        <v>TiO2</v>
      </c>
      <c r="L4" s="262">
        <f t="shared" si="0"/>
        <v>0</v>
      </c>
      <c r="M4" s="263" t="s">
        <v>66</v>
      </c>
      <c r="N4" s="263" t="s">
        <v>67</v>
      </c>
      <c r="O4" s="263" t="s">
        <v>68</v>
      </c>
      <c r="P4" s="263" t="s">
        <v>69</v>
      </c>
      <c r="Q4" s="263" t="s">
        <v>70</v>
      </c>
      <c r="R4" s="263" t="s">
        <v>71</v>
      </c>
      <c r="S4" s="263" t="s">
        <v>72</v>
      </c>
      <c r="T4" s="263" t="s">
        <v>154</v>
      </c>
      <c r="U4" s="263" t="s">
        <v>155</v>
      </c>
      <c r="V4" s="263" t="s">
        <v>156</v>
      </c>
      <c r="W4" s="263" t="s">
        <v>192</v>
      </c>
      <c r="X4" s="263" t="s">
        <v>194</v>
      </c>
      <c r="Y4" s="263" t="s">
        <v>240</v>
      </c>
      <c r="Z4" s="242"/>
      <c r="AA4" s="258"/>
      <c r="AB4" s="249"/>
      <c r="AC4" s="249"/>
      <c r="AD4" s="250"/>
      <c r="AE4" s="251"/>
      <c r="AF4" s="252"/>
      <c r="AG4" s="252"/>
      <c r="AH4" s="252"/>
      <c r="AI4" s="252"/>
      <c r="AJ4" s="252"/>
    </row>
    <row r="5" spans="1:37" s="219" customFormat="1" ht="15.75" thickTop="1">
      <c r="D5" s="218" t="s">
        <v>236</v>
      </c>
      <c r="E5" s="218"/>
      <c r="F5" s="264" t="s">
        <v>13</v>
      </c>
      <c r="G5" s="264">
        <v>3</v>
      </c>
      <c r="H5" s="264">
        <v>0</v>
      </c>
      <c r="I5" s="264">
        <v>0</v>
      </c>
      <c r="J5" s="264">
        <v>0</v>
      </c>
      <c r="K5" s="264">
        <v>0</v>
      </c>
      <c r="L5" s="264">
        <v>3</v>
      </c>
      <c r="M5" s="265">
        <v>1</v>
      </c>
      <c r="N5" s="265">
        <v>0.5</v>
      </c>
      <c r="O5" s="265">
        <v>0.5</v>
      </c>
      <c r="P5" s="265">
        <v>0</v>
      </c>
      <c r="Q5" s="265">
        <v>0</v>
      </c>
      <c r="R5" s="265">
        <v>1</v>
      </c>
      <c r="S5" s="265">
        <v>1</v>
      </c>
      <c r="T5" s="265">
        <v>0</v>
      </c>
      <c r="U5" s="265">
        <v>1.5</v>
      </c>
      <c r="V5" s="265">
        <v>1</v>
      </c>
      <c r="W5" s="265">
        <v>0</v>
      </c>
      <c r="X5" s="265">
        <v>0</v>
      </c>
      <c r="Y5" s="265">
        <v>0</v>
      </c>
      <c r="Z5" s="243">
        <v>0</v>
      </c>
      <c r="AA5" s="245"/>
      <c r="AB5" s="246"/>
      <c r="AC5" s="246"/>
      <c r="AD5" s="246"/>
      <c r="AE5" s="246">
        <v>0</v>
      </c>
      <c r="AF5" s="247"/>
      <c r="AG5" s="247"/>
      <c r="AH5" s="247"/>
      <c r="AI5" s="247"/>
      <c r="AJ5" s="247"/>
    </row>
    <row r="6" spans="1:37" s="222" customFormat="1" ht="15">
      <c r="D6" s="172" t="s">
        <v>237</v>
      </c>
      <c r="E6" s="172"/>
      <c r="F6" s="264" t="s">
        <v>269</v>
      </c>
      <c r="G6" s="264">
        <v>0</v>
      </c>
      <c r="H6" s="264">
        <v>3</v>
      </c>
      <c r="I6" s="264">
        <v>0</v>
      </c>
      <c r="J6" s="264">
        <v>0</v>
      </c>
      <c r="K6" s="264">
        <v>0</v>
      </c>
      <c r="L6" s="264">
        <v>0</v>
      </c>
      <c r="M6" s="265">
        <v>1</v>
      </c>
      <c r="N6" s="265">
        <v>0.5</v>
      </c>
      <c r="O6" s="264">
        <v>0</v>
      </c>
      <c r="P6" s="264">
        <v>0.5</v>
      </c>
      <c r="Q6" s="264">
        <v>0.5</v>
      </c>
      <c r="R6" s="264">
        <v>1</v>
      </c>
      <c r="S6" s="264">
        <v>0</v>
      </c>
      <c r="T6" s="265">
        <v>1</v>
      </c>
      <c r="U6" s="265">
        <v>0</v>
      </c>
      <c r="V6" s="265">
        <v>0.5</v>
      </c>
      <c r="W6" s="265">
        <v>0</v>
      </c>
      <c r="X6" s="265">
        <v>0.5</v>
      </c>
      <c r="Y6" s="265">
        <v>0</v>
      </c>
      <c r="Z6" s="234">
        <v>0</v>
      </c>
      <c r="AA6" s="236"/>
      <c r="AB6" s="220"/>
      <c r="AC6" s="220"/>
      <c r="AD6" s="220"/>
      <c r="AE6" s="220">
        <v>1</v>
      </c>
      <c r="AF6" s="221"/>
      <c r="AG6" s="221"/>
      <c r="AH6" s="221"/>
      <c r="AI6" s="221"/>
      <c r="AJ6" s="221"/>
    </row>
    <row r="7" spans="1:37" s="178" customFormat="1" ht="15">
      <c r="F7" s="264" t="s">
        <v>14</v>
      </c>
      <c r="G7" s="264">
        <v>0</v>
      </c>
      <c r="H7" s="264">
        <v>0</v>
      </c>
      <c r="I7" s="264">
        <v>3</v>
      </c>
      <c r="J7" s="264">
        <v>0</v>
      </c>
      <c r="K7" s="264">
        <v>0</v>
      </c>
      <c r="L7" s="264">
        <v>0</v>
      </c>
      <c r="M7" s="265">
        <v>1</v>
      </c>
      <c r="N7" s="265">
        <v>2</v>
      </c>
      <c r="O7" s="265">
        <v>2.5</v>
      </c>
      <c r="P7" s="265">
        <v>2.5</v>
      </c>
      <c r="Q7" s="265">
        <v>2</v>
      </c>
      <c r="R7" s="265">
        <v>0</v>
      </c>
      <c r="S7" s="265">
        <v>1</v>
      </c>
      <c r="T7" s="265">
        <v>1</v>
      </c>
      <c r="U7" s="265">
        <v>0</v>
      </c>
      <c r="V7" s="265">
        <v>0</v>
      </c>
      <c r="W7" s="265">
        <v>1.5</v>
      </c>
      <c r="X7" s="265">
        <v>0.5</v>
      </c>
      <c r="Y7" s="265">
        <v>0.5</v>
      </c>
      <c r="Z7" s="243">
        <v>0</v>
      </c>
      <c r="AA7" s="237"/>
      <c r="AB7" s="158"/>
      <c r="AC7" s="158"/>
      <c r="AD7" s="158"/>
      <c r="AE7" s="158">
        <v>1</v>
      </c>
      <c r="AF7" s="177"/>
      <c r="AG7" s="177"/>
      <c r="AH7" s="177"/>
      <c r="AI7" s="177"/>
      <c r="AJ7" s="177"/>
    </row>
    <row r="8" spans="1:37" s="134" customFormat="1" ht="15">
      <c r="D8" s="213"/>
      <c r="E8" s="213"/>
      <c r="F8" s="264" t="s">
        <v>196</v>
      </c>
      <c r="G8" s="264">
        <v>0</v>
      </c>
      <c r="H8" s="264">
        <v>0</v>
      </c>
      <c r="I8" s="264">
        <v>0</v>
      </c>
      <c r="J8" s="264">
        <v>3</v>
      </c>
      <c r="K8" s="264">
        <v>0</v>
      </c>
      <c r="L8" s="264">
        <v>0</v>
      </c>
      <c r="M8" s="265">
        <v>0</v>
      </c>
      <c r="N8" s="265">
        <v>0</v>
      </c>
      <c r="O8" s="265">
        <v>0</v>
      </c>
      <c r="P8" s="265">
        <v>0</v>
      </c>
      <c r="Q8" s="265">
        <v>0</v>
      </c>
      <c r="R8" s="265">
        <v>0</v>
      </c>
      <c r="S8" s="265">
        <v>0</v>
      </c>
      <c r="T8" s="265">
        <v>0</v>
      </c>
      <c r="U8" s="265">
        <v>0</v>
      </c>
      <c r="V8" s="265">
        <v>0</v>
      </c>
      <c r="W8" s="265">
        <v>0</v>
      </c>
      <c r="X8" s="265">
        <v>0</v>
      </c>
      <c r="Y8" s="265">
        <v>0</v>
      </c>
      <c r="Z8" s="243">
        <v>0</v>
      </c>
      <c r="AA8" s="237"/>
      <c r="AB8" s="158"/>
      <c r="AC8" s="158"/>
      <c r="AD8" s="120"/>
      <c r="AE8" s="149"/>
      <c r="AF8" s="140"/>
      <c r="AG8" s="140"/>
      <c r="AH8" s="140"/>
      <c r="AI8" s="140"/>
      <c r="AJ8" s="140"/>
    </row>
    <row r="9" spans="1:37" s="204" customFormat="1" ht="15">
      <c r="D9" s="214" t="s">
        <v>238</v>
      </c>
      <c r="E9" s="214"/>
      <c r="F9" s="264" t="s">
        <v>34</v>
      </c>
      <c r="G9" s="264">
        <v>0</v>
      </c>
      <c r="H9" s="264">
        <v>0</v>
      </c>
      <c r="I9" s="264">
        <v>0</v>
      </c>
      <c r="J9" s="264">
        <v>0</v>
      </c>
      <c r="K9" s="264">
        <v>3</v>
      </c>
      <c r="L9" s="264">
        <v>0</v>
      </c>
      <c r="M9" s="265">
        <v>0</v>
      </c>
      <c r="N9" s="265">
        <v>0</v>
      </c>
      <c r="O9" s="265">
        <v>0</v>
      </c>
      <c r="P9" s="265">
        <v>0</v>
      </c>
      <c r="Q9" s="265">
        <v>0.5</v>
      </c>
      <c r="R9" s="265">
        <v>1</v>
      </c>
      <c r="S9" s="265">
        <v>1</v>
      </c>
      <c r="T9" s="265">
        <v>1</v>
      </c>
      <c r="U9" s="265">
        <v>1.5</v>
      </c>
      <c r="V9" s="265">
        <v>1.5</v>
      </c>
      <c r="W9" s="265">
        <v>1.5</v>
      </c>
      <c r="X9" s="265">
        <v>2</v>
      </c>
      <c r="Y9" s="265">
        <v>2.5</v>
      </c>
      <c r="Z9" s="243">
        <v>3</v>
      </c>
      <c r="AA9" s="238"/>
      <c r="AB9" s="201"/>
      <c r="AC9" s="201"/>
      <c r="AD9" s="201"/>
      <c r="AE9" s="201">
        <v>1</v>
      </c>
      <c r="AF9" s="203"/>
      <c r="AG9" s="203"/>
      <c r="AH9" s="203"/>
      <c r="AI9" s="203"/>
      <c r="AJ9" s="203"/>
    </row>
    <row r="10" spans="1:37" s="225" customFormat="1" ht="15">
      <c r="D10" s="223" t="s">
        <v>239</v>
      </c>
      <c r="E10" s="223"/>
      <c r="F10" s="264" t="s">
        <v>151</v>
      </c>
      <c r="G10" s="264">
        <f t="shared" ref="G10:P10" si="1">SUM(G5:G9)</f>
        <v>3</v>
      </c>
      <c r="H10" s="264">
        <f t="shared" si="1"/>
        <v>3</v>
      </c>
      <c r="I10" s="264">
        <f t="shared" si="1"/>
        <v>3</v>
      </c>
      <c r="J10" s="264">
        <f t="shared" si="1"/>
        <v>3</v>
      </c>
      <c r="K10" s="264">
        <f t="shared" si="1"/>
        <v>3</v>
      </c>
      <c r="L10" s="264">
        <f t="shared" si="1"/>
        <v>3</v>
      </c>
      <c r="M10" s="265">
        <f t="shared" si="1"/>
        <v>3</v>
      </c>
      <c r="N10" s="265">
        <f t="shared" si="1"/>
        <v>3</v>
      </c>
      <c r="O10" s="265">
        <f t="shared" si="1"/>
        <v>3</v>
      </c>
      <c r="P10" s="265">
        <f t="shared" si="1"/>
        <v>3</v>
      </c>
      <c r="Q10" s="265">
        <v>3</v>
      </c>
      <c r="R10" s="265">
        <f>SUM(R5:R9)</f>
        <v>3</v>
      </c>
      <c r="S10" s="265">
        <f>SUM(S5:S9)</f>
        <v>3</v>
      </c>
      <c r="T10" s="265">
        <f t="shared" ref="T10:Z10" si="2">SUM(T5:T9)</f>
        <v>3</v>
      </c>
      <c r="U10" s="265">
        <f>SUM(U5:U9)</f>
        <v>3</v>
      </c>
      <c r="V10" s="265">
        <f>SUM(V5:V9)</f>
        <v>3</v>
      </c>
      <c r="W10" s="265">
        <f>SUM(W5:W9)</f>
        <v>3</v>
      </c>
      <c r="X10" s="265">
        <f t="shared" si="2"/>
        <v>3</v>
      </c>
      <c r="Y10" s="265">
        <v>3</v>
      </c>
      <c r="Z10" s="242">
        <f t="shared" si="2"/>
        <v>3</v>
      </c>
      <c r="AA10" s="239"/>
      <c r="AB10" s="224"/>
      <c r="AC10" s="224"/>
      <c r="AD10" s="224"/>
      <c r="AE10" s="224">
        <f>SUM(AE5:AE9)</f>
        <v>3</v>
      </c>
      <c r="AF10" s="207"/>
      <c r="AG10" s="207"/>
      <c r="AH10" s="207"/>
      <c r="AI10" s="207"/>
      <c r="AJ10" s="207"/>
    </row>
    <row r="11" spans="1:37" s="274" customFormat="1" ht="15">
      <c r="E11" s="274" t="s">
        <v>290</v>
      </c>
      <c r="F11" s="275"/>
      <c r="G11" s="276">
        <f>$C$18*$C$22*$C$24/(G15+G16+G17)</f>
        <v>3.9</v>
      </c>
      <c r="H11" s="276">
        <f>$C$18*$C$21*$C$24/(H15+H16+H17)</f>
        <v>12</v>
      </c>
      <c r="I11" s="276">
        <f>$C$18*$C$22*$C$24/(I15+I16+I17)</f>
        <v>25</v>
      </c>
      <c r="J11" s="276">
        <f>$C$18*$C$23*$C$24/(J15+J16+J17)</f>
        <v>30</v>
      </c>
      <c r="K11" s="276">
        <f>$C$18*$C$22*$C$24/(K15+K16+K17)</f>
        <v>95</v>
      </c>
      <c r="L11" s="275">
        <f>$C$18*$C$22*$C$24/(L15+L16+L17)</f>
        <v>3.9</v>
      </c>
      <c r="M11" s="277">
        <f>$C$18*$C$21*$C$22/(M15+M16+M17)</f>
        <v>7.9000675219446324</v>
      </c>
      <c r="N11" s="277">
        <f>$C$18*$C$21*$C$22/(N15+N16+N17)</f>
        <v>12.006157003591586</v>
      </c>
      <c r="O11" s="277">
        <f>$C$18*$C$21*$C$22/(O15+O16+O17)</f>
        <v>13.146067415730338</v>
      </c>
      <c r="P11" s="277">
        <f>$C$18*$C$21*$C$22/(P15+P16+P17)</f>
        <v>21.176470588235293</v>
      </c>
      <c r="Q11" s="277">
        <f>$C$21*$C$22*$C$24/(Q15+Q16+Q17)</f>
        <v>23.635107118175537</v>
      </c>
      <c r="R11" s="277">
        <f>$C$18*$C$21*$C$24/(R15+R16+R17)</f>
        <v>8.5648237333847046</v>
      </c>
      <c r="S11" s="277">
        <f>$C$18*$C$22*$C$24/(S15+S16+S17)</f>
        <v>9.774006331340134</v>
      </c>
      <c r="T11" s="277">
        <f>$C$21*$C$22*$C$24/(T15+T16+T17)</f>
        <v>22.411533420707734</v>
      </c>
      <c r="U11" s="277">
        <f>$C$18*$C$22*$C$24/(U15+U16+U17)</f>
        <v>7.492416582406471</v>
      </c>
      <c r="V11" s="277">
        <f>$C$18*$C$21*$C$24/(V15+V16+V17)</f>
        <v>9.5582070299903261</v>
      </c>
      <c r="W11" s="277">
        <f>$C$18*$C$22*$C$24/(W15+W16+W17)</f>
        <v>39.583333333333336</v>
      </c>
      <c r="X11" s="277">
        <f>$C$21*$C$22*$C$24/(X15+X16+X17)</f>
        <v>36.267232237539773</v>
      </c>
      <c r="Y11" s="277">
        <f>$C$18*$C$22*$C$24/(Y15+Y16+Y17)</f>
        <v>64.772727272727266</v>
      </c>
      <c r="Z11" s="278">
        <f>$C$21*$C$22*$C$24/(Z15+Z16+Z17)</f>
        <v>95</v>
      </c>
      <c r="AA11" s="253"/>
      <c r="AB11" s="206"/>
      <c r="AC11" s="206"/>
      <c r="AD11" s="206"/>
      <c r="AE11" s="206"/>
      <c r="AF11" s="207"/>
      <c r="AG11" s="207"/>
      <c r="AH11" s="207"/>
      <c r="AI11" s="207"/>
      <c r="AJ11" s="207"/>
    </row>
    <row r="12" spans="1:37" s="205" customFormat="1" ht="15">
      <c r="E12" s="205" t="s">
        <v>291</v>
      </c>
      <c r="F12" s="264" t="s">
        <v>275</v>
      </c>
      <c r="G12" s="283"/>
      <c r="H12" s="283"/>
      <c r="I12" s="283"/>
      <c r="J12" s="283"/>
      <c r="K12" s="283"/>
      <c r="L12" s="264"/>
      <c r="M12" s="284">
        <f>M14</f>
        <v>13.633333333333333</v>
      </c>
      <c r="N12" s="284">
        <f t="shared" ref="N12:Y12" si="3">N14</f>
        <v>19.316666666666666</v>
      </c>
      <c r="O12" s="284">
        <f t="shared" si="3"/>
        <v>21.483333333333334</v>
      </c>
      <c r="P12" s="284">
        <f t="shared" si="3"/>
        <v>22.833333333333332</v>
      </c>
      <c r="Q12" s="284">
        <f t="shared" si="3"/>
        <v>34.5</v>
      </c>
      <c r="R12" s="284">
        <f t="shared" si="3"/>
        <v>36.966666666666669</v>
      </c>
      <c r="S12" s="284">
        <f t="shared" si="3"/>
        <v>41.300000000000004</v>
      </c>
      <c r="T12" s="284">
        <f t="shared" si="3"/>
        <v>44</v>
      </c>
      <c r="U12" s="284">
        <f t="shared" si="3"/>
        <v>49.449999999999996</v>
      </c>
      <c r="V12" s="284">
        <f t="shared" si="3"/>
        <v>50.800000000000004</v>
      </c>
      <c r="W12" s="284">
        <f t="shared" si="3"/>
        <v>60</v>
      </c>
      <c r="X12" s="284">
        <f t="shared" si="3"/>
        <v>69.5</v>
      </c>
      <c r="Y12" s="284">
        <f t="shared" si="3"/>
        <v>83.333333333333329</v>
      </c>
      <c r="Z12" s="285"/>
      <c r="AA12" s="286"/>
      <c r="AB12" s="257"/>
      <c r="AC12" s="257"/>
      <c r="AD12" s="257"/>
      <c r="AE12" s="257"/>
      <c r="AF12" s="287"/>
      <c r="AG12" s="287"/>
      <c r="AH12" s="287"/>
      <c r="AI12" s="287"/>
      <c r="AJ12" s="287"/>
      <c r="AK12" s="274"/>
    </row>
    <row r="13" spans="1:37" s="101" customFormat="1" ht="15">
      <c r="F13" s="266" t="s">
        <v>171</v>
      </c>
      <c r="G13" s="267">
        <v>9</v>
      </c>
      <c r="H13" s="267">
        <v>8.1999999999999993</v>
      </c>
      <c r="I13" s="267">
        <v>5.2</v>
      </c>
      <c r="J13" s="267">
        <v>5.2</v>
      </c>
      <c r="K13" s="267">
        <v>3.5</v>
      </c>
      <c r="L13" s="267">
        <v>9</v>
      </c>
      <c r="M13" s="268">
        <f t="shared" ref="M13:Y13" si="4">($B$18*M5+$B$21*M6+$B$22*M7+$B$24*M9)/M10</f>
        <v>7.4666666666666659</v>
      </c>
      <c r="N13" s="268">
        <f>($B$18*N5+$B$21*N6+$B$22*N7+$B$24*N9)/N10</f>
        <v>6.333333333333333</v>
      </c>
      <c r="O13" s="268">
        <f>($B$18*O5+$B$21*O6+$B$22*O7+$B$24*O9)/O10</f>
        <v>5.833333333333333</v>
      </c>
      <c r="P13" s="268">
        <f>($B$18*P5+$B$21*P6+$B$22*P7+$B$24*P9)/P10</f>
        <v>5.7</v>
      </c>
      <c r="Q13" s="268">
        <f>($B$18*Q5+$B$21*Q6+$B$22*Q7+$B$24*Q9)/Q10</f>
        <v>5.416666666666667</v>
      </c>
      <c r="R13" s="268">
        <f t="shared" si="4"/>
        <v>6.8999999999999995</v>
      </c>
      <c r="S13" s="268">
        <f t="shared" si="4"/>
        <v>5.8999999999999995</v>
      </c>
      <c r="T13" s="268">
        <f t="shared" si="4"/>
        <v>5.6333333333333329</v>
      </c>
      <c r="U13" s="268">
        <f>($B$18*U5+$B$21*U6+$B$22*U7+$B$24*U9)/U10</f>
        <v>6.25</v>
      </c>
      <c r="V13" s="268">
        <f>($B$18*V5+$B$21*V6+$B$22*V7+$B$24*V9)/V10</f>
        <v>6.1166666666666671</v>
      </c>
      <c r="W13" s="268">
        <f>($B$18*W5+$B$21*W6+$B$22*W7+$B$24*W9)/W10</f>
        <v>4.3500000000000005</v>
      </c>
      <c r="X13" s="268">
        <f t="shared" si="4"/>
        <v>4.5666666666666664</v>
      </c>
      <c r="Y13" s="268">
        <f t="shared" si="4"/>
        <v>3.7833333333333332</v>
      </c>
      <c r="Z13" s="242">
        <v>3.5</v>
      </c>
      <c r="AA13" s="269" t="s">
        <v>187</v>
      </c>
      <c r="AB13" s="270" t="s">
        <v>185</v>
      </c>
      <c r="AC13" s="270" t="s">
        <v>184</v>
      </c>
      <c r="AD13" s="271" t="s">
        <v>186</v>
      </c>
      <c r="AE13" s="272" t="s">
        <v>175</v>
      </c>
      <c r="AF13" s="273" t="s">
        <v>176</v>
      </c>
      <c r="AG13" s="273" t="s">
        <v>191</v>
      </c>
      <c r="AH13" s="273" t="s">
        <v>177</v>
      </c>
      <c r="AI13" s="273" t="s">
        <v>177</v>
      </c>
      <c r="AJ13" s="273" t="s">
        <v>178</v>
      </c>
      <c r="AK13" s="273" t="s">
        <v>178</v>
      </c>
    </row>
    <row r="14" spans="1:37" s="205" customFormat="1">
      <c r="A14" s="205" t="s">
        <v>169</v>
      </c>
      <c r="B14" s="205" t="s">
        <v>167</v>
      </c>
      <c r="C14" s="205" t="s">
        <v>168</v>
      </c>
      <c r="F14" s="259" t="s">
        <v>150</v>
      </c>
      <c r="G14" s="260">
        <f>($C$18*G5+$C$21*G6+$C$22*G7+$C$24*G9)/G10</f>
        <v>3.9</v>
      </c>
      <c r="H14" s="260">
        <f>($C$18*H5+$C$21*H6+$C$22*H7+$C$24*H9)/H10</f>
        <v>12</v>
      </c>
      <c r="I14" s="260">
        <f>($C$18*I5+$C$21*I6+$C$22*I7+$C$24*I9)/I10</f>
        <v>25</v>
      </c>
      <c r="J14" s="260">
        <v>27</v>
      </c>
      <c r="K14" s="260">
        <f t="shared" ref="K14:Z14" si="5">($C$18*K5+$C$21*K6+$C$22*K7+$C$24*K9)/K10</f>
        <v>95</v>
      </c>
      <c r="L14" s="260">
        <f t="shared" si="5"/>
        <v>3.9</v>
      </c>
      <c r="M14" s="257">
        <f t="shared" si="5"/>
        <v>13.633333333333333</v>
      </c>
      <c r="N14" s="257">
        <f>($C$18*N5+$C$21*N6+$C$22*N7+$C$24*N9)/N10</f>
        <v>19.316666666666666</v>
      </c>
      <c r="O14" s="257">
        <f>($C$18*O5+$C$21*O6+$C$22*O7+$C$24*O9)/O10</f>
        <v>21.483333333333334</v>
      </c>
      <c r="P14" s="257">
        <f>($C$18*P5+$C$21*P6+$C$22*P7+$C$24*P9)/P10</f>
        <v>22.833333333333332</v>
      </c>
      <c r="Q14" s="257">
        <f>($C$18*Q5+$C$21*Q6+$C$22*Q7+$C$24*Q9)/Q10</f>
        <v>34.5</v>
      </c>
      <c r="R14" s="257">
        <f t="shared" si="5"/>
        <v>36.966666666666669</v>
      </c>
      <c r="S14" s="257">
        <f t="shared" si="5"/>
        <v>41.300000000000004</v>
      </c>
      <c r="T14" s="257">
        <f t="shared" si="5"/>
        <v>44</v>
      </c>
      <c r="U14" s="257">
        <f>($C$18*U5+$C$21*U6+$C$22*U7+$C$24*U9)/U10</f>
        <v>49.449999999999996</v>
      </c>
      <c r="V14" s="257">
        <f>($C$18*V5+$C$21*V6+$C$22*V7+$C$24*V9)/V10</f>
        <v>50.800000000000004</v>
      </c>
      <c r="W14" s="257">
        <f>($C$18*W5+$C$21*W6+$C$22*W7+$C$24*W9)/W10</f>
        <v>60</v>
      </c>
      <c r="X14" s="257">
        <f t="shared" si="5"/>
        <v>69.5</v>
      </c>
      <c r="Y14" s="257">
        <f t="shared" si="5"/>
        <v>83.333333333333329</v>
      </c>
      <c r="Z14" s="260">
        <f t="shared" si="5"/>
        <v>95</v>
      </c>
      <c r="AA14" s="206">
        <v>80</v>
      </c>
      <c r="AB14" s="206">
        <v>80</v>
      </c>
      <c r="AC14" s="206">
        <v>80</v>
      </c>
      <c r="AD14" s="206"/>
      <c r="AE14" s="206"/>
      <c r="AF14" s="207"/>
      <c r="AG14" s="207"/>
      <c r="AH14" s="207"/>
      <c r="AI14" s="207"/>
      <c r="AJ14" s="207"/>
    </row>
    <row r="15" spans="1:37" s="208" customFormat="1">
      <c r="E15" s="357" t="s">
        <v>301</v>
      </c>
      <c r="F15" s="209" t="s">
        <v>230</v>
      </c>
      <c r="G15" s="227">
        <f>$C$22*$C$24*G5/G10</f>
        <v>2375</v>
      </c>
      <c r="H15" s="227">
        <f>$C$20*$C$24*H5/H10</f>
        <v>0</v>
      </c>
      <c r="I15" s="227">
        <f>$C$22*$C$24*I5/I10</f>
        <v>0</v>
      </c>
      <c r="J15" s="227">
        <f>$C$23*$C$24*J5/J10</f>
        <v>0</v>
      </c>
      <c r="K15" s="227">
        <f>$C$22*$C$24*K5/K10</f>
        <v>0</v>
      </c>
      <c r="L15" s="227">
        <f>$C$22*$C$24*L5/L10</f>
        <v>2375</v>
      </c>
      <c r="M15" s="215">
        <f>$C$21*$C$22*M5/M10</f>
        <v>100</v>
      </c>
      <c r="N15" s="215">
        <f>$C$21*$C$22*N5/N10</f>
        <v>50</v>
      </c>
      <c r="O15" s="215">
        <f>$C$21*$C$22*O5/O10</f>
        <v>50</v>
      </c>
      <c r="P15" s="215">
        <f>$C$21*$C$22*P5/P10</f>
        <v>0</v>
      </c>
      <c r="Q15" s="116">
        <f>$C$22*$C$24*Q6/Q10</f>
        <v>395.83333333333331</v>
      </c>
      <c r="R15" s="226">
        <f>$C$21*$C$24*R5/R10</f>
        <v>380</v>
      </c>
      <c r="S15" s="227">
        <f>$C$22*$C$24*S5/S10</f>
        <v>791.66666666666663</v>
      </c>
      <c r="T15" s="116">
        <f>$C$22*$C$24*T6/T10</f>
        <v>791.66666666666663</v>
      </c>
      <c r="U15" s="227">
        <f>$C$22*$C$24*U5/U10</f>
        <v>1187.5</v>
      </c>
      <c r="V15" s="226">
        <f>$C$21*$C$24*V5/V10</f>
        <v>380</v>
      </c>
      <c r="W15" s="227">
        <f>$C$22*$C$24*W5/W10</f>
        <v>0</v>
      </c>
      <c r="X15" s="116">
        <f>$C$22*$C$24*X6/X10</f>
        <v>395.83333333333331</v>
      </c>
      <c r="Y15" s="227">
        <f>$C$22*$C$24*Y5/Y10</f>
        <v>0</v>
      </c>
      <c r="Z15" s="210">
        <f>$C$22*$C$24*Z6/Z10</f>
        <v>0</v>
      </c>
      <c r="AA15" s="210"/>
      <c r="AB15" s="210"/>
      <c r="AC15" s="210"/>
      <c r="AD15" s="210"/>
      <c r="AE15" s="210"/>
      <c r="AF15" s="211"/>
      <c r="AG15" s="211"/>
      <c r="AH15" s="211"/>
      <c r="AI15" s="211"/>
      <c r="AJ15" s="211"/>
    </row>
    <row r="16" spans="1:37" s="208" customFormat="1">
      <c r="E16" s="357"/>
      <c r="F16" s="209" t="s">
        <v>232</v>
      </c>
      <c r="G16" s="227">
        <f>$C$18*$C$24*G7/G10</f>
        <v>0</v>
      </c>
      <c r="H16" s="227">
        <f>$C$18*$C$24*H6/H10</f>
        <v>370.5</v>
      </c>
      <c r="I16" s="227">
        <f>$C$18*$C$24*I7/I10</f>
        <v>370.5</v>
      </c>
      <c r="J16" s="227">
        <f>$C$18*$C$24*J8/J10</f>
        <v>370.5</v>
      </c>
      <c r="K16" s="227">
        <f>$C$18*$C$24*K7/K10</f>
        <v>0</v>
      </c>
      <c r="L16" s="227">
        <f>$C$18*$C$24*L7/L10</f>
        <v>0</v>
      </c>
      <c r="M16" s="215">
        <f>$C$18*$C$22*M6/M10</f>
        <v>32.5</v>
      </c>
      <c r="N16" s="215">
        <f>$C$18*$C$22*N6/N10</f>
        <v>16.25</v>
      </c>
      <c r="O16" s="215">
        <f>$C$18*$C$22*O6/O10</f>
        <v>0</v>
      </c>
      <c r="P16" s="215">
        <f>$C$18*$C$22*P6/P10</f>
        <v>16.25</v>
      </c>
      <c r="Q16" s="116">
        <f>$C$21*$C$24*Q7/Q10</f>
        <v>760</v>
      </c>
      <c r="R16" s="226">
        <f>$C$18*$C$24*R6/R10</f>
        <v>123.5</v>
      </c>
      <c r="S16" s="227">
        <f>$C$18*$C$24*S7/S10</f>
        <v>123.5</v>
      </c>
      <c r="T16" s="116">
        <f>$C$21*$C$24*T7/T10</f>
        <v>380</v>
      </c>
      <c r="U16" s="227">
        <f>$C$18*$C$24*U7/U10</f>
        <v>0</v>
      </c>
      <c r="V16" s="226">
        <f>$C$18*$C$24*V6/V10</f>
        <v>61.75</v>
      </c>
      <c r="W16" s="227">
        <f>$C$18*$C$24*W7/W10</f>
        <v>185.25</v>
      </c>
      <c r="X16" s="116">
        <f>$C$21*$C$24*X7/X10</f>
        <v>190</v>
      </c>
      <c r="Y16" s="227">
        <f>$C$18*$C$24*Y7/Y10</f>
        <v>61.75</v>
      </c>
      <c r="Z16" s="210">
        <f>$C$21*$C$24*Z7/Z10</f>
        <v>0</v>
      </c>
      <c r="AA16" s="210"/>
      <c r="AB16" s="210"/>
      <c r="AC16" s="210"/>
      <c r="AD16" s="210"/>
      <c r="AE16" s="210"/>
      <c r="AF16" s="211"/>
      <c r="AG16" s="211"/>
      <c r="AH16" s="211"/>
      <c r="AI16" s="211"/>
      <c r="AJ16" s="211"/>
    </row>
    <row r="17" spans="1:37" s="208" customFormat="1">
      <c r="E17" s="358"/>
      <c r="F17" s="209" t="s">
        <v>231</v>
      </c>
      <c r="G17" s="227">
        <f>$C$18*$C$22*G9/G10</f>
        <v>0</v>
      </c>
      <c r="H17" s="227">
        <f>$C$18*$C$22*H9/H10</f>
        <v>0</v>
      </c>
      <c r="I17" s="227">
        <f>$C$18*$C$22*I9/I10</f>
        <v>0</v>
      </c>
      <c r="J17" s="227">
        <f>$C$18*$C$23*J9/J10</f>
        <v>0</v>
      </c>
      <c r="K17" s="227">
        <f>$C$18*$C$22*K9/K10</f>
        <v>97.5</v>
      </c>
      <c r="L17" s="227">
        <f>$C$18*$C$22*L9/L10</f>
        <v>0</v>
      </c>
      <c r="M17" s="215">
        <f>$C$21*$C$18*M7/M10</f>
        <v>15.6</v>
      </c>
      <c r="N17" s="215">
        <f>$C$21*$C$18*N7/N10</f>
        <v>31.2</v>
      </c>
      <c r="O17" s="215">
        <f>$C$21*$C$18*O7/O10</f>
        <v>39</v>
      </c>
      <c r="P17" s="215">
        <f>$C$21*$C$18*P7/P10</f>
        <v>39</v>
      </c>
      <c r="Q17" s="116">
        <f>$C$22*$C$21*Q9/Q10</f>
        <v>50</v>
      </c>
      <c r="R17" s="226">
        <f>$C$18*$C$21*R9/R10</f>
        <v>15.6</v>
      </c>
      <c r="S17" s="227">
        <f>$C$18*$C$22*S9/S10</f>
        <v>32.5</v>
      </c>
      <c r="T17" s="116">
        <f>$C$22*$C$21*T9/T10</f>
        <v>100</v>
      </c>
      <c r="U17" s="227">
        <f>$C$18*$C$22*U9/U10</f>
        <v>48.75</v>
      </c>
      <c r="V17" s="226">
        <f>$C$18*$C$21*V9/V10</f>
        <v>23.399999999999995</v>
      </c>
      <c r="W17" s="227">
        <f>$C$18*$C$22*W9/W10</f>
        <v>48.75</v>
      </c>
      <c r="X17" s="116">
        <f>$C$22*$C$21*X9/X10</f>
        <v>200</v>
      </c>
      <c r="Y17" s="227">
        <f>$C$18*$C$22*Y9/Y10</f>
        <v>81.25</v>
      </c>
      <c r="Z17" s="210">
        <f>$C$22*$C$21*Z9/Z10</f>
        <v>300</v>
      </c>
      <c r="AA17" s="210" t="s">
        <v>332</v>
      </c>
      <c r="AB17" s="210" t="s">
        <v>333</v>
      </c>
      <c r="AC17" s="210" t="s">
        <v>334</v>
      </c>
      <c r="AD17" s="210" t="s">
        <v>335</v>
      </c>
      <c r="AE17" s="210"/>
      <c r="AF17" s="211"/>
      <c r="AG17" s="211"/>
      <c r="AH17" s="211"/>
      <c r="AI17" s="211"/>
      <c r="AJ17" s="211"/>
    </row>
    <row r="18" spans="1:37" ht="15.75">
      <c r="A18" s="48" t="s">
        <v>23</v>
      </c>
      <c r="B18" s="48">
        <v>9</v>
      </c>
      <c r="C18" s="48">
        <v>3.9</v>
      </c>
      <c r="D18" s="212" t="s">
        <v>233</v>
      </c>
      <c r="E18" s="109" t="s">
        <v>258</v>
      </c>
      <c r="F18" s="135" t="s">
        <v>257</v>
      </c>
      <c r="G18" s="304">
        <v>0.53180000000000005</v>
      </c>
      <c r="H18" s="304">
        <v>0.75160000000000005</v>
      </c>
      <c r="I18" s="313">
        <v>0.86729999999999996</v>
      </c>
      <c r="J18" s="304">
        <v>0.88529999999999998</v>
      </c>
      <c r="K18" s="304">
        <v>0.94210000000000005</v>
      </c>
      <c r="L18" s="304">
        <f t="shared" ref="L18:L26" si="6">G18</f>
        <v>0.53180000000000005</v>
      </c>
      <c r="M18" s="304">
        <v>0.70120000000000005</v>
      </c>
      <c r="N18" s="304">
        <v>0.78169999999999995</v>
      </c>
      <c r="O18" s="304">
        <v>0.80010000000000003</v>
      </c>
      <c r="P18" s="304">
        <v>0.84470000000000001</v>
      </c>
      <c r="Q18" s="304">
        <v>0.85799999999999998</v>
      </c>
      <c r="R18" s="304">
        <v>0.73119999999999996</v>
      </c>
      <c r="S18" s="304">
        <v>0.76880000000000004</v>
      </c>
      <c r="T18" s="304">
        <v>0.84970000000000001</v>
      </c>
      <c r="U18" s="304">
        <v>0.72519999999999996</v>
      </c>
      <c r="V18" s="304">
        <v>0.7631</v>
      </c>
      <c r="W18" s="304">
        <v>0.90269999999999995</v>
      </c>
      <c r="X18" s="304">
        <v>0.8952</v>
      </c>
      <c r="Y18" s="304">
        <v>0.92789999999999995</v>
      </c>
      <c r="Z18" s="304">
        <v>0.94210000000000005</v>
      </c>
      <c r="AA18" s="304">
        <f>MIN(M18:Z18)</f>
        <v>0.70120000000000005</v>
      </c>
      <c r="AB18" s="304">
        <f>MAX(G18:Z18)</f>
        <v>0.94210000000000005</v>
      </c>
      <c r="AC18" s="311">
        <f>(AA18-$I$18)/I18</f>
        <v>-0.19151389369307037</v>
      </c>
      <c r="AD18" s="309">
        <f>(AB18-$I$18)/$I$18</f>
        <v>8.6244667358468918E-2</v>
      </c>
      <c r="AE18" s="147"/>
      <c r="AF18" s="141"/>
      <c r="AG18" s="141"/>
      <c r="AH18" s="141"/>
      <c r="AI18" s="141"/>
      <c r="AJ18" s="141"/>
    </row>
    <row r="19" spans="1:37" ht="15.75">
      <c r="A19" s="48" t="s">
        <v>170</v>
      </c>
      <c r="B19" s="48">
        <v>4.5999999999999996</v>
      </c>
      <c r="C19" s="48">
        <v>7.5</v>
      </c>
      <c r="E19" s="109" t="s">
        <v>259</v>
      </c>
      <c r="F19" s="135" t="s">
        <v>260</v>
      </c>
      <c r="G19" s="304">
        <v>89.6</v>
      </c>
      <c r="H19" s="304">
        <v>87.8</v>
      </c>
      <c r="I19" s="313">
        <v>82.5</v>
      </c>
      <c r="J19" s="304">
        <v>81.8</v>
      </c>
      <c r="K19" s="304">
        <v>76.2</v>
      </c>
      <c r="L19" s="304">
        <f t="shared" si="6"/>
        <v>89.6</v>
      </c>
      <c r="M19" s="304">
        <v>82.6</v>
      </c>
      <c r="N19" s="304">
        <v>81.099999999999994</v>
      </c>
      <c r="O19" s="304">
        <v>81.7</v>
      </c>
      <c r="P19" s="304">
        <v>82</v>
      </c>
      <c r="Q19" s="304">
        <v>80.3</v>
      </c>
      <c r="R19" s="304">
        <v>78.900000000000006</v>
      </c>
      <c r="S19" s="304">
        <v>76.8</v>
      </c>
      <c r="T19" s="304">
        <v>79</v>
      </c>
      <c r="U19" s="304">
        <v>77.099999999999994</v>
      </c>
      <c r="V19" s="304">
        <v>76.2</v>
      </c>
      <c r="W19" s="304">
        <v>79.8</v>
      </c>
      <c r="X19" s="304">
        <v>78.3</v>
      </c>
      <c r="Y19" s="304">
        <v>77</v>
      </c>
      <c r="Z19" s="304">
        <v>76.2</v>
      </c>
      <c r="AA19" s="304">
        <f t="shared" ref="AA19:AA27" si="7">MIN(G19:Z19)</f>
        <v>76.2</v>
      </c>
      <c r="AB19" s="304">
        <f t="shared" ref="AB19:AB29" si="8">MAX(G19:Z19)</f>
        <v>89.6</v>
      </c>
      <c r="AC19" s="311">
        <f>(AA19-$I$19)/I19</f>
        <v>-7.6363636363636328E-2</v>
      </c>
      <c r="AD19" s="309">
        <f t="shared" ref="AD19:AD29" si="9">(AB19-$I$18)/$I$18</f>
        <v>102.3091202582728</v>
      </c>
      <c r="AE19" s="147"/>
      <c r="AF19" s="141"/>
      <c r="AG19" s="141"/>
      <c r="AH19" s="141"/>
      <c r="AI19" s="141"/>
      <c r="AJ19" s="141"/>
    </row>
    <row r="20" spans="1:37" ht="15.75">
      <c r="A20" s="48" t="s">
        <v>39</v>
      </c>
      <c r="B20" s="48"/>
      <c r="C20" s="48">
        <v>12</v>
      </c>
      <c r="F20" s="135" t="s">
        <v>143</v>
      </c>
      <c r="G20" s="304">
        <v>89.5</v>
      </c>
      <c r="H20" s="304">
        <v>88.1</v>
      </c>
      <c r="I20" s="313">
        <v>82.8</v>
      </c>
      <c r="J20" s="304">
        <v>82.1</v>
      </c>
      <c r="K20" s="304">
        <v>75</v>
      </c>
      <c r="L20" s="304">
        <f t="shared" si="6"/>
        <v>89.5</v>
      </c>
      <c r="M20" s="304">
        <v>82.7</v>
      </c>
      <c r="N20" s="304">
        <v>81.400000000000006</v>
      </c>
      <c r="O20" s="304">
        <v>81.900000000000006</v>
      </c>
      <c r="P20" s="304">
        <v>82.4</v>
      </c>
      <c r="Q20" s="304">
        <v>80.7</v>
      </c>
      <c r="R20" s="304">
        <v>-1099.8</v>
      </c>
      <c r="S20" s="304">
        <v>76.900000000000006</v>
      </c>
      <c r="T20" s="304">
        <v>79.3</v>
      </c>
      <c r="U20" s="304">
        <v>77.3</v>
      </c>
      <c r="V20" s="304">
        <v>76.3</v>
      </c>
      <c r="W20" s="304">
        <v>80</v>
      </c>
      <c r="X20" s="304">
        <v>78.400000000000006</v>
      </c>
      <c r="Y20" s="304">
        <v>76.2</v>
      </c>
      <c r="Z20" s="304">
        <v>75</v>
      </c>
      <c r="AA20" s="304">
        <f t="shared" si="7"/>
        <v>-1099.8</v>
      </c>
      <c r="AB20" s="304">
        <f t="shared" si="8"/>
        <v>89.5</v>
      </c>
      <c r="AC20" s="309">
        <f>(AA20-$I$18)/I20</f>
        <v>-13.293083333333332</v>
      </c>
      <c r="AD20" s="309">
        <f t="shared" si="9"/>
        <v>102.1938199008417</v>
      </c>
      <c r="AE20" s="147"/>
      <c r="AF20" s="141"/>
      <c r="AG20" s="141"/>
      <c r="AH20" s="141"/>
      <c r="AI20" s="141"/>
      <c r="AJ20" s="141"/>
    </row>
    <row r="21" spans="1:37" ht="15.75">
      <c r="A21" s="48" t="s">
        <v>25</v>
      </c>
      <c r="B21" s="48">
        <v>8.1999999999999993</v>
      </c>
      <c r="C21" s="48">
        <v>12</v>
      </c>
      <c r="D21" s="212" t="s">
        <v>234</v>
      </c>
      <c r="E21" s="109" t="s">
        <v>261</v>
      </c>
      <c r="F21" s="135" t="s">
        <v>262</v>
      </c>
      <c r="G21" s="304">
        <v>19.3</v>
      </c>
      <c r="H21" s="304">
        <v>13.13</v>
      </c>
      <c r="I21" s="313">
        <v>8.8699999999999992</v>
      </c>
      <c r="J21" s="304">
        <v>7.57</v>
      </c>
      <c r="K21" s="304">
        <v>5.04</v>
      </c>
      <c r="L21" s="304">
        <f t="shared" si="6"/>
        <v>19.3</v>
      </c>
      <c r="M21" s="304">
        <v>15.22</v>
      </c>
      <c r="N21" s="304">
        <v>9.3000000000000007</v>
      </c>
      <c r="O21" s="304">
        <v>8.43</v>
      </c>
      <c r="P21" s="304">
        <v>9.83</v>
      </c>
      <c r="Q21" s="304">
        <v>8.6999999999999993</v>
      </c>
      <c r="R21" s="304">
        <v>12.52</v>
      </c>
      <c r="S21" s="304">
        <v>9.48</v>
      </c>
      <c r="T21" s="304">
        <v>8.8699999999999992</v>
      </c>
      <c r="U21" s="304">
        <v>12.7</v>
      </c>
      <c r="V21" s="304">
        <v>9.74</v>
      </c>
      <c r="W21" s="304">
        <v>6.17</v>
      </c>
      <c r="X21" s="304">
        <v>6.43</v>
      </c>
      <c r="Y21" s="304">
        <v>5.48</v>
      </c>
      <c r="Z21" s="304">
        <v>5.04</v>
      </c>
      <c r="AA21" s="304">
        <f>MIN(G21:Z21)</f>
        <v>5.04</v>
      </c>
      <c r="AB21" s="304">
        <f t="shared" si="8"/>
        <v>19.3</v>
      </c>
      <c r="AC21" s="311">
        <f>(AA21-$I$21)/I21</f>
        <v>-0.43179255918827503</v>
      </c>
      <c r="AD21" s="309">
        <f t="shared" si="9"/>
        <v>21.252968984203854</v>
      </c>
      <c r="AE21" s="147"/>
      <c r="AF21" s="141"/>
      <c r="AG21" s="102"/>
      <c r="AH21" s="141"/>
      <c r="AI21" s="102"/>
      <c r="AJ21" s="141"/>
      <c r="AK21" s="102" t="s">
        <v>180</v>
      </c>
    </row>
    <row r="22" spans="1:37" ht="15.75">
      <c r="A22" s="48" t="s">
        <v>21</v>
      </c>
      <c r="B22" s="48">
        <v>5.2</v>
      </c>
      <c r="C22" s="48">
        <v>25</v>
      </c>
      <c r="F22" s="135" t="s">
        <v>321</v>
      </c>
      <c r="G22" s="305">
        <v>9.9999999999999994E-12</v>
      </c>
      <c r="H22" s="305">
        <v>1E-13</v>
      </c>
      <c r="I22" s="314">
        <v>1E-14</v>
      </c>
      <c r="J22" s="305">
        <v>1E-14</v>
      </c>
      <c r="K22" s="305">
        <v>1E-14</v>
      </c>
      <c r="L22" s="305">
        <f t="shared" si="6"/>
        <v>9.9999999999999994E-12</v>
      </c>
      <c r="M22" s="305">
        <v>1E-13</v>
      </c>
      <c r="N22" s="305">
        <v>1E-14</v>
      </c>
      <c r="O22" s="305">
        <v>1E-14</v>
      </c>
      <c r="P22" s="305">
        <v>1E-14</v>
      </c>
      <c r="Q22" s="305">
        <v>1E-14</v>
      </c>
      <c r="R22" s="305">
        <v>1E-13</v>
      </c>
      <c r="S22" s="305">
        <v>1E-14</v>
      </c>
      <c r="T22" s="305">
        <v>1E-14</v>
      </c>
      <c r="U22" s="305">
        <v>1E-13</v>
      </c>
      <c r="V22" s="305">
        <v>1E-14</v>
      </c>
      <c r="W22" s="305">
        <v>1.0000000000000001E-15</v>
      </c>
      <c r="X22" s="305">
        <v>1.0000000000000001E-15</v>
      </c>
      <c r="Y22" s="305">
        <v>1.0000000000000001E-15</v>
      </c>
      <c r="Z22" s="305">
        <v>1E-14</v>
      </c>
      <c r="AA22" s="305">
        <f t="shared" si="7"/>
        <v>1.0000000000000001E-15</v>
      </c>
      <c r="AB22" s="305">
        <f t="shared" si="8"/>
        <v>9.9999999999999994E-12</v>
      </c>
      <c r="AC22" s="311">
        <f>(AA22-$I$22)/I22</f>
        <v>-0.89999999999999991</v>
      </c>
      <c r="AD22" s="309">
        <f t="shared" si="9"/>
        <v>-0.99999999998847</v>
      </c>
      <c r="AE22" s="148"/>
      <c r="AF22" s="141"/>
      <c r="AG22" s="141"/>
      <c r="AH22" s="141"/>
      <c r="AI22" s="141"/>
      <c r="AJ22" s="141"/>
    </row>
    <row r="23" spans="1:37" ht="15.75">
      <c r="A23" s="48" t="s">
        <v>26</v>
      </c>
      <c r="B23" s="48">
        <v>5.6</v>
      </c>
      <c r="C23" s="48">
        <v>30</v>
      </c>
      <c r="F23" s="135" t="s">
        <v>322</v>
      </c>
      <c r="G23" s="305">
        <v>9.9999999999999995E-8</v>
      </c>
      <c r="H23" s="305">
        <v>9.9999999999999995E-8</v>
      </c>
      <c r="I23" s="314">
        <v>9.9999999999999995E-8</v>
      </c>
      <c r="J23" s="305">
        <v>9.9999999999999995E-8</v>
      </c>
      <c r="K23" s="305">
        <v>9.9999999999999995E-8</v>
      </c>
      <c r="L23" s="305">
        <f t="shared" si="6"/>
        <v>9.9999999999999995E-8</v>
      </c>
      <c r="M23" s="305">
        <v>9.9999999999999995E-8</v>
      </c>
      <c r="N23" s="305">
        <v>9.9999999999999995E-8</v>
      </c>
      <c r="O23" s="305">
        <v>9.9999999999999995E-8</v>
      </c>
      <c r="P23" s="305">
        <v>9.9999999999999995E-8</v>
      </c>
      <c r="Q23" s="305">
        <v>9.9999999999999995E-8</v>
      </c>
      <c r="R23" s="305">
        <v>9.9999999999999995E-8</v>
      </c>
      <c r="S23" s="305">
        <v>9.9999999999999995E-8</v>
      </c>
      <c r="T23" s="305">
        <v>9.9999999999999995E-8</v>
      </c>
      <c r="U23" s="305">
        <v>9.9999999999999995E-8</v>
      </c>
      <c r="V23" s="305">
        <v>9.9999999999999995E-8</v>
      </c>
      <c r="W23" s="305">
        <v>9.9999999999999995E-8</v>
      </c>
      <c r="X23" s="305">
        <v>9.9999999999999995E-8</v>
      </c>
      <c r="Y23" s="305">
        <v>9.9999999999999995E-8</v>
      </c>
      <c r="Z23" s="305">
        <v>9.9999999999999995E-8</v>
      </c>
      <c r="AA23" s="305">
        <f t="shared" si="7"/>
        <v>9.9999999999999995E-8</v>
      </c>
      <c r="AB23" s="305">
        <f t="shared" si="8"/>
        <v>9.9999999999999995E-8</v>
      </c>
      <c r="AC23" s="309">
        <f>(AA23-$I$23)/I23</f>
        <v>0</v>
      </c>
      <c r="AD23" s="309">
        <f t="shared" si="9"/>
        <v>-0.99999988469964263</v>
      </c>
      <c r="AE23" s="148"/>
      <c r="AF23" s="141"/>
      <c r="AG23" s="141"/>
      <c r="AH23" s="141"/>
      <c r="AI23" s="141"/>
      <c r="AJ23" s="141"/>
    </row>
    <row r="24" spans="1:37" s="320" customFormat="1" ht="15.75">
      <c r="A24" s="315" t="s">
        <v>20</v>
      </c>
      <c r="B24" s="315">
        <v>3.5</v>
      </c>
      <c r="C24" s="315">
        <v>95</v>
      </c>
      <c r="D24" s="316" t="s">
        <v>235</v>
      </c>
      <c r="E24" s="316"/>
      <c r="F24" s="317" t="s">
        <v>242</v>
      </c>
      <c r="G24" s="305">
        <v>10000</v>
      </c>
      <c r="H24" s="305">
        <v>1000000</v>
      </c>
      <c r="I24" s="305">
        <v>10000000</v>
      </c>
      <c r="J24" s="305">
        <v>10000000</v>
      </c>
      <c r="K24" s="305">
        <v>10000000</v>
      </c>
      <c r="L24" s="305">
        <f t="shared" si="6"/>
        <v>10000</v>
      </c>
      <c r="M24" s="305">
        <v>1000000</v>
      </c>
      <c r="N24" s="305">
        <v>10000000</v>
      </c>
      <c r="O24" s="305">
        <v>10000000</v>
      </c>
      <c r="P24" s="305">
        <v>10000000</v>
      </c>
      <c r="Q24" s="305">
        <v>10000000</v>
      </c>
      <c r="R24" s="305">
        <v>1000000</v>
      </c>
      <c r="S24" s="305">
        <v>10000000</v>
      </c>
      <c r="T24" s="305">
        <v>10000000</v>
      </c>
      <c r="U24" s="305">
        <v>1000000</v>
      </c>
      <c r="V24" s="305">
        <v>10000000</v>
      </c>
      <c r="W24" s="305">
        <v>100000000</v>
      </c>
      <c r="X24" s="305">
        <v>100000000</v>
      </c>
      <c r="Y24" s="305">
        <v>100000000</v>
      </c>
      <c r="Z24" s="305">
        <v>10000000</v>
      </c>
      <c r="AA24" s="305">
        <f t="shared" si="7"/>
        <v>10000</v>
      </c>
      <c r="AB24" s="305">
        <f>MAX(G24:Z24)</f>
        <v>100000000</v>
      </c>
      <c r="AC24" s="310">
        <f>(AA24-$I$24)/I24</f>
        <v>-0.999</v>
      </c>
      <c r="AD24" s="321">
        <f>(AB24-$I$24)/$I$24</f>
        <v>9</v>
      </c>
      <c r="AE24" s="318"/>
      <c r="AF24" s="319"/>
      <c r="AG24" s="319"/>
      <c r="AH24" s="319"/>
      <c r="AI24" s="319"/>
      <c r="AJ24" s="319"/>
    </row>
    <row r="25" spans="1:37">
      <c r="E25" s="109" t="s">
        <v>264</v>
      </c>
      <c r="F25" s="135" t="s">
        <v>263</v>
      </c>
      <c r="G25" s="305">
        <v>3.5499100140000001E-14</v>
      </c>
      <c r="H25" s="305">
        <v>4.2756333009999998E-16</v>
      </c>
      <c r="I25" s="314">
        <v>7.4843940040000001E-16</v>
      </c>
      <c r="J25" s="306">
        <v>1.4999248239999999E-15</v>
      </c>
      <c r="K25" s="306">
        <v>1.483032294E-14</v>
      </c>
      <c r="L25" s="306">
        <f t="shared" si="6"/>
        <v>3.5499100140000001E-14</v>
      </c>
      <c r="M25" s="306">
        <v>3.2803418760000001E-16</v>
      </c>
      <c r="N25" s="306">
        <v>2.2342132890000001E-17</v>
      </c>
      <c r="O25" s="306">
        <v>1.3535978149999999E-16</v>
      </c>
      <c r="P25" s="306">
        <v>7.4776230850000004E-16</v>
      </c>
      <c r="Q25" s="306">
        <v>1.0119630439999999E-15</v>
      </c>
      <c r="R25" s="306">
        <v>3.716788569E-17</v>
      </c>
      <c r="S25" s="306">
        <v>1.9312871429999999E-16</v>
      </c>
      <c r="T25" s="306">
        <v>1.2531103650000001E-15</v>
      </c>
      <c r="U25" s="306">
        <v>4.7144181870000002E-17</v>
      </c>
      <c r="V25" s="306">
        <v>2.2839110080000001E-16</v>
      </c>
      <c r="W25" s="306">
        <v>4.2920780240000002E-15</v>
      </c>
      <c r="X25" s="306">
        <v>3.9813840200000001E-15</v>
      </c>
      <c r="Y25" s="306">
        <v>3.3363251519999998E-15</v>
      </c>
      <c r="Z25" s="306">
        <v>1.483032294E-14</v>
      </c>
      <c r="AA25" s="306">
        <f t="shared" si="7"/>
        <v>2.2342132890000001E-17</v>
      </c>
      <c r="AB25" s="306">
        <f>MAX(M25:Y25)</f>
        <v>4.2920780240000002E-15</v>
      </c>
      <c r="AC25" s="309">
        <f>(AA25-$I$25)/I25</f>
        <v>-0.97014837423302491</v>
      </c>
      <c r="AD25" s="312">
        <f>(AB25-$I$25)/$I$25</f>
        <v>4.7347034665814212</v>
      </c>
      <c r="AE25" s="148"/>
      <c r="AF25" s="141"/>
      <c r="AG25" s="141"/>
      <c r="AH25" s="141"/>
      <c r="AI25" s="141"/>
      <c r="AJ25" s="141"/>
    </row>
    <row r="26" spans="1:37">
      <c r="E26" s="109" t="s">
        <v>265</v>
      </c>
      <c r="F26" s="135" t="s">
        <v>266</v>
      </c>
      <c r="G26" s="305">
        <v>2.0045235509999999E-5</v>
      </c>
      <c r="H26" s="305">
        <v>1.870040223E-5</v>
      </c>
      <c r="I26" s="314">
        <v>1.1713095980000001E-5</v>
      </c>
      <c r="J26" s="305">
        <v>1.423963863E-5</v>
      </c>
      <c r="K26" s="305">
        <v>1.372821104E-5</v>
      </c>
      <c r="L26" s="305">
        <f t="shared" si="6"/>
        <v>2.0045235509999999E-5</v>
      </c>
      <c r="M26" s="305">
        <v>1.9071899419999999E-5</v>
      </c>
      <c r="N26" s="305">
        <v>1.632321543E-5</v>
      </c>
      <c r="O26" s="305">
        <v>1.8835130689999999E-5</v>
      </c>
      <c r="P26" s="305">
        <v>1.425507866E-5</v>
      </c>
      <c r="Q26" s="305">
        <v>1.5619603890000002E-5</v>
      </c>
      <c r="R26" s="305">
        <v>1.085889421E-5</v>
      </c>
      <c r="S26" s="305">
        <v>1.786813879E-5</v>
      </c>
      <c r="T26" s="305">
        <v>1.231310583E-5</v>
      </c>
      <c r="U26" s="305">
        <v>1.9268158390000001E-5</v>
      </c>
      <c r="V26" s="305">
        <v>1.7931580230000001E-5</v>
      </c>
      <c r="W26" s="305">
        <v>1.4197163190000001E-5</v>
      </c>
      <c r="X26" s="305">
        <v>1.590327458E-5</v>
      </c>
      <c r="Y26" s="305">
        <v>1.4735582659999999E-5</v>
      </c>
      <c r="Z26" s="305">
        <v>1.372821104E-5</v>
      </c>
      <c r="AA26" s="305">
        <f t="shared" si="7"/>
        <v>1.085889421E-5</v>
      </c>
      <c r="AB26" s="305">
        <f t="shared" si="8"/>
        <v>2.0045235509999999E-5</v>
      </c>
      <c r="AC26" s="309">
        <f>(AA26-$I$26)/I26</f>
        <v>-7.2927069961566254E-2</v>
      </c>
      <c r="AD26" s="309">
        <f>(AB26-$I$25)/$I$25</f>
        <v>26782710127.952213</v>
      </c>
      <c r="AE26" s="148"/>
      <c r="AF26" s="141"/>
      <c r="AG26" s="141"/>
      <c r="AH26" s="141"/>
      <c r="AI26" s="141"/>
      <c r="AJ26" s="141"/>
      <c r="AK26" s="102" t="s">
        <v>179</v>
      </c>
    </row>
    <row r="27" spans="1:37">
      <c r="E27" s="109" t="s">
        <v>267</v>
      </c>
      <c r="F27" s="135" t="s">
        <v>268</v>
      </c>
      <c r="G27" s="305">
        <v>564668800</v>
      </c>
      <c r="H27" s="305">
        <v>43737150000</v>
      </c>
      <c r="I27" s="314">
        <f>I26/I25</f>
        <v>15650025872.154766</v>
      </c>
      <c r="J27" s="305">
        <f>J26/J25</f>
        <v>9493568212.3226204</v>
      </c>
      <c r="K27" s="305">
        <f>K26/K25</f>
        <v>925685239.32628536</v>
      </c>
      <c r="L27" s="305">
        <f>L26/L25</f>
        <v>564668834.72951043</v>
      </c>
      <c r="M27" s="305">
        <f t="shared" ref="M27:Z27" si="10">M26/M25</f>
        <v>58139974859.132637</v>
      </c>
      <c r="N27" s="305">
        <f>N26/N25</f>
        <v>730602378491.17896</v>
      </c>
      <c r="O27" s="305">
        <f>O26/O25</f>
        <v>139148648743.94025</v>
      </c>
      <c r="P27" s="305">
        <f>P26/P25</f>
        <v>19063649635.66494</v>
      </c>
      <c r="Q27" s="305">
        <f>Q26/Q25</f>
        <v>15434954846.038828</v>
      </c>
      <c r="R27" s="305">
        <f t="shared" si="10"/>
        <v>292157974778.79083</v>
      </c>
      <c r="S27" s="305">
        <f t="shared" si="10"/>
        <v>92519327614.039841</v>
      </c>
      <c r="T27" s="305">
        <f t="shared" si="10"/>
        <v>9826034620.661684</v>
      </c>
      <c r="U27" s="305">
        <f>U26/U25</f>
        <v>408707026524.11945</v>
      </c>
      <c r="V27" s="305">
        <f>V26/V25</f>
        <v>78512604769.581284</v>
      </c>
      <c r="W27" s="305">
        <f>W26/W25</f>
        <v>3307759810.1930499</v>
      </c>
      <c r="X27" s="305">
        <f t="shared" si="10"/>
        <v>3994408602.6647587</v>
      </c>
      <c r="Y27" s="305">
        <f t="shared" si="10"/>
        <v>4416710598.8355417</v>
      </c>
      <c r="Z27" s="305">
        <f t="shared" si="10"/>
        <v>925685239.32628536</v>
      </c>
      <c r="AA27" s="305">
        <f t="shared" si="7"/>
        <v>564668800</v>
      </c>
      <c r="AB27" s="305">
        <f t="shared" si="8"/>
        <v>730602378491.17896</v>
      </c>
      <c r="AC27" s="309">
        <f>(AA27-$I$18)/I27</f>
        <v>3.608101377885798E-2</v>
      </c>
      <c r="AD27" s="309">
        <f t="shared" si="9"/>
        <v>842387153799.5061</v>
      </c>
      <c r="AE27" s="148"/>
      <c r="AF27" s="141"/>
      <c r="AG27" s="141"/>
      <c r="AH27" s="141"/>
      <c r="AI27" s="141"/>
      <c r="AJ27" s="141"/>
    </row>
    <row r="28" spans="1:37">
      <c r="E28" s="135" t="s">
        <v>340</v>
      </c>
      <c r="F28" s="135" t="s">
        <v>339</v>
      </c>
      <c r="G28" s="305">
        <v>1.0000000000000001E-9</v>
      </c>
      <c r="H28" s="305">
        <v>3.9999999999999998E-11</v>
      </c>
      <c r="I28" s="314">
        <v>7.9999999999999998E-12</v>
      </c>
      <c r="J28" s="305">
        <v>4.9999999999999997E-12</v>
      </c>
      <c r="K28" s="305">
        <v>9E-13</v>
      </c>
      <c r="L28" s="305">
        <v>1.0000000000000001E-9</v>
      </c>
      <c r="M28" s="305">
        <v>5.4000000000000001E-11</v>
      </c>
      <c r="N28" s="305">
        <v>4.9999999999999997E-12</v>
      </c>
      <c r="O28" s="305">
        <v>2.4999999999999998E-12</v>
      </c>
      <c r="P28" s="305">
        <v>9.9999999999999998E-13</v>
      </c>
      <c r="Q28" s="305">
        <v>1.1999999999999999E-12</v>
      </c>
      <c r="R28" s="305">
        <v>1.6999999999999999E-11</v>
      </c>
      <c r="S28" s="305">
        <v>6.0000000000000003E-12</v>
      </c>
      <c r="T28" s="305">
        <v>1.7E-12</v>
      </c>
      <c r="U28" s="305">
        <v>1.6999999999999999E-11</v>
      </c>
      <c r="V28" s="305">
        <v>5.5000000000000004E-12</v>
      </c>
      <c r="W28" s="305">
        <v>9E-13</v>
      </c>
      <c r="X28" s="305">
        <v>4.9999999999999999E-13</v>
      </c>
      <c r="Y28" s="305">
        <v>1.4999999999999999E-13</v>
      </c>
      <c r="Z28" s="305">
        <f>K28</f>
        <v>9E-13</v>
      </c>
      <c r="AA28" s="305"/>
      <c r="AB28" s="305"/>
      <c r="AC28" s="309"/>
      <c r="AD28" s="309"/>
      <c r="AE28" s="148"/>
      <c r="AF28" s="141"/>
      <c r="AG28" s="141"/>
      <c r="AH28" s="141"/>
      <c r="AI28" s="141"/>
      <c r="AJ28" s="141"/>
    </row>
    <row r="29" spans="1:37">
      <c r="F29" s="109" t="s">
        <v>153</v>
      </c>
      <c r="G29" s="123" t="s">
        <v>23</v>
      </c>
      <c r="H29" s="123" t="s">
        <v>195</v>
      </c>
      <c r="I29" s="136" t="s">
        <v>21</v>
      </c>
      <c r="J29" s="136" t="s">
        <v>26</v>
      </c>
      <c r="K29" s="136" t="s">
        <v>20</v>
      </c>
      <c r="L29" s="128"/>
      <c r="M29" s="166" t="s">
        <v>66</v>
      </c>
      <c r="N29" s="166" t="s">
        <v>67</v>
      </c>
      <c r="O29" s="166" t="s">
        <v>68</v>
      </c>
      <c r="P29" s="166" t="s">
        <v>69</v>
      </c>
      <c r="Q29" s="166" t="s">
        <v>70</v>
      </c>
      <c r="R29" s="166" t="s">
        <v>71</v>
      </c>
      <c r="S29" s="166" t="s">
        <v>72</v>
      </c>
      <c r="T29" s="166" t="s">
        <v>154</v>
      </c>
      <c r="U29" s="166" t="s">
        <v>155</v>
      </c>
      <c r="V29" s="166" t="s">
        <v>156</v>
      </c>
      <c r="W29" s="166" t="s">
        <v>192</v>
      </c>
      <c r="X29" s="166" t="s">
        <v>194</v>
      </c>
      <c r="Y29" s="166" t="s">
        <v>240</v>
      </c>
      <c r="Z29" s="129"/>
      <c r="AA29" s="304"/>
      <c r="AB29" s="304">
        <f t="shared" si="8"/>
        <v>0</v>
      </c>
      <c r="AC29" s="158"/>
      <c r="AD29" s="309">
        <f t="shared" si="9"/>
        <v>-1</v>
      </c>
      <c r="AE29" s="149"/>
      <c r="AF29" s="140"/>
      <c r="AG29" s="140"/>
      <c r="AH29" s="140"/>
      <c r="AI29" s="140"/>
      <c r="AJ29" s="140"/>
    </row>
    <row r="30" spans="1:37">
      <c r="D30" s="12"/>
      <c r="M30" s="170"/>
      <c r="N30" s="170"/>
      <c r="O30" s="171"/>
      <c r="P30" s="171"/>
      <c r="Q30" s="171"/>
      <c r="R30" s="171" t="s">
        <v>197</v>
      </c>
      <c r="S30" s="171"/>
      <c r="T30" s="170"/>
      <c r="U30" s="170" t="s">
        <v>197</v>
      </c>
      <c r="V30" s="170" t="s">
        <v>197</v>
      </c>
      <c r="W30" s="170"/>
      <c r="X30" s="170"/>
      <c r="Y30" s="170"/>
      <c r="AA30" s="172"/>
      <c r="AB30" s="172"/>
      <c r="AC30" s="172"/>
      <c r="AD30" s="171"/>
      <c r="AE30" s="173"/>
      <c r="AF30" s="174"/>
      <c r="AG30" s="174"/>
      <c r="AH30" s="174"/>
      <c r="AI30" s="174"/>
      <c r="AJ30" s="174"/>
    </row>
    <row r="31" spans="1:37">
      <c r="D31" s="12">
        <v>0.86729999999999996</v>
      </c>
      <c r="F31" s="185" t="s">
        <v>198</v>
      </c>
      <c r="G31" s="186"/>
      <c r="H31" s="186"/>
      <c r="I31" s="187"/>
      <c r="J31" s="187"/>
      <c r="K31" s="187"/>
      <c r="L31" s="188"/>
      <c r="M31" s="189"/>
      <c r="N31" s="189">
        <f>COUNTIF(N5:N9,"&gt;0")</f>
        <v>3</v>
      </c>
      <c r="O31" s="190">
        <f>COUNTIF(O5:O9,"&gt;0")</f>
        <v>2</v>
      </c>
      <c r="P31" s="190"/>
      <c r="Q31" s="190">
        <f t="shared" ref="Q31:X31" si="11">COUNTIF(Q5:Q9,"&gt;0")</f>
        <v>3</v>
      </c>
      <c r="R31" s="190">
        <f t="shared" si="11"/>
        <v>3</v>
      </c>
      <c r="S31" s="190">
        <f t="shared" si="11"/>
        <v>3</v>
      </c>
      <c r="T31" s="189">
        <f t="shared" si="11"/>
        <v>3</v>
      </c>
      <c r="U31" s="189">
        <f t="shared" si="11"/>
        <v>2</v>
      </c>
      <c r="V31" s="190">
        <f t="shared" si="11"/>
        <v>3</v>
      </c>
      <c r="W31" s="190">
        <f t="shared" si="11"/>
        <v>2</v>
      </c>
      <c r="X31" s="190">
        <f t="shared" si="11"/>
        <v>3</v>
      </c>
      <c r="Y31" s="190"/>
      <c r="AA31" s="172"/>
      <c r="AB31" s="172"/>
      <c r="AC31" s="172"/>
      <c r="AD31" s="171"/>
      <c r="AE31" s="173"/>
      <c r="AF31" s="174"/>
      <c r="AG31" s="174"/>
      <c r="AH31" s="174"/>
      <c r="AI31" s="174"/>
      <c r="AJ31" s="174"/>
    </row>
    <row r="32" spans="1:37">
      <c r="D32" s="12">
        <v>82.5</v>
      </c>
      <c r="F32" s="109" t="s">
        <v>208</v>
      </c>
      <c r="G32" s="123" t="str">
        <f>G29</f>
        <v>SiO2</v>
      </c>
      <c r="H32" s="123" t="str">
        <f>H29</f>
        <v>Al2O3</v>
      </c>
      <c r="I32" s="123" t="str">
        <f>I29</f>
        <v>HfO2</v>
      </c>
      <c r="J32" s="123" t="str">
        <f>J29</f>
        <v>La2O3</v>
      </c>
      <c r="K32" s="123" t="str">
        <f>K29</f>
        <v>TiO2</v>
      </c>
      <c r="L32" s="128" t="str">
        <f>G32</f>
        <v>SiO2</v>
      </c>
      <c r="M32" s="166" t="str">
        <f>M29</f>
        <v>A</v>
      </c>
      <c r="N32" s="166" t="str">
        <f t="shared" ref="N32:Y32" si="12">N29</f>
        <v>B</v>
      </c>
      <c r="O32" s="166" t="str">
        <f t="shared" si="12"/>
        <v>C</v>
      </c>
      <c r="P32" s="166" t="str">
        <f t="shared" si="12"/>
        <v>D</v>
      </c>
      <c r="Q32" s="166" t="str">
        <f t="shared" si="12"/>
        <v>E</v>
      </c>
      <c r="R32" s="166" t="str">
        <f t="shared" si="12"/>
        <v>F</v>
      </c>
      <c r="S32" s="166" t="str">
        <f t="shared" si="12"/>
        <v>G</v>
      </c>
      <c r="T32" s="166" t="str">
        <f t="shared" si="12"/>
        <v>H</v>
      </c>
      <c r="U32" s="166" t="str">
        <f t="shared" si="12"/>
        <v>J</v>
      </c>
      <c r="V32" s="166" t="str">
        <f t="shared" si="12"/>
        <v>K</v>
      </c>
      <c r="W32" s="166" t="str">
        <f t="shared" si="12"/>
        <v>L</v>
      </c>
      <c r="X32" s="166" t="str">
        <f t="shared" si="12"/>
        <v>M</v>
      </c>
      <c r="Y32" s="166" t="str">
        <f t="shared" si="12"/>
        <v>N</v>
      </c>
      <c r="Z32" s="129" t="str">
        <f>K32</f>
        <v>TiO2</v>
      </c>
      <c r="AA32" s="172"/>
      <c r="AB32" s="172"/>
      <c r="AC32" s="172"/>
      <c r="AD32" s="171"/>
      <c r="AE32" s="173"/>
      <c r="AF32" s="174"/>
      <c r="AG32" s="174"/>
      <c r="AH32" s="174"/>
      <c r="AI32" s="174"/>
      <c r="AJ32" s="174"/>
    </row>
    <row r="33" spans="4:59">
      <c r="D33" s="12"/>
      <c r="F33" s="109" t="s">
        <v>207</v>
      </c>
      <c r="G33" s="191">
        <f>1/(G19*G21^2*G18^3)*LOG10(G27)/SQRT(G28)</f>
        <v>55.135262892286015</v>
      </c>
      <c r="H33" s="191">
        <f t="shared" ref="H33:Z33" si="13">1/(H19*H21^2*H18^3)*LOG10(H27)/SQRT(H28)</f>
        <v>261.79543098884392</v>
      </c>
      <c r="I33" s="191">
        <f t="shared" si="13"/>
        <v>851.16224403501599</v>
      </c>
      <c r="J33" s="191">
        <f t="shared" si="13"/>
        <v>1371.8834255375466</v>
      </c>
      <c r="K33" s="191">
        <f t="shared" si="13"/>
        <v>5839.7313287563384</v>
      </c>
      <c r="L33" s="191">
        <f t="shared" si="13"/>
        <v>55.135263060561776</v>
      </c>
      <c r="M33" s="191">
        <f t="shared" si="13"/>
        <v>222.05517181023859</v>
      </c>
      <c r="N33" s="191">
        <f t="shared" si="13"/>
        <v>1583.5339330188704</v>
      </c>
      <c r="O33" s="191">
        <f t="shared" si="13"/>
        <v>2369.9586973071814</v>
      </c>
      <c r="P33" s="191">
        <f t="shared" si="13"/>
        <v>2152.6501253183101</v>
      </c>
      <c r="Q33" s="191">
        <f t="shared" si="13"/>
        <v>2422.7239987727958</v>
      </c>
      <c r="R33" s="191">
        <f t="shared" si="13"/>
        <v>575.14690728694825</v>
      </c>
      <c r="S33" s="191">
        <f t="shared" si="13"/>
        <v>1427.4595292848398</v>
      </c>
      <c r="T33" s="191">
        <f t="shared" si="13"/>
        <v>2009.894310104198</v>
      </c>
      <c r="U33" s="191">
        <f t="shared" si="13"/>
        <v>593.779735730212</v>
      </c>
      <c r="V33" s="191">
        <f t="shared" si="13"/>
        <v>1446.1929093989108</v>
      </c>
      <c r="W33" s="191">
        <f t="shared" si="13"/>
        <v>4490.4605596412421</v>
      </c>
      <c r="X33" s="191">
        <f t="shared" si="13"/>
        <v>5846.6622544538914</v>
      </c>
      <c r="Y33" s="191">
        <f t="shared" si="13"/>
        <v>13480.490395962423</v>
      </c>
      <c r="Z33" s="191">
        <f t="shared" si="13"/>
        <v>5839.7313287563384</v>
      </c>
      <c r="AA33" s="172"/>
      <c r="AB33" s="172"/>
      <c r="AC33" s="172"/>
      <c r="AD33" s="171"/>
      <c r="AE33" s="173"/>
      <c r="AF33" s="174"/>
      <c r="AG33" s="174"/>
      <c r="AH33" s="174"/>
      <c r="AI33" s="174"/>
      <c r="AJ33" s="174"/>
    </row>
    <row r="34" spans="4:59">
      <c r="D34" s="12">
        <v>8.8699999999999992</v>
      </c>
    </row>
    <row r="35" spans="4:59">
      <c r="D35" s="296">
        <v>9.9999999999999998E-17</v>
      </c>
    </row>
    <row r="36" spans="4:59" ht="15">
      <c r="D36" s="296">
        <v>9.9999999999999995E-8</v>
      </c>
      <c r="F36" s="193" t="s">
        <v>208</v>
      </c>
      <c r="G36" s="194" t="str">
        <f t="shared" ref="G36:K37" si="14">G32</f>
        <v>SiO2</v>
      </c>
      <c r="H36" s="194" t="str">
        <f t="shared" si="14"/>
        <v>Al2O3</v>
      </c>
      <c r="I36" s="194" t="str">
        <f t="shared" si="14"/>
        <v>HfO2</v>
      </c>
      <c r="J36" s="194" t="str">
        <f t="shared" si="14"/>
        <v>La2O3</v>
      </c>
      <c r="K36" s="194" t="str">
        <f t="shared" si="14"/>
        <v>TiO2</v>
      </c>
      <c r="L36" s="194" t="s">
        <v>66</v>
      </c>
      <c r="M36" s="194" t="s">
        <v>67</v>
      </c>
      <c r="N36" s="194" t="s">
        <v>68</v>
      </c>
      <c r="O36" s="194" t="s">
        <v>69</v>
      </c>
      <c r="P36" s="194"/>
      <c r="Q36" s="194" t="str">
        <f t="shared" ref="Q36:W37" si="15">R32</f>
        <v>F</v>
      </c>
      <c r="R36" s="194" t="str">
        <f t="shared" si="15"/>
        <v>G</v>
      </c>
      <c r="S36" s="194" t="str">
        <f t="shared" si="15"/>
        <v>H</v>
      </c>
      <c r="T36" s="194" t="str">
        <f t="shared" si="15"/>
        <v>J</v>
      </c>
      <c r="U36" s="194" t="str">
        <f t="shared" si="15"/>
        <v>K</v>
      </c>
      <c r="V36" s="194" t="str">
        <f t="shared" si="15"/>
        <v>L</v>
      </c>
      <c r="W36" s="194" t="str">
        <f t="shared" si="15"/>
        <v>M</v>
      </c>
      <c r="X36" s="194" t="e">
        <f>#REF!</f>
        <v>#REF!</v>
      </c>
      <c r="Y36" s="194"/>
    </row>
    <row r="37" spans="4:59" ht="15">
      <c r="D37" s="296">
        <v>1000000000</v>
      </c>
      <c r="F37" s="193" t="s">
        <v>207</v>
      </c>
      <c r="G37" s="195">
        <f>G33</f>
        <v>55.135262892286015</v>
      </c>
      <c r="H37" s="195">
        <f t="shared" si="14"/>
        <v>261.79543098884392</v>
      </c>
      <c r="I37" s="195">
        <f t="shared" si="14"/>
        <v>851.16224403501599</v>
      </c>
      <c r="J37" s="195">
        <f t="shared" si="14"/>
        <v>1371.8834255375466</v>
      </c>
      <c r="K37" s="195">
        <f t="shared" si="14"/>
        <v>5839.7313287563384</v>
      </c>
      <c r="L37" s="195">
        <f>M33</f>
        <v>222.05517181023859</v>
      </c>
      <c r="M37" s="195">
        <f>N33</f>
        <v>1583.5339330188704</v>
      </c>
      <c r="N37" s="195">
        <f>O33</f>
        <v>2369.9586973071814</v>
      </c>
      <c r="O37" s="195">
        <f>Q33</f>
        <v>2422.7239987727958</v>
      </c>
      <c r="P37" s="195"/>
      <c r="Q37" s="195">
        <f t="shared" si="15"/>
        <v>575.14690728694825</v>
      </c>
      <c r="R37" s="195">
        <f t="shared" si="15"/>
        <v>1427.4595292848398</v>
      </c>
      <c r="S37" s="195">
        <f t="shared" si="15"/>
        <v>2009.894310104198</v>
      </c>
      <c r="T37" s="195">
        <f t="shared" si="15"/>
        <v>593.779735730212</v>
      </c>
      <c r="U37" s="195">
        <f t="shared" si="15"/>
        <v>1446.1929093989108</v>
      </c>
      <c r="V37" s="195">
        <f t="shared" si="15"/>
        <v>4490.4605596412421</v>
      </c>
      <c r="W37" s="195">
        <f t="shared" si="15"/>
        <v>5846.6622544538914</v>
      </c>
      <c r="X37" s="195" t="e">
        <f>#REF!</f>
        <v>#REF!</v>
      </c>
      <c r="Y37" s="195"/>
    </row>
    <row r="38" spans="4:59">
      <c r="D38" s="296">
        <v>-7.4843940040000001E-16</v>
      </c>
    </row>
    <row r="39" spans="4:59">
      <c r="D39" s="296">
        <v>1.1713095980000001E-5</v>
      </c>
    </row>
    <row r="40" spans="4:59" ht="15">
      <c r="D40" s="296">
        <v>-15650030000</v>
      </c>
      <c r="F40" s="193" t="s">
        <v>208</v>
      </c>
      <c r="G40" s="194" t="s">
        <v>23</v>
      </c>
      <c r="H40" s="194" t="s">
        <v>195</v>
      </c>
      <c r="I40" s="194" t="s">
        <v>21</v>
      </c>
      <c r="J40" s="194" t="s">
        <v>26</v>
      </c>
      <c r="K40" s="194" t="s">
        <v>20</v>
      </c>
      <c r="L40" s="194" t="s">
        <v>66</v>
      </c>
      <c r="M40" s="194" t="s">
        <v>67</v>
      </c>
      <c r="N40" s="194" t="s">
        <v>68</v>
      </c>
      <c r="O40" s="194" t="s">
        <v>69</v>
      </c>
      <c r="P40" s="194"/>
      <c r="Q40" s="194" t="s">
        <v>70</v>
      </c>
      <c r="R40" s="194" t="s">
        <v>71</v>
      </c>
      <c r="S40" s="194" t="s">
        <v>72</v>
      </c>
      <c r="T40" s="194" t="s">
        <v>154</v>
      </c>
      <c r="U40" s="194" t="s">
        <v>155</v>
      </c>
      <c r="V40" s="194" t="s">
        <v>156</v>
      </c>
      <c r="W40" s="194" t="s">
        <v>192</v>
      </c>
      <c r="X40" s="194" t="s">
        <v>194</v>
      </c>
      <c r="Y40" s="194"/>
    </row>
    <row r="41" spans="4:59" ht="15">
      <c r="F41" s="193" t="s">
        <v>207</v>
      </c>
      <c r="G41" s="195">
        <v>1.3650788947414774</v>
      </c>
      <c r="H41" s="195">
        <v>1.9682949061120321</v>
      </c>
      <c r="I41" s="195">
        <v>8.3065190909133904</v>
      </c>
      <c r="J41" s="195">
        <v>2.2124356973465851</v>
      </c>
      <c r="K41" s="195">
        <v>8.5556164471982648</v>
      </c>
      <c r="L41" s="195">
        <v>2.9989968049116347</v>
      </c>
      <c r="M41" s="195">
        <v>2.2549814000038353</v>
      </c>
      <c r="N41" s="195">
        <v>7.9244487946162971</v>
      </c>
      <c r="O41" s="195">
        <v>10.56541107189117</v>
      </c>
      <c r="P41" s="195"/>
      <c r="Q41" s="195">
        <v>-9.1640610512162643E-2</v>
      </c>
      <c r="R41" s="195">
        <v>4.9149936396199063</v>
      </c>
      <c r="S41" s="195">
        <v>11.592210143766989</v>
      </c>
      <c r="T41" s="195">
        <v>3.0914347745448993</v>
      </c>
      <c r="U41" s="195">
        <v>-0.33306489462359323</v>
      </c>
      <c r="V41" s="195">
        <v>5.3029694271291214</v>
      </c>
      <c r="W41" s="195">
        <v>5.3312225661302799</v>
      </c>
      <c r="X41" s="195">
        <v>8.7999018229524211</v>
      </c>
      <c r="Y41" s="195"/>
    </row>
    <row r="44" spans="4:59" ht="15">
      <c r="F44" s="194" t="s">
        <v>169</v>
      </c>
      <c r="G44" s="194" t="s">
        <v>341</v>
      </c>
    </row>
    <row r="45" spans="4:59" ht="15">
      <c r="F45" s="194" t="s">
        <v>23</v>
      </c>
      <c r="G45" s="322">
        <f>G33</f>
        <v>55.135262892286015</v>
      </c>
      <c r="AN45" s="103" t="s">
        <v>153</v>
      </c>
      <c r="AO45" s="103" t="s">
        <v>23</v>
      </c>
      <c r="AP45" s="103" t="s">
        <v>195</v>
      </c>
      <c r="AQ45" s="103" t="s">
        <v>21</v>
      </c>
      <c r="AR45" s="103" t="s">
        <v>26</v>
      </c>
      <c r="AS45" s="103" t="s">
        <v>20</v>
      </c>
      <c r="AT45" s="103" t="s">
        <v>204</v>
      </c>
      <c r="AU45" s="103" t="s">
        <v>66</v>
      </c>
      <c r="AV45" s="103" t="s">
        <v>67</v>
      </c>
      <c r="AW45" s="103" t="s">
        <v>68</v>
      </c>
      <c r="AX45" s="103" t="s">
        <v>69</v>
      </c>
      <c r="AY45" s="103" t="s">
        <v>70</v>
      </c>
      <c r="AZ45" s="103" t="s">
        <v>71</v>
      </c>
      <c r="BA45" s="103" t="s">
        <v>72</v>
      </c>
      <c r="BB45" s="103" t="s">
        <v>154</v>
      </c>
      <c r="BC45" s="103" t="s">
        <v>155</v>
      </c>
      <c r="BD45" s="103" t="s">
        <v>156</v>
      </c>
      <c r="BE45" s="103" t="s">
        <v>192</v>
      </c>
      <c r="BF45" s="103" t="s">
        <v>194</v>
      </c>
      <c r="BG45" s="103" t="s">
        <v>205</v>
      </c>
    </row>
    <row r="46" spans="4:59" ht="15">
      <c r="F46" s="194" t="s">
        <v>195</v>
      </c>
      <c r="G46" s="322">
        <f>H33</f>
        <v>261.79543098884392</v>
      </c>
      <c r="AN46" s="103" t="s">
        <v>150</v>
      </c>
      <c r="AO46" s="184">
        <v>3.9</v>
      </c>
      <c r="AP46" s="184">
        <v>12</v>
      </c>
      <c r="AQ46" s="184">
        <v>22</v>
      </c>
      <c r="AR46" s="184">
        <v>27</v>
      </c>
      <c r="AS46" s="184">
        <v>80</v>
      </c>
      <c r="AT46" s="184">
        <v>3.9</v>
      </c>
      <c r="AU46" s="184">
        <v>12.633333333333333</v>
      </c>
      <c r="AV46" s="184">
        <v>17.316666666666666</v>
      </c>
      <c r="AW46" s="184">
        <v>20.333333333333332</v>
      </c>
      <c r="AX46" s="184">
        <v>30</v>
      </c>
      <c r="AY46" s="184">
        <v>31.966666666666669</v>
      </c>
      <c r="AZ46" s="184">
        <v>35.300000000000004</v>
      </c>
      <c r="BA46" s="184">
        <v>38</v>
      </c>
      <c r="BB46" s="184">
        <v>41.949999999999996</v>
      </c>
      <c r="BC46" s="184">
        <v>43.300000000000004</v>
      </c>
      <c r="BD46" s="184">
        <v>51</v>
      </c>
      <c r="BE46" s="184">
        <v>59</v>
      </c>
      <c r="BF46" s="184">
        <v>70.333333333333329</v>
      </c>
      <c r="BG46" s="184">
        <v>80</v>
      </c>
    </row>
    <row r="47" spans="4:59" ht="15">
      <c r="F47" s="194" t="s">
        <v>21</v>
      </c>
      <c r="G47" s="322">
        <f>I33</f>
        <v>851.16224403501599</v>
      </c>
      <c r="AN47" s="103" t="s">
        <v>13</v>
      </c>
      <c r="AO47" s="103">
        <v>3</v>
      </c>
      <c r="AP47" s="103">
        <v>0</v>
      </c>
      <c r="AQ47" s="103">
        <v>0</v>
      </c>
      <c r="AR47" s="103">
        <v>0</v>
      </c>
      <c r="AS47" s="103">
        <v>0</v>
      </c>
      <c r="AT47" s="103">
        <v>3</v>
      </c>
      <c r="AU47" s="103">
        <v>1</v>
      </c>
      <c r="AV47" s="103">
        <v>0.5</v>
      </c>
      <c r="AW47" s="103">
        <v>0</v>
      </c>
      <c r="AX47" s="103">
        <v>0</v>
      </c>
      <c r="AY47" s="103">
        <v>1</v>
      </c>
      <c r="AZ47" s="103">
        <v>1</v>
      </c>
      <c r="BA47" s="103">
        <v>0</v>
      </c>
      <c r="BB47" s="103">
        <v>1.5</v>
      </c>
      <c r="BC47" s="103">
        <v>1</v>
      </c>
      <c r="BD47" s="103">
        <v>0</v>
      </c>
      <c r="BE47" s="103">
        <v>0</v>
      </c>
      <c r="BF47" s="103">
        <v>0</v>
      </c>
      <c r="BG47" s="103">
        <v>0</v>
      </c>
    </row>
    <row r="48" spans="4:59" ht="15">
      <c r="F48" s="194" t="s">
        <v>26</v>
      </c>
      <c r="G48" s="322">
        <f>J33</f>
        <v>1371.8834255375466</v>
      </c>
      <c r="AN48" s="103" t="s">
        <v>33</v>
      </c>
      <c r="AO48" s="103">
        <v>0</v>
      </c>
      <c r="AP48" s="103">
        <v>3</v>
      </c>
      <c r="AQ48" s="103">
        <v>0</v>
      </c>
      <c r="AR48" s="103">
        <v>0</v>
      </c>
      <c r="AS48" s="103">
        <v>0</v>
      </c>
      <c r="AT48" s="103">
        <v>0</v>
      </c>
      <c r="AU48" s="103">
        <v>1</v>
      </c>
      <c r="AV48" s="103">
        <v>0.5</v>
      </c>
      <c r="AW48" s="103">
        <v>0.5</v>
      </c>
      <c r="AX48" s="103">
        <v>0.5</v>
      </c>
      <c r="AY48" s="103">
        <v>1</v>
      </c>
      <c r="AZ48" s="103">
        <v>0</v>
      </c>
      <c r="BA48" s="103">
        <v>1</v>
      </c>
      <c r="BB48" s="103">
        <v>0</v>
      </c>
      <c r="BC48" s="103">
        <v>0.5</v>
      </c>
      <c r="BD48" s="103">
        <v>0</v>
      </c>
      <c r="BE48" s="103">
        <v>0.5</v>
      </c>
      <c r="BF48" s="103">
        <v>0</v>
      </c>
      <c r="BG48" s="103">
        <v>0</v>
      </c>
    </row>
    <row r="49" spans="6:59" ht="15">
      <c r="F49" s="194" t="s">
        <v>20</v>
      </c>
      <c r="G49" s="322">
        <f>K33</f>
        <v>5839.7313287563384</v>
      </c>
      <c r="AN49" s="103" t="s">
        <v>14</v>
      </c>
      <c r="AO49" s="103">
        <v>0</v>
      </c>
      <c r="AP49" s="103">
        <v>0</v>
      </c>
      <c r="AQ49" s="103">
        <v>3</v>
      </c>
      <c r="AR49" s="103">
        <v>0</v>
      </c>
      <c r="AS49" s="103">
        <v>0</v>
      </c>
      <c r="AT49" s="103">
        <v>0</v>
      </c>
      <c r="AU49" s="103">
        <v>1</v>
      </c>
      <c r="AV49" s="103">
        <v>2</v>
      </c>
      <c r="AW49" s="103">
        <v>2.5</v>
      </c>
      <c r="AX49" s="103">
        <v>2</v>
      </c>
      <c r="AY49" s="103">
        <v>0</v>
      </c>
      <c r="AZ49" s="103">
        <v>1</v>
      </c>
      <c r="BA49" s="103">
        <v>1</v>
      </c>
      <c r="BB49" s="103">
        <v>0</v>
      </c>
      <c r="BC49" s="103">
        <v>0</v>
      </c>
      <c r="BD49" s="103">
        <v>1.5</v>
      </c>
      <c r="BE49" s="103">
        <v>0.5</v>
      </c>
      <c r="BF49" s="103">
        <v>0.5</v>
      </c>
      <c r="BG49" s="103">
        <v>0</v>
      </c>
    </row>
    <row r="50" spans="6:59" ht="15">
      <c r="F50" s="194" t="s">
        <v>293</v>
      </c>
      <c r="G50" s="322">
        <f>M33</f>
        <v>222.05517181023859</v>
      </c>
      <c r="AN50" s="103" t="s">
        <v>196</v>
      </c>
      <c r="AO50" s="103">
        <v>0</v>
      </c>
      <c r="AP50" s="103">
        <v>0</v>
      </c>
      <c r="AQ50" s="103">
        <v>0</v>
      </c>
      <c r="AR50" s="103">
        <v>3</v>
      </c>
      <c r="AS50" s="103">
        <v>0</v>
      </c>
      <c r="AT50" s="103">
        <v>0</v>
      </c>
      <c r="AU50" s="103">
        <v>0</v>
      </c>
      <c r="AV50" s="103">
        <v>0</v>
      </c>
      <c r="AW50" s="103">
        <v>0</v>
      </c>
      <c r="AX50" s="103">
        <v>0</v>
      </c>
      <c r="AY50" s="103">
        <v>0</v>
      </c>
      <c r="AZ50" s="103">
        <v>0</v>
      </c>
      <c r="BA50" s="103">
        <v>0</v>
      </c>
      <c r="BB50" s="103">
        <v>0</v>
      </c>
      <c r="BC50" s="103">
        <v>0</v>
      </c>
      <c r="BD50" s="103">
        <v>0</v>
      </c>
      <c r="BE50" s="103">
        <v>0</v>
      </c>
      <c r="BF50" s="103">
        <v>0</v>
      </c>
      <c r="BG50" s="103">
        <v>0</v>
      </c>
    </row>
    <row r="51" spans="6:59" ht="15">
      <c r="F51" s="194" t="s">
        <v>324</v>
      </c>
      <c r="G51" s="322">
        <f>N33</f>
        <v>1583.5339330188704</v>
      </c>
      <c r="AN51" s="103" t="s">
        <v>34</v>
      </c>
      <c r="AO51" s="103">
        <v>0</v>
      </c>
      <c r="AP51" s="103">
        <v>0</v>
      </c>
      <c r="AQ51" s="103">
        <v>0</v>
      </c>
      <c r="AR51" s="103">
        <v>0</v>
      </c>
      <c r="AS51" s="103">
        <v>3</v>
      </c>
      <c r="AT51" s="103">
        <v>0</v>
      </c>
      <c r="AU51" s="103">
        <v>0</v>
      </c>
      <c r="AV51" s="103">
        <v>0</v>
      </c>
      <c r="AW51" s="103">
        <v>0</v>
      </c>
      <c r="AX51" s="103">
        <v>0.5</v>
      </c>
      <c r="AY51" s="103">
        <v>1</v>
      </c>
      <c r="AZ51" s="103">
        <v>1</v>
      </c>
      <c r="BA51" s="103">
        <v>1</v>
      </c>
      <c r="BB51" s="103">
        <v>1.5</v>
      </c>
      <c r="BC51" s="103">
        <v>1.5</v>
      </c>
      <c r="BD51" s="103">
        <v>1.5</v>
      </c>
      <c r="BE51" s="103">
        <v>2</v>
      </c>
      <c r="BF51" s="103">
        <v>2.5</v>
      </c>
      <c r="BG51" s="103">
        <v>3</v>
      </c>
    </row>
    <row r="52" spans="6:59" ht="15">
      <c r="F52" s="194" t="s">
        <v>325</v>
      </c>
      <c r="G52" s="322">
        <f>O33</f>
        <v>2369.9586973071814</v>
      </c>
      <c r="AN52" s="103" t="s">
        <v>206</v>
      </c>
      <c r="AO52" s="103">
        <v>3</v>
      </c>
      <c r="AP52" s="103">
        <v>3</v>
      </c>
      <c r="AQ52" s="103">
        <v>3</v>
      </c>
      <c r="AR52" s="103">
        <v>3</v>
      </c>
      <c r="AS52" s="103">
        <v>3</v>
      </c>
      <c r="AT52" s="103">
        <v>3</v>
      </c>
      <c r="AU52" s="103">
        <v>3</v>
      </c>
      <c r="AV52" s="103">
        <v>3</v>
      </c>
      <c r="AW52" s="103">
        <v>3</v>
      </c>
      <c r="AX52" s="103">
        <v>3</v>
      </c>
      <c r="AY52" s="103">
        <v>3</v>
      </c>
      <c r="AZ52" s="103">
        <v>3</v>
      </c>
      <c r="BA52" s="103">
        <v>3</v>
      </c>
      <c r="BB52" s="103">
        <v>3</v>
      </c>
      <c r="BC52" s="103">
        <v>3</v>
      </c>
      <c r="BD52" s="103">
        <v>3</v>
      </c>
      <c r="BE52" s="103">
        <v>3</v>
      </c>
      <c r="BF52" s="103">
        <v>3</v>
      </c>
      <c r="BG52" s="103">
        <v>3</v>
      </c>
    </row>
    <row r="53" spans="6:59" ht="15">
      <c r="F53" s="194" t="s">
        <v>326</v>
      </c>
      <c r="G53" s="322">
        <f>P33</f>
        <v>2152.6501253183101</v>
      </c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</row>
    <row r="54" spans="6:59" ht="15">
      <c r="F54" s="194" t="s">
        <v>327</v>
      </c>
      <c r="G54" s="322">
        <f>Q33</f>
        <v>2422.7239987727958</v>
      </c>
    </row>
    <row r="55" spans="6:59" ht="15">
      <c r="F55" s="194" t="s">
        <v>328</v>
      </c>
      <c r="G55" s="322">
        <f>R33</f>
        <v>575.14690728694825</v>
      </c>
      <c r="BA55" s="102">
        <v>0.84970000000000001</v>
      </c>
    </row>
    <row r="56" spans="6:59" ht="15">
      <c r="F56" s="194" t="s">
        <v>329</v>
      </c>
      <c r="G56" s="322">
        <f>S33</f>
        <v>1427.4595292848398</v>
      </c>
      <c r="BA56" s="102">
        <v>79</v>
      </c>
    </row>
    <row r="57" spans="6:59" ht="15">
      <c r="F57" s="194" t="s">
        <v>129</v>
      </c>
      <c r="G57" s="322">
        <f>T33</f>
        <v>2009.894310104198</v>
      </c>
      <c r="BA57" s="102">
        <v>79.3</v>
      </c>
    </row>
    <row r="58" spans="6:59" ht="15">
      <c r="F58" s="194" t="s">
        <v>131</v>
      </c>
      <c r="G58" s="322">
        <f>U33</f>
        <v>593.779735730212</v>
      </c>
      <c r="BA58" s="102">
        <v>8.8699999999999992</v>
      </c>
    </row>
    <row r="59" spans="6:59" ht="15">
      <c r="F59" s="194" t="s">
        <v>132</v>
      </c>
      <c r="G59" s="322">
        <f>V33</f>
        <v>1446.1929093989108</v>
      </c>
      <c r="BA59" s="196">
        <v>9.9999999999999998E-17</v>
      </c>
    </row>
    <row r="60" spans="6:59" ht="15">
      <c r="F60" s="194" t="s">
        <v>133</v>
      </c>
      <c r="G60" s="322">
        <f>W33</f>
        <v>4490.4605596412421</v>
      </c>
      <c r="BA60" s="196">
        <v>9.9999999999999995E-8</v>
      </c>
    </row>
    <row r="61" spans="6:59" ht="15">
      <c r="F61" s="194" t="s">
        <v>330</v>
      </c>
      <c r="G61" s="322">
        <f>X33</f>
        <v>5846.6622544538914</v>
      </c>
      <c r="BA61" s="196">
        <v>1000000000</v>
      </c>
    </row>
    <row r="62" spans="6:59" ht="15">
      <c r="F62" s="194" t="s">
        <v>331</v>
      </c>
      <c r="G62" s="322">
        <f>Y33</f>
        <v>13480.490395962423</v>
      </c>
      <c r="BA62" s="196">
        <v>6.4800000000000002E-18</v>
      </c>
    </row>
    <row r="63" spans="6:59">
      <c r="BA63" s="196">
        <v>1.2300000000000001E-5</v>
      </c>
    </row>
    <row r="64" spans="6:59">
      <c r="BA64" s="196">
        <v>1890000000000</v>
      </c>
    </row>
    <row r="66" spans="6:8" ht="12.75" thickBot="1"/>
    <row r="67" spans="6:8" ht="86.25" thickBot="1">
      <c r="F67" s="323" t="s">
        <v>169</v>
      </c>
      <c r="G67" s="323" t="s">
        <v>342</v>
      </c>
      <c r="H67" s="324" t="s">
        <v>343</v>
      </c>
    </row>
    <row r="68" spans="6:8" ht="29.25" thickBot="1">
      <c r="F68" s="325" t="s">
        <v>23</v>
      </c>
      <c r="G68" s="326">
        <v>3.9</v>
      </c>
      <c r="H68" s="327" t="s">
        <v>344</v>
      </c>
    </row>
    <row r="69" spans="6:8" ht="86.25" thickBot="1">
      <c r="F69" s="325" t="s">
        <v>20</v>
      </c>
      <c r="G69" s="325" t="s">
        <v>345</v>
      </c>
      <c r="H69" s="327" t="s">
        <v>346</v>
      </c>
    </row>
    <row r="70" spans="6:8" ht="43.5" thickBot="1">
      <c r="F70" s="325" t="s">
        <v>26</v>
      </c>
      <c r="G70" s="325" t="s">
        <v>347</v>
      </c>
      <c r="H70" s="327" t="s">
        <v>348</v>
      </c>
    </row>
    <row r="71" spans="6:8" ht="29.25" thickBot="1">
      <c r="F71" s="325" t="s">
        <v>195</v>
      </c>
      <c r="G71" s="325" t="s">
        <v>349</v>
      </c>
      <c r="H71" s="327" t="s">
        <v>350</v>
      </c>
    </row>
    <row r="72" spans="6:8" ht="15" thickBot="1">
      <c r="F72" s="325" t="s">
        <v>21</v>
      </c>
      <c r="G72" s="325" t="s">
        <v>351</v>
      </c>
      <c r="H72" s="327" t="s">
        <v>352</v>
      </c>
    </row>
    <row r="108" spans="1:59" s="169" customFormat="1" ht="21">
      <c r="A108" s="102"/>
      <c r="B108" s="102"/>
      <c r="C108" s="102"/>
      <c r="D108" s="216" t="s">
        <v>199</v>
      </c>
      <c r="E108" s="216"/>
      <c r="F108" s="181"/>
      <c r="G108" s="231"/>
      <c r="H108" s="231"/>
      <c r="I108" s="234"/>
      <c r="J108" s="234"/>
      <c r="K108" s="234"/>
      <c r="L108" s="231"/>
      <c r="O108" s="108"/>
      <c r="P108" s="108"/>
      <c r="Q108" s="108"/>
      <c r="R108" s="108"/>
      <c r="S108" s="108"/>
      <c r="V108" s="108"/>
      <c r="W108" s="108"/>
      <c r="X108" s="108"/>
      <c r="Y108" s="108"/>
      <c r="Z108" s="229"/>
      <c r="AA108" s="160"/>
      <c r="AB108" s="160"/>
      <c r="AC108" s="160"/>
      <c r="AD108" s="108"/>
      <c r="AE108" s="151"/>
      <c r="AF108" s="143"/>
      <c r="AG108" s="143"/>
      <c r="AH108" s="143"/>
      <c r="AI108" s="143"/>
      <c r="AJ108" s="143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</row>
    <row r="109" spans="1:59" s="169" customFormat="1" ht="21">
      <c r="A109" s="102"/>
      <c r="B109" s="102"/>
      <c r="C109" s="102"/>
      <c r="D109" s="216" t="s">
        <v>202</v>
      </c>
      <c r="E109" s="216"/>
      <c r="F109" s="181"/>
      <c r="G109" s="231"/>
      <c r="H109" s="231"/>
      <c r="I109" s="234"/>
      <c r="J109" s="234"/>
      <c r="K109" s="234"/>
      <c r="L109" s="231"/>
      <c r="O109" s="108"/>
      <c r="P109" s="108"/>
      <c r="Q109" s="108"/>
      <c r="R109" s="108"/>
      <c r="S109" s="108"/>
      <c r="V109" s="108"/>
      <c r="W109" s="108"/>
      <c r="X109" s="108"/>
      <c r="Y109" s="108"/>
      <c r="Z109" s="229"/>
      <c r="AA109" s="160"/>
      <c r="AB109" s="160"/>
      <c r="AC109" s="160"/>
      <c r="AD109" s="108"/>
      <c r="AE109" s="151"/>
      <c r="AF109" s="143"/>
      <c r="AG109" s="143"/>
      <c r="AH109" s="143"/>
      <c r="AI109" s="143"/>
      <c r="AJ109" s="143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</row>
    <row r="110" spans="1:59" s="169" customFormat="1" ht="21">
      <c r="A110" s="102"/>
      <c r="B110" s="102"/>
      <c r="C110" s="102"/>
      <c r="D110" s="216" t="s">
        <v>200</v>
      </c>
      <c r="E110" s="216"/>
      <c r="F110" s="181"/>
      <c r="G110" s="231"/>
      <c r="H110" s="231"/>
      <c r="I110" s="234"/>
      <c r="J110" s="234"/>
      <c r="K110" s="234"/>
      <c r="L110" s="231"/>
      <c r="O110" s="108"/>
      <c r="P110" s="108"/>
      <c r="Q110" s="108"/>
      <c r="R110" s="108"/>
      <c r="S110" s="108"/>
      <c r="V110" s="108"/>
      <c r="W110" s="108"/>
      <c r="X110" s="108"/>
      <c r="Y110" s="108"/>
      <c r="Z110" s="229"/>
      <c r="AA110" s="160"/>
      <c r="AB110" s="160"/>
      <c r="AC110" s="160"/>
      <c r="AD110" s="108"/>
      <c r="AE110" s="151"/>
      <c r="AF110" s="143"/>
      <c r="AG110" s="143"/>
      <c r="AH110" s="143"/>
      <c r="AI110" s="143"/>
      <c r="AJ110" s="143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</row>
    <row r="111" spans="1:59" s="169" customFormat="1" ht="21">
      <c r="A111" s="102"/>
      <c r="B111" s="102"/>
      <c r="C111" s="102"/>
      <c r="D111" s="216" t="s">
        <v>201</v>
      </c>
      <c r="E111" s="216"/>
      <c r="F111" s="181"/>
      <c r="G111" s="231"/>
      <c r="H111" s="231"/>
      <c r="I111" s="234"/>
      <c r="J111" s="234"/>
      <c r="K111" s="234"/>
      <c r="L111" s="231"/>
      <c r="O111" s="108"/>
      <c r="P111" s="108"/>
      <c r="Q111" s="108"/>
      <c r="R111" s="108"/>
      <c r="S111" s="108"/>
      <c r="V111" s="108"/>
      <c r="W111" s="108"/>
      <c r="X111" s="108"/>
      <c r="Y111" s="108"/>
      <c r="Z111" s="229"/>
      <c r="AA111" s="160"/>
      <c r="AB111" s="160"/>
      <c r="AC111" s="160"/>
      <c r="AD111" s="108"/>
      <c r="AE111" s="151"/>
      <c r="AF111" s="143"/>
      <c r="AG111" s="143"/>
      <c r="AH111" s="143"/>
      <c r="AI111" s="143"/>
      <c r="AJ111" s="143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</row>
    <row r="112" spans="1:59" s="169" customFormat="1" ht="21">
      <c r="A112" s="102"/>
      <c r="B112" s="102"/>
      <c r="C112" s="102"/>
      <c r="D112" s="216" t="s">
        <v>203</v>
      </c>
      <c r="E112" s="216"/>
      <c r="F112" s="181"/>
      <c r="G112" s="231"/>
      <c r="H112" s="231"/>
      <c r="I112" s="234"/>
      <c r="J112" s="234"/>
      <c r="K112" s="234"/>
      <c r="L112" s="231"/>
      <c r="O112" s="108"/>
      <c r="P112" s="108"/>
      <c r="Q112" s="108"/>
      <c r="R112" s="108"/>
      <c r="S112" s="108"/>
      <c r="V112" s="108"/>
      <c r="W112" s="108"/>
      <c r="X112" s="108"/>
      <c r="Y112" s="108"/>
      <c r="Z112" s="229"/>
      <c r="AA112" s="160"/>
      <c r="AB112" s="160"/>
      <c r="AC112" s="160"/>
      <c r="AD112" s="108"/>
      <c r="AE112" s="151"/>
      <c r="AF112" s="143"/>
      <c r="AG112" s="143"/>
      <c r="AH112" s="143"/>
      <c r="AI112" s="143"/>
      <c r="AJ112" s="143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</row>
    <row r="113" spans="1:59" s="169" customFormat="1" ht="21">
      <c r="A113" s="102"/>
      <c r="B113" s="102"/>
      <c r="C113" s="102"/>
      <c r="D113" s="217"/>
      <c r="E113" s="217"/>
      <c r="F113" s="102"/>
      <c r="G113" s="232"/>
      <c r="H113" s="232"/>
      <c r="I113" s="233"/>
      <c r="J113" s="233"/>
      <c r="K113" s="233"/>
      <c r="L113" s="228"/>
      <c r="O113" s="108"/>
      <c r="P113" s="108"/>
      <c r="Q113" s="108"/>
      <c r="R113" s="108"/>
      <c r="S113" s="108"/>
      <c r="V113" s="108"/>
      <c r="W113" s="108"/>
      <c r="X113" s="108"/>
      <c r="Y113" s="108"/>
      <c r="Z113" s="229"/>
      <c r="AA113" s="160"/>
      <c r="AB113" s="160"/>
      <c r="AC113" s="160"/>
      <c r="AD113" s="108"/>
      <c r="AE113" s="151"/>
      <c r="AF113" s="143"/>
      <c r="AG113" s="143"/>
      <c r="AH113" s="143"/>
      <c r="AI113" s="143"/>
      <c r="AJ113" s="143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</row>
    <row r="114" spans="1:59" s="169" customFormat="1" ht="21">
      <c r="A114" s="102"/>
      <c r="B114" s="102"/>
      <c r="C114" s="102"/>
      <c r="D114" s="217"/>
      <c r="E114" s="217"/>
      <c r="F114" s="102"/>
      <c r="G114" s="232"/>
      <c r="H114" s="232"/>
      <c r="I114" s="233"/>
      <c r="J114" s="233"/>
      <c r="K114" s="233"/>
      <c r="L114" s="228"/>
      <c r="O114" s="108"/>
      <c r="P114" s="108"/>
      <c r="Q114" s="108"/>
      <c r="R114" s="108"/>
      <c r="S114" s="108"/>
      <c r="V114" s="108"/>
      <c r="W114" s="108"/>
      <c r="X114" s="108"/>
      <c r="Y114" s="108"/>
      <c r="Z114" s="229"/>
      <c r="AA114" s="160"/>
      <c r="AB114" s="160"/>
      <c r="AC114" s="160"/>
      <c r="AD114" s="108"/>
      <c r="AE114" s="151"/>
      <c r="AF114" s="143"/>
      <c r="AG114" s="143"/>
      <c r="AH114" s="143"/>
      <c r="AI114" s="143"/>
      <c r="AJ114" s="143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</row>
    <row r="115" spans="1:59" s="169" customFormat="1" ht="21">
      <c r="A115" s="102"/>
      <c r="B115" s="102"/>
      <c r="C115" s="102"/>
      <c r="D115" s="217"/>
      <c r="E115" s="217"/>
      <c r="F115" s="102"/>
      <c r="G115" s="232"/>
      <c r="H115" s="232"/>
      <c r="I115" s="233"/>
      <c r="J115" s="233"/>
      <c r="K115" s="233"/>
      <c r="L115" s="228"/>
      <c r="O115" s="108"/>
      <c r="P115" s="108"/>
      <c r="Q115" s="108"/>
      <c r="R115" s="108"/>
      <c r="S115" s="108"/>
      <c r="V115" s="108"/>
      <c r="W115" s="108"/>
      <c r="X115" s="108"/>
      <c r="Y115" s="108"/>
      <c r="Z115" s="229"/>
      <c r="AA115" s="160"/>
      <c r="AB115" s="160"/>
      <c r="AC115" s="160"/>
      <c r="AD115" s="108"/>
      <c r="AE115" s="151"/>
      <c r="AF115" s="143"/>
      <c r="AG115" s="143"/>
      <c r="AH115" s="143"/>
      <c r="AI115" s="143"/>
      <c r="AJ115" s="143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</row>
  </sheetData>
  <mergeCells count="1">
    <mergeCell ref="E15:E17"/>
  </mergeCells>
  <conditionalFormatting sqref="G45:G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J37 V37 T37 L37:M37 O37:P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:J41 V41 T41 L41:M41 O41:P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Z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G115"/>
  <sheetViews>
    <sheetView topLeftCell="A32" zoomScale="76" zoomScaleNormal="48" workbookViewId="0">
      <selection activeCell="G33" sqref="G33"/>
    </sheetView>
  </sheetViews>
  <sheetFormatPr defaultColWidth="8.85546875" defaultRowHeight="12"/>
  <cols>
    <col min="1" max="1" width="17.7109375" style="102" customWidth="1"/>
    <col min="2" max="2" width="8.28515625" style="102" customWidth="1"/>
    <col min="3" max="3" width="11.7109375" style="102" bestFit="1" customWidth="1"/>
    <col min="4" max="5" width="14.28515625" style="212" customWidth="1"/>
    <col min="6" max="6" width="23.7109375" style="102" customWidth="1"/>
    <col min="7" max="7" width="14.140625" style="232" bestFit="1" customWidth="1"/>
    <col min="8" max="8" width="8.28515625" style="232" customWidth="1"/>
    <col min="9" max="11" width="9" style="233" customWidth="1"/>
    <col min="12" max="12" width="8.28515625" style="228" customWidth="1"/>
    <col min="13" max="13" width="9.140625" style="169" bestFit="1" customWidth="1"/>
    <col min="14" max="14" width="9.140625" style="108" bestFit="1" customWidth="1"/>
    <col min="15" max="15" width="9.140625" style="169" bestFit="1" customWidth="1"/>
    <col min="16" max="16" width="9.140625" style="108" bestFit="1" customWidth="1"/>
    <col min="17" max="17" width="9.140625" style="108" customWidth="1"/>
    <col min="18" max="19" width="9.140625" style="108" bestFit="1" customWidth="1"/>
    <col min="20" max="20" width="9.140625" style="169" bestFit="1" customWidth="1"/>
    <col min="21" max="21" width="8.85546875" style="108" customWidth="1"/>
    <col min="22" max="22" width="9.140625" style="169" bestFit="1" customWidth="1"/>
    <col min="23" max="25" width="8.85546875" style="108" customWidth="1"/>
    <col min="26" max="26" width="9.28515625" style="229" bestFit="1" customWidth="1"/>
    <col min="27" max="28" width="15.42578125" style="160" customWidth="1"/>
    <col min="29" max="29" width="21.140625" style="160" bestFit="1" customWidth="1"/>
    <col min="30" max="30" width="18.28515625" style="108" bestFit="1" customWidth="1"/>
    <col min="31" max="31" width="14.28515625" style="151" bestFit="1" customWidth="1"/>
    <col min="32" max="32" width="12.7109375" style="143" bestFit="1" customWidth="1"/>
    <col min="33" max="33" width="15.7109375" style="143" customWidth="1"/>
    <col min="34" max="34" width="12.28515625" style="143" bestFit="1" customWidth="1"/>
    <col min="35" max="35" width="12.7109375" style="143" customWidth="1"/>
    <col min="36" max="36" width="15.28515625" style="143" bestFit="1" customWidth="1"/>
    <col min="37" max="37" width="12" style="102" bestFit="1" customWidth="1"/>
    <col min="38" max="39" width="8.85546875" style="102"/>
    <col min="40" max="40" width="15.85546875" style="102" customWidth="1"/>
    <col min="41" max="41" width="13.28515625" style="102" hidden="1" customWidth="1"/>
    <col min="42" max="42" width="14.28515625" style="102" hidden="1" customWidth="1"/>
    <col min="43" max="43" width="13.7109375" style="102" hidden="1" customWidth="1"/>
    <col min="44" max="44" width="14.28515625" style="102" hidden="1" customWidth="1"/>
    <col min="45" max="45" width="13.28515625" style="102" hidden="1" customWidth="1"/>
    <col min="46" max="46" width="14.140625" style="102" hidden="1" customWidth="1"/>
    <col min="47" max="47" width="11" style="102" bestFit="1" customWidth="1"/>
    <col min="48" max="49" width="10.7109375" style="102" bestFit="1" customWidth="1"/>
    <col min="50" max="50" width="11" style="102" bestFit="1" customWidth="1"/>
    <col min="51" max="52" width="10.7109375" style="102" bestFit="1" customWidth="1"/>
    <col min="53" max="54" width="11" style="102" bestFit="1" customWidth="1"/>
    <col min="55" max="55" width="10.5703125" style="102" bestFit="1" customWidth="1"/>
    <col min="56" max="56" width="10.7109375" style="102" bestFit="1" customWidth="1"/>
    <col min="57" max="57" width="10.5703125" style="102" bestFit="1" customWidth="1"/>
    <col min="58" max="58" width="11.42578125" style="102" customWidth="1"/>
    <col min="59" max="59" width="14.140625" style="102" bestFit="1" customWidth="1"/>
    <col min="60" max="16384" width="8.85546875" style="102"/>
  </cols>
  <sheetData>
    <row r="2" spans="1:37" s="103" customFormat="1" ht="66" customHeight="1">
      <c r="F2" s="240" t="s">
        <v>303</v>
      </c>
      <c r="G2" s="132" t="s">
        <v>338</v>
      </c>
      <c r="H2" s="132" t="s">
        <v>338</v>
      </c>
      <c r="I2" s="132" t="s">
        <v>338</v>
      </c>
      <c r="J2" s="132" t="s">
        <v>338</v>
      </c>
      <c r="K2" s="132" t="s">
        <v>338</v>
      </c>
      <c r="L2" s="132"/>
      <c r="M2" s="132" t="s">
        <v>338</v>
      </c>
      <c r="N2" s="132" t="s">
        <v>338</v>
      </c>
      <c r="O2" s="132" t="s">
        <v>338</v>
      </c>
      <c r="P2" s="132" t="s">
        <v>338</v>
      </c>
      <c r="Q2" s="132" t="s">
        <v>338</v>
      </c>
      <c r="R2" s="132" t="s">
        <v>338</v>
      </c>
      <c r="S2" s="132" t="s">
        <v>338</v>
      </c>
      <c r="T2" s="161" t="s">
        <v>338</v>
      </c>
      <c r="U2" s="161" t="s">
        <v>338</v>
      </c>
      <c r="V2" s="161" t="s">
        <v>338</v>
      </c>
      <c r="W2" s="161" t="s">
        <v>338</v>
      </c>
      <c r="X2" s="161" t="s">
        <v>338</v>
      </c>
      <c r="Y2" s="161" t="s">
        <v>338</v>
      </c>
      <c r="Z2" s="133"/>
      <c r="AA2" s="153"/>
      <c r="AB2" s="153"/>
      <c r="AC2" s="153"/>
      <c r="AD2" s="112"/>
      <c r="AE2" s="144"/>
      <c r="AF2" s="138"/>
      <c r="AG2" s="138"/>
      <c r="AH2" s="138"/>
      <c r="AI2" s="138"/>
      <c r="AJ2" s="138"/>
    </row>
    <row r="3" spans="1:37" s="101" customFormat="1" ht="24">
      <c r="A3" s="101" t="s">
        <v>87</v>
      </c>
      <c r="C3" s="101" t="s">
        <v>158</v>
      </c>
      <c r="D3" s="101" t="s">
        <v>52</v>
      </c>
      <c r="F3" s="244" t="s">
        <v>168</v>
      </c>
      <c r="G3" s="162">
        <v>3.9</v>
      </c>
      <c r="H3" s="162">
        <v>12</v>
      </c>
      <c r="I3" s="162">
        <v>22</v>
      </c>
      <c r="J3" s="162">
        <v>30</v>
      </c>
      <c r="K3" s="162">
        <v>80</v>
      </c>
      <c r="L3" s="162">
        <v>3.9</v>
      </c>
      <c r="M3" s="162"/>
      <c r="N3" s="115"/>
      <c r="O3" s="162"/>
      <c r="P3" s="115"/>
      <c r="Q3" s="115"/>
      <c r="R3" s="115"/>
      <c r="S3" s="115"/>
      <c r="T3" s="162"/>
      <c r="U3" s="115"/>
      <c r="V3" s="162"/>
      <c r="W3" s="115"/>
      <c r="X3" s="115"/>
      <c r="Y3" s="115"/>
      <c r="Z3" s="128">
        <v>80</v>
      </c>
      <c r="AA3" s="154"/>
      <c r="AB3" s="154"/>
      <c r="AC3" s="154"/>
      <c r="AD3" s="115"/>
      <c r="AE3" s="145"/>
      <c r="AF3" s="139"/>
      <c r="AG3" s="139"/>
      <c r="AH3" s="139"/>
      <c r="AI3" s="139"/>
      <c r="AJ3" s="139"/>
    </row>
    <row r="4" spans="1:37" s="248" customFormat="1" ht="15.75" thickBot="1">
      <c r="F4" s="261"/>
      <c r="G4" s="262" t="str">
        <f t="shared" ref="G4:L4" si="0">G29</f>
        <v>SiO2</v>
      </c>
      <c r="H4" s="262" t="str">
        <f t="shared" si="0"/>
        <v>Al2O3</v>
      </c>
      <c r="I4" s="262" t="str">
        <f t="shared" si="0"/>
        <v>HfO2</v>
      </c>
      <c r="J4" s="262" t="str">
        <f t="shared" si="0"/>
        <v>La2O3</v>
      </c>
      <c r="K4" s="262" t="str">
        <f t="shared" si="0"/>
        <v>TiO2</v>
      </c>
      <c r="L4" s="262">
        <f t="shared" si="0"/>
        <v>0</v>
      </c>
      <c r="M4" s="263" t="s">
        <v>66</v>
      </c>
      <c r="N4" s="263" t="s">
        <v>67</v>
      </c>
      <c r="O4" s="263" t="s">
        <v>68</v>
      </c>
      <c r="P4" s="263" t="s">
        <v>69</v>
      </c>
      <c r="Q4" s="263" t="s">
        <v>70</v>
      </c>
      <c r="R4" s="263" t="s">
        <v>71</v>
      </c>
      <c r="S4" s="263" t="s">
        <v>72</v>
      </c>
      <c r="T4" s="263" t="s">
        <v>154</v>
      </c>
      <c r="U4" s="263" t="s">
        <v>155</v>
      </c>
      <c r="V4" s="263" t="s">
        <v>156</v>
      </c>
      <c r="W4" s="263" t="s">
        <v>192</v>
      </c>
      <c r="X4" s="263" t="s">
        <v>194</v>
      </c>
      <c r="Y4" s="263" t="s">
        <v>240</v>
      </c>
      <c r="Z4" s="242"/>
      <c r="AA4" s="258"/>
      <c r="AB4" s="249"/>
      <c r="AC4" s="249"/>
      <c r="AD4" s="250"/>
      <c r="AE4" s="251"/>
      <c r="AF4" s="252"/>
      <c r="AG4" s="252"/>
      <c r="AH4" s="252"/>
      <c r="AI4" s="252"/>
      <c r="AJ4" s="252"/>
    </row>
    <row r="5" spans="1:37" s="219" customFormat="1" ht="15.75" thickTop="1">
      <c r="D5" s="218" t="s">
        <v>236</v>
      </c>
      <c r="E5" s="218"/>
      <c r="F5" s="264" t="s">
        <v>13</v>
      </c>
      <c r="G5" s="264">
        <v>3</v>
      </c>
      <c r="H5" s="264">
        <v>0</v>
      </c>
      <c r="I5" s="264">
        <v>0</v>
      </c>
      <c r="J5" s="264">
        <v>0</v>
      </c>
      <c r="K5" s="264">
        <v>0</v>
      </c>
      <c r="L5" s="264">
        <v>3</v>
      </c>
      <c r="M5" s="265">
        <v>1</v>
      </c>
      <c r="N5" s="265">
        <v>1</v>
      </c>
      <c r="O5" s="265">
        <v>0.5</v>
      </c>
      <c r="P5" s="265">
        <v>1</v>
      </c>
      <c r="Q5" s="265">
        <v>0</v>
      </c>
      <c r="R5" s="265">
        <v>0.5</v>
      </c>
      <c r="S5" s="265">
        <v>0</v>
      </c>
      <c r="T5" s="265">
        <v>0</v>
      </c>
      <c r="U5" s="265">
        <v>1</v>
      </c>
      <c r="V5" s="265">
        <v>1.5</v>
      </c>
      <c r="W5" s="265">
        <v>0</v>
      </c>
      <c r="X5" s="265">
        <v>0</v>
      </c>
      <c r="Y5" s="265">
        <v>0</v>
      </c>
      <c r="Z5" s="243">
        <v>0</v>
      </c>
      <c r="AA5" s="245"/>
      <c r="AB5" s="246"/>
      <c r="AC5" s="246"/>
      <c r="AD5" s="246"/>
      <c r="AE5" s="246">
        <v>0</v>
      </c>
      <c r="AF5" s="247"/>
      <c r="AG5" s="247"/>
      <c r="AH5" s="247"/>
      <c r="AI5" s="247"/>
      <c r="AJ5" s="247"/>
    </row>
    <row r="6" spans="1:37" s="222" customFormat="1" ht="15">
      <c r="D6" s="172" t="s">
        <v>237</v>
      </c>
      <c r="E6" s="172"/>
      <c r="F6" s="264" t="s">
        <v>269</v>
      </c>
      <c r="G6" s="264">
        <v>0</v>
      </c>
      <c r="H6" s="264">
        <v>3</v>
      </c>
      <c r="I6" s="264">
        <v>0</v>
      </c>
      <c r="J6" s="264">
        <v>0</v>
      </c>
      <c r="K6" s="264">
        <v>0</v>
      </c>
      <c r="L6" s="264">
        <v>0</v>
      </c>
      <c r="M6" s="265">
        <v>1</v>
      </c>
      <c r="N6" s="264">
        <v>1</v>
      </c>
      <c r="O6" s="265">
        <v>0.5</v>
      </c>
      <c r="P6" s="264">
        <v>0</v>
      </c>
      <c r="Q6" s="264">
        <v>0.5</v>
      </c>
      <c r="R6" s="264">
        <v>0</v>
      </c>
      <c r="S6" s="264">
        <v>0.5</v>
      </c>
      <c r="T6" s="265">
        <v>1</v>
      </c>
      <c r="U6" s="265">
        <v>0.5</v>
      </c>
      <c r="V6" s="265">
        <v>0</v>
      </c>
      <c r="W6" s="265">
        <v>0</v>
      </c>
      <c r="X6" s="265">
        <v>0.5</v>
      </c>
      <c r="Y6" s="265">
        <v>0</v>
      </c>
      <c r="Z6" s="234">
        <v>0</v>
      </c>
      <c r="AA6" s="236"/>
      <c r="AB6" s="220"/>
      <c r="AC6" s="220"/>
      <c r="AD6" s="220"/>
      <c r="AE6" s="220">
        <v>1</v>
      </c>
      <c r="AF6" s="221"/>
      <c r="AG6" s="221"/>
      <c r="AH6" s="221"/>
      <c r="AI6" s="221"/>
      <c r="AJ6" s="221"/>
    </row>
    <row r="7" spans="1:37" s="178" customFormat="1" ht="15">
      <c r="F7" s="264" t="s">
        <v>14</v>
      </c>
      <c r="G7" s="264">
        <v>0</v>
      </c>
      <c r="H7" s="264">
        <v>0</v>
      </c>
      <c r="I7" s="264">
        <v>3</v>
      </c>
      <c r="J7" s="264">
        <v>0</v>
      </c>
      <c r="K7" s="264">
        <v>0</v>
      </c>
      <c r="L7" s="264">
        <v>0</v>
      </c>
      <c r="M7" s="265">
        <v>1</v>
      </c>
      <c r="N7" s="265">
        <v>0</v>
      </c>
      <c r="O7" s="265">
        <v>2</v>
      </c>
      <c r="P7" s="265">
        <v>1</v>
      </c>
      <c r="Q7" s="265">
        <v>2</v>
      </c>
      <c r="R7" s="265">
        <v>2.5</v>
      </c>
      <c r="S7" s="265">
        <v>2.5</v>
      </c>
      <c r="T7" s="265">
        <v>1</v>
      </c>
      <c r="U7" s="265">
        <v>0</v>
      </c>
      <c r="V7" s="265">
        <v>0</v>
      </c>
      <c r="W7" s="265">
        <v>1.5</v>
      </c>
      <c r="X7" s="265">
        <v>0.5</v>
      </c>
      <c r="Y7" s="265">
        <v>0.5</v>
      </c>
      <c r="Z7" s="243">
        <v>0</v>
      </c>
      <c r="AA7" s="237"/>
      <c r="AB7" s="158"/>
      <c r="AC7" s="158"/>
      <c r="AD7" s="158"/>
      <c r="AE7" s="158">
        <v>1</v>
      </c>
      <c r="AF7" s="177"/>
      <c r="AG7" s="177"/>
      <c r="AH7" s="177"/>
      <c r="AI7" s="177"/>
      <c r="AJ7" s="177"/>
    </row>
    <row r="8" spans="1:37" s="134" customFormat="1" ht="15" hidden="1">
      <c r="D8" s="213"/>
      <c r="E8" s="213"/>
      <c r="F8" s="264" t="s">
        <v>196</v>
      </c>
      <c r="G8" s="264">
        <v>0</v>
      </c>
      <c r="H8" s="264">
        <v>0</v>
      </c>
      <c r="I8" s="264">
        <v>0</v>
      </c>
      <c r="J8" s="264">
        <v>3</v>
      </c>
      <c r="K8" s="264">
        <v>0</v>
      </c>
      <c r="L8" s="264">
        <v>0</v>
      </c>
      <c r="M8" s="265">
        <v>0</v>
      </c>
      <c r="N8" s="265">
        <v>0</v>
      </c>
      <c r="O8" s="265">
        <v>0</v>
      </c>
      <c r="P8" s="265">
        <v>0</v>
      </c>
      <c r="Q8" s="265">
        <v>0</v>
      </c>
      <c r="R8" s="265">
        <v>0</v>
      </c>
      <c r="S8" s="265">
        <v>0</v>
      </c>
      <c r="T8" s="265">
        <v>0</v>
      </c>
      <c r="U8" s="265">
        <v>0</v>
      </c>
      <c r="V8" s="265">
        <v>0</v>
      </c>
      <c r="W8" s="265">
        <v>0</v>
      </c>
      <c r="X8" s="265">
        <v>0</v>
      </c>
      <c r="Y8" s="265">
        <v>0</v>
      </c>
      <c r="Z8" s="243">
        <v>0</v>
      </c>
      <c r="AA8" s="237"/>
      <c r="AB8" s="158"/>
      <c r="AC8" s="158"/>
      <c r="AD8" s="120"/>
      <c r="AE8" s="149"/>
      <c r="AF8" s="140"/>
      <c r="AG8" s="140"/>
      <c r="AH8" s="140"/>
      <c r="AI8" s="140"/>
      <c r="AJ8" s="140"/>
    </row>
    <row r="9" spans="1:37" s="204" customFormat="1" ht="15">
      <c r="D9" s="214" t="s">
        <v>238</v>
      </c>
      <c r="E9" s="214"/>
      <c r="F9" s="264" t="s">
        <v>34</v>
      </c>
      <c r="G9" s="264">
        <v>0</v>
      </c>
      <c r="H9" s="264">
        <v>0</v>
      </c>
      <c r="I9" s="264">
        <v>0</v>
      </c>
      <c r="J9" s="264">
        <v>0</v>
      </c>
      <c r="K9" s="264">
        <v>3</v>
      </c>
      <c r="L9" s="264">
        <v>0</v>
      </c>
      <c r="M9" s="265">
        <v>0</v>
      </c>
      <c r="N9" s="265">
        <v>1</v>
      </c>
      <c r="O9" s="265">
        <v>0</v>
      </c>
      <c r="P9" s="265">
        <v>1</v>
      </c>
      <c r="Q9" s="265">
        <v>0.5</v>
      </c>
      <c r="R9" s="265">
        <v>0</v>
      </c>
      <c r="S9" s="265">
        <v>0</v>
      </c>
      <c r="T9" s="265">
        <v>1</v>
      </c>
      <c r="U9" s="265">
        <v>1.5</v>
      </c>
      <c r="V9" s="265">
        <v>1.5</v>
      </c>
      <c r="W9" s="265">
        <v>1.5</v>
      </c>
      <c r="X9" s="265">
        <v>2</v>
      </c>
      <c r="Y9" s="265">
        <v>2.5</v>
      </c>
      <c r="Z9" s="243">
        <v>3</v>
      </c>
      <c r="AA9" s="238"/>
      <c r="AB9" s="201"/>
      <c r="AC9" s="201"/>
      <c r="AD9" s="201"/>
      <c r="AE9" s="201">
        <v>1</v>
      </c>
      <c r="AF9" s="203"/>
      <c r="AG9" s="203"/>
      <c r="AH9" s="203"/>
      <c r="AI9" s="203"/>
      <c r="AJ9" s="203"/>
    </row>
    <row r="10" spans="1:37" s="225" customFormat="1" ht="15">
      <c r="D10" s="223" t="s">
        <v>239</v>
      </c>
      <c r="E10" s="223"/>
      <c r="F10" s="264" t="s">
        <v>151</v>
      </c>
      <c r="G10" s="264">
        <f t="shared" ref="G10:S10" si="1">SUM(G5:G9)</f>
        <v>3</v>
      </c>
      <c r="H10" s="264">
        <f t="shared" si="1"/>
        <v>3</v>
      </c>
      <c r="I10" s="264">
        <f t="shared" si="1"/>
        <v>3</v>
      </c>
      <c r="J10" s="264">
        <f t="shared" si="1"/>
        <v>3</v>
      </c>
      <c r="K10" s="264">
        <f t="shared" si="1"/>
        <v>3</v>
      </c>
      <c r="L10" s="264">
        <f t="shared" si="1"/>
        <v>3</v>
      </c>
      <c r="M10" s="265">
        <f>SUM(M5:M9)</f>
        <v>3</v>
      </c>
      <c r="N10" s="265">
        <f>SUM(N5:N9)</f>
        <v>3</v>
      </c>
      <c r="O10" s="265">
        <f t="shared" si="1"/>
        <v>3</v>
      </c>
      <c r="P10" s="265">
        <f>SUM(P5:P9)</f>
        <v>3</v>
      </c>
      <c r="Q10" s="265">
        <v>3</v>
      </c>
      <c r="R10" s="265">
        <f t="shared" si="1"/>
        <v>3</v>
      </c>
      <c r="S10" s="265">
        <f t="shared" si="1"/>
        <v>3</v>
      </c>
      <c r="T10" s="265">
        <f t="shared" ref="T10:Z10" si="2">SUM(T5:T9)</f>
        <v>3</v>
      </c>
      <c r="U10" s="265">
        <f>SUM(U5:U9)</f>
        <v>3</v>
      </c>
      <c r="V10" s="265">
        <f>SUM(V5:V9)</f>
        <v>3</v>
      </c>
      <c r="W10" s="265">
        <f>SUM(W5:W9)</f>
        <v>3</v>
      </c>
      <c r="X10" s="265">
        <f t="shared" si="2"/>
        <v>3</v>
      </c>
      <c r="Y10" s="265">
        <v>3</v>
      </c>
      <c r="Z10" s="242">
        <f t="shared" si="2"/>
        <v>3</v>
      </c>
      <c r="AA10" s="239"/>
      <c r="AB10" s="224"/>
      <c r="AC10" s="224"/>
      <c r="AD10" s="224"/>
      <c r="AE10" s="224">
        <f>SUM(AE5:AE9)</f>
        <v>3</v>
      </c>
      <c r="AF10" s="207"/>
      <c r="AG10" s="207"/>
      <c r="AH10" s="207"/>
      <c r="AI10" s="207"/>
      <c r="AJ10" s="207"/>
    </row>
    <row r="11" spans="1:37" s="274" customFormat="1" ht="15">
      <c r="E11" s="274" t="s">
        <v>290</v>
      </c>
      <c r="F11" s="275"/>
      <c r="G11" s="276">
        <f>$C$18*$C$22*$C$24/(G15+G16+G17)</f>
        <v>3.9</v>
      </c>
      <c r="H11" s="276">
        <f>$C$18*$C$21*$C$24/(H15+H16+H17)</f>
        <v>12</v>
      </c>
      <c r="I11" s="276">
        <f>$C$18*$C$22*$C$24/(I15+I16+I17)</f>
        <v>25</v>
      </c>
      <c r="J11" s="276">
        <f>$C$18*$C$23*$C$24/(J15+J16+J17)</f>
        <v>30</v>
      </c>
      <c r="K11" s="276">
        <f>$C$18*$C$22*$C$24/(K15+K16+K17)</f>
        <v>95</v>
      </c>
      <c r="L11" s="275">
        <f>$C$18*$C$22*$C$24/(L15+L16+L17)</f>
        <v>3.9</v>
      </c>
      <c r="M11" s="277">
        <f>$C$18*$C$21*$C$22/(M15+M16+M17)</f>
        <v>7.9000675219446324</v>
      </c>
      <c r="N11" s="277">
        <f>$C$18*$C$21*$C$24/(N15+N16+N17)</f>
        <v>8.5648237333847046</v>
      </c>
      <c r="O11" s="277">
        <f>$C$18*$C$21*$C$22/(O15+O16+O17)</f>
        <v>12.006157003591586</v>
      </c>
      <c r="P11" s="277">
        <f>$C$18*$C$22*$C$24/(P15+P16+P17)</f>
        <v>9.774006331340134</v>
      </c>
      <c r="Q11" s="277">
        <f>$C$21*$C$22*$C$24/(Q15+Q16+Q17)</f>
        <v>23.635107118175537</v>
      </c>
      <c r="R11" s="277">
        <f>$C$18*$C$21*$C$22/(R15+R16+R17)</f>
        <v>13.146067415730338</v>
      </c>
      <c r="S11" s="277">
        <f>$C$18*$C$21*$C$22/(S15+S16+S17)</f>
        <v>21.176470588235293</v>
      </c>
      <c r="T11" s="277">
        <f>$C$21*$C$22*$C$24/(T15+T16+T17)</f>
        <v>22.411533420707734</v>
      </c>
      <c r="U11" s="277">
        <f>$C$18*$C$21*$C$24/(U15+U16+U17)</f>
        <v>9.5582070299903261</v>
      </c>
      <c r="V11" s="277">
        <f>$C$18*$C$22*$C$24/(V15+V16+V17)</f>
        <v>7.492416582406471</v>
      </c>
      <c r="W11" s="277">
        <f>$C$18*$C$22*$C$24/(W15+W16+W17)</f>
        <v>39.583333333333336</v>
      </c>
      <c r="X11" s="277">
        <f>$C$21*$C$22*$C$24/(X15+X16+X17)</f>
        <v>36.267232237539773</v>
      </c>
      <c r="Y11" s="277">
        <f>$C$18*$C$22*$C$24/(Y15+Y16+Y17)</f>
        <v>64.772727272727266</v>
      </c>
      <c r="Z11" s="278">
        <f>$C$21*$C$22*$C$24/(Z15+Z16+Z17)</f>
        <v>95</v>
      </c>
      <c r="AA11" s="253"/>
      <c r="AB11" s="206"/>
      <c r="AC11" s="206"/>
      <c r="AD11" s="206"/>
      <c r="AE11" s="206"/>
      <c r="AF11" s="207"/>
      <c r="AG11" s="207"/>
      <c r="AH11" s="207"/>
      <c r="AI11" s="207"/>
      <c r="AJ11" s="207"/>
    </row>
    <row r="12" spans="1:37" s="205" customFormat="1" ht="15">
      <c r="E12" s="205" t="s">
        <v>291</v>
      </c>
      <c r="F12" s="264" t="s">
        <v>275</v>
      </c>
      <c r="G12" s="283"/>
      <c r="H12" s="283"/>
      <c r="I12" s="283"/>
      <c r="J12" s="283"/>
      <c r="K12" s="283"/>
      <c r="L12" s="264"/>
      <c r="M12" s="284">
        <f>M14</f>
        <v>4.2590000000000003</v>
      </c>
      <c r="N12" s="284">
        <v>9.39</v>
      </c>
      <c r="O12" s="284">
        <f t="shared" ref="O12:Y12" si="3">O14</f>
        <v>9.57</v>
      </c>
      <c r="P12" s="284">
        <f>P14</f>
        <v>10.57</v>
      </c>
      <c r="Q12" s="284">
        <f>Q14</f>
        <v>12.3</v>
      </c>
      <c r="R12" s="284">
        <f t="shared" si="3"/>
        <v>14.16</v>
      </c>
      <c r="S12" s="284">
        <f t="shared" si="3"/>
        <v>14.55</v>
      </c>
      <c r="T12" s="284">
        <f t="shared" si="3"/>
        <v>16.388000000000002</v>
      </c>
      <c r="U12" s="284">
        <f>U14</f>
        <v>18.981999999999999</v>
      </c>
      <c r="V12" s="284">
        <f t="shared" si="3"/>
        <v>19.28</v>
      </c>
      <c r="W12" s="284">
        <f t="shared" si="3"/>
        <v>27.016999999999999</v>
      </c>
      <c r="X12" s="284">
        <f t="shared" si="3"/>
        <v>33.869999999999997</v>
      </c>
      <c r="Y12" s="284">
        <f t="shared" si="3"/>
        <v>52.93</v>
      </c>
      <c r="Z12" s="285"/>
      <c r="AA12" s="286"/>
      <c r="AB12" s="257"/>
      <c r="AC12" s="257"/>
      <c r="AD12" s="257"/>
      <c r="AE12" s="257"/>
      <c r="AF12" s="287"/>
      <c r="AG12" s="287"/>
      <c r="AH12" s="287"/>
      <c r="AI12" s="287"/>
      <c r="AJ12" s="287"/>
      <c r="AK12" s="274"/>
    </row>
    <row r="13" spans="1:37" s="101" customFormat="1" ht="15">
      <c r="F13" s="266" t="s">
        <v>171</v>
      </c>
      <c r="G13" s="267">
        <v>9</v>
      </c>
      <c r="H13" s="267">
        <v>8.1999999999999993</v>
      </c>
      <c r="I13" s="267">
        <v>5.2</v>
      </c>
      <c r="J13" s="267">
        <v>5.2</v>
      </c>
      <c r="K13" s="267">
        <v>3.5</v>
      </c>
      <c r="L13" s="267">
        <v>9</v>
      </c>
      <c r="M13" s="268">
        <f t="shared" ref="M13:S13" si="4">($B$18*M5+$B$21*M6+$B$22*M7+$B$24*M9)/M10</f>
        <v>7.4666666666666659</v>
      </c>
      <c r="N13" s="268">
        <f t="shared" si="4"/>
        <v>6.8999999999999995</v>
      </c>
      <c r="O13" s="268">
        <f t="shared" si="4"/>
        <v>6.333333333333333</v>
      </c>
      <c r="P13" s="268">
        <f t="shared" si="4"/>
        <v>5.8999999999999995</v>
      </c>
      <c r="Q13" s="268">
        <f t="shared" si="4"/>
        <v>5.416666666666667</v>
      </c>
      <c r="R13" s="268">
        <f t="shared" si="4"/>
        <v>5.833333333333333</v>
      </c>
      <c r="S13" s="268">
        <f t="shared" si="4"/>
        <v>5.7</v>
      </c>
      <c r="T13" s="268">
        <f t="shared" ref="T13:Y13" si="5">($B$18*T5+$B$21*T6+$B$22*T7+$B$24*T9)/T10</f>
        <v>5.6333333333333329</v>
      </c>
      <c r="U13" s="268">
        <f>($B$18*U5+$B$21*U6+$B$22*U7+$B$24*U9)/U10</f>
        <v>6.1166666666666671</v>
      </c>
      <c r="V13" s="268">
        <f>($B$18*V5+$B$21*V6+$B$22*V7+$B$24*V9)/V10</f>
        <v>6.25</v>
      </c>
      <c r="W13" s="268">
        <f>($B$18*W5+$B$21*W6+$B$22*W7+$B$24*W9)/W10</f>
        <v>4.3500000000000005</v>
      </c>
      <c r="X13" s="268">
        <f t="shared" si="5"/>
        <v>4.5666666666666664</v>
      </c>
      <c r="Y13" s="268">
        <f t="shared" si="5"/>
        <v>3.7833333333333332</v>
      </c>
      <c r="Z13" s="242">
        <v>3.5</v>
      </c>
      <c r="AA13" s="269" t="s">
        <v>187</v>
      </c>
      <c r="AB13" s="270" t="s">
        <v>185</v>
      </c>
      <c r="AC13" s="270" t="s">
        <v>184</v>
      </c>
      <c r="AD13" s="271" t="s">
        <v>186</v>
      </c>
      <c r="AE13" s="272" t="s">
        <v>175</v>
      </c>
      <c r="AF13" s="273" t="s">
        <v>176</v>
      </c>
      <c r="AG13" s="273" t="s">
        <v>191</v>
      </c>
      <c r="AH13" s="273" t="s">
        <v>177</v>
      </c>
      <c r="AI13" s="273" t="s">
        <v>177</v>
      </c>
      <c r="AJ13" s="273" t="s">
        <v>178</v>
      </c>
      <c r="AK13" s="273" t="s">
        <v>178</v>
      </c>
    </row>
    <row r="14" spans="1:37" s="205" customFormat="1">
      <c r="A14" s="205" t="s">
        <v>169</v>
      </c>
      <c r="B14" s="205" t="s">
        <v>167</v>
      </c>
      <c r="C14" s="205" t="s">
        <v>168</v>
      </c>
      <c r="F14" s="259" t="s">
        <v>150</v>
      </c>
      <c r="G14" s="342">
        <f>L14</f>
        <v>3.35</v>
      </c>
      <c r="H14" s="342">
        <f>Keff_V2!G10</f>
        <v>9.9</v>
      </c>
      <c r="I14" s="342">
        <f>Keff_V2!H10</f>
        <v>20.43</v>
      </c>
      <c r="J14" s="342">
        <f>Keff_V2!I10</f>
        <v>24.48</v>
      </c>
      <c r="K14" s="342">
        <f>Keff_V2!J10</f>
        <v>77.09</v>
      </c>
      <c r="L14" s="342">
        <f>Keff_V2!F10</f>
        <v>3.35</v>
      </c>
      <c r="M14" s="342">
        <v>4.2590000000000003</v>
      </c>
      <c r="N14" s="342">
        <v>9.4</v>
      </c>
      <c r="O14" s="342">
        <v>9.57</v>
      </c>
      <c r="P14" s="342">
        <v>10.57</v>
      </c>
      <c r="Q14" s="342">
        <v>12.3</v>
      </c>
      <c r="R14" s="342">
        <v>14.16</v>
      </c>
      <c r="S14" s="342">
        <v>14.55</v>
      </c>
      <c r="T14" s="342">
        <v>16.388000000000002</v>
      </c>
      <c r="U14" s="342">
        <v>18.981999999999999</v>
      </c>
      <c r="V14" s="342">
        <v>19.28</v>
      </c>
      <c r="W14" s="342">
        <v>27.016999999999999</v>
      </c>
      <c r="X14" s="342">
        <v>33.869999999999997</v>
      </c>
      <c r="Y14" s="342">
        <v>52.93</v>
      </c>
      <c r="Z14" s="342">
        <v>77.09</v>
      </c>
      <c r="AA14" s="206">
        <v>80</v>
      </c>
      <c r="AB14" s="206">
        <v>80</v>
      </c>
      <c r="AC14" s="206">
        <v>80</v>
      </c>
      <c r="AD14" s="206"/>
      <c r="AE14" s="206"/>
      <c r="AF14" s="207"/>
      <c r="AG14" s="207"/>
      <c r="AH14" s="207"/>
      <c r="AI14" s="207"/>
      <c r="AJ14" s="207"/>
    </row>
    <row r="15" spans="1:37" s="208" customFormat="1">
      <c r="E15" s="357" t="s">
        <v>301</v>
      </c>
      <c r="F15" s="209" t="s">
        <v>230</v>
      </c>
      <c r="G15" s="227">
        <f>$C$22*$C$24*G5/G10</f>
        <v>2375</v>
      </c>
      <c r="H15" s="227">
        <f>$C$20*$C$24*H5/H10</f>
        <v>0</v>
      </c>
      <c r="I15" s="227">
        <f>$C$22*$C$24*I5/I10</f>
        <v>0</v>
      </c>
      <c r="J15" s="227">
        <f>$C$23*$C$24*J5/J10</f>
        <v>0</v>
      </c>
      <c r="K15" s="227">
        <f>$C$22*$C$24*K5/K10</f>
        <v>0</v>
      </c>
      <c r="L15" s="227">
        <f>$C$22*$C$24*L5/L10</f>
        <v>2375</v>
      </c>
      <c r="M15" s="215">
        <f>$C$21*$C$22*M5/M10</f>
        <v>100</v>
      </c>
      <c r="N15" s="226">
        <f>$C$21*$C$24*N5/N10</f>
        <v>380</v>
      </c>
      <c r="O15" s="215">
        <f>$C$21*$C$22*O5/O10</f>
        <v>50</v>
      </c>
      <c r="P15" s="227">
        <f>$C$22*$C$24*P5/P10</f>
        <v>791.66666666666663</v>
      </c>
      <c r="Q15" s="116">
        <f>$C$22*$C$24*Q6/Q10</f>
        <v>395.83333333333331</v>
      </c>
      <c r="R15" s="215">
        <f>$C$21*$C$22*R5/R10</f>
        <v>50</v>
      </c>
      <c r="S15" s="215">
        <f>$C$21*$C$22*S5/S10</f>
        <v>0</v>
      </c>
      <c r="T15" s="116">
        <f>$C$22*$C$24*T6/T10</f>
        <v>791.66666666666663</v>
      </c>
      <c r="U15" s="226">
        <f>$C$21*$C$24*U5/U10</f>
        <v>380</v>
      </c>
      <c r="V15" s="227">
        <f>$C$22*$C$24*V5/V10</f>
        <v>1187.5</v>
      </c>
      <c r="W15" s="227">
        <f>$C$22*$C$24*W5/W10</f>
        <v>0</v>
      </c>
      <c r="X15" s="116">
        <f>$C$22*$C$24*X6/X10</f>
        <v>395.83333333333331</v>
      </c>
      <c r="Y15" s="227">
        <f>$C$22*$C$24*Y5/Y10</f>
        <v>0</v>
      </c>
      <c r="Z15" s="210">
        <f>$C$22*$C$24*Z6/Z10</f>
        <v>0</v>
      </c>
      <c r="AA15" s="210"/>
      <c r="AB15" s="210"/>
      <c r="AC15" s="210"/>
      <c r="AD15" s="210"/>
      <c r="AE15" s="210"/>
      <c r="AF15" s="211"/>
      <c r="AG15" s="211"/>
      <c r="AH15" s="211"/>
      <c r="AI15" s="211"/>
      <c r="AJ15" s="211"/>
    </row>
    <row r="16" spans="1:37" s="208" customFormat="1">
      <c r="E16" s="357"/>
      <c r="F16" s="209" t="s">
        <v>232</v>
      </c>
      <c r="G16" s="227">
        <f>$C$18*$C$24*G7/G10</f>
        <v>0</v>
      </c>
      <c r="H16" s="227">
        <f>$C$18*$C$24*H6/H10</f>
        <v>370.5</v>
      </c>
      <c r="I16" s="227">
        <f>$C$18*$C$24*I7/I10</f>
        <v>370.5</v>
      </c>
      <c r="J16" s="227">
        <f>$C$18*$C$24*J8/J10</f>
        <v>370.5</v>
      </c>
      <c r="K16" s="227">
        <f>$C$18*$C$24*K7/K10</f>
        <v>0</v>
      </c>
      <c r="L16" s="227">
        <f>$C$18*$C$24*L7/L10</f>
        <v>0</v>
      </c>
      <c r="M16" s="215">
        <f>$C$18*$C$22*M6/M10</f>
        <v>32.5</v>
      </c>
      <c r="N16" s="226">
        <f>$C$18*$C$24*N6/N10</f>
        <v>123.5</v>
      </c>
      <c r="O16" s="215">
        <f>$C$18*$C$22*O6/O10</f>
        <v>16.25</v>
      </c>
      <c r="P16" s="227">
        <f>$C$18*$C$24*P7/P10</f>
        <v>123.5</v>
      </c>
      <c r="Q16" s="116">
        <f>$C$21*$C$24*Q7/Q10</f>
        <v>760</v>
      </c>
      <c r="R16" s="215">
        <f>$C$18*$C$22*R6/R10</f>
        <v>0</v>
      </c>
      <c r="S16" s="215">
        <f>$C$18*$C$22*S6/S10</f>
        <v>16.25</v>
      </c>
      <c r="T16" s="116">
        <f>$C$21*$C$24*T7/T10</f>
        <v>380</v>
      </c>
      <c r="U16" s="226">
        <f>$C$18*$C$24*U6/U10</f>
        <v>61.75</v>
      </c>
      <c r="V16" s="227">
        <f>$C$18*$C$24*V7/V10</f>
        <v>0</v>
      </c>
      <c r="W16" s="227">
        <f>$C$18*$C$24*W7/W10</f>
        <v>185.25</v>
      </c>
      <c r="X16" s="116">
        <f>$C$21*$C$24*X7/X10</f>
        <v>190</v>
      </c>
      <c r="Y16" s="227">
        <f>$C$18*$C$24*Y7/Y10</f>
        <v>61.75</v>
      </c>
      <c r="Z16" s="210">
        <f>$C$21*$C$24*Z7/Z10</f>
        <v>0</v>
      </c>
      <c r="AA16" s="210"/>
      <c r="AB16" s="210"/>
      <c r="AC16" s="210"/>
      <c r="AD16" s="210"/>
      <c r="AE16" s="210"/>
      <c r="AF16" s="211"/>
      <c r="AG16" s="211"/>
      <c r="AH16" s="211"/>
      <c r="AI16" s="211"/>
      <c r="AJ16" s="211"/>
    </row>
    <row r="17" spans="1:37" s="208" customFormat="1">
      <c r="E17" s="358"/>
      <c r="F17" s="209" t="s">
        <v>231</v>
      </c>
      <c r="G17" s="227">
        <f>$C$18*$C$22*G9/G10</f>
        <v>0</v>
      </c>
      <c r="H17" s="227">
        <f>$C$18*$C$22*H9/H10</f>
        <v>0</v>
      </c>
      <c r="I17" s="227">
        <f>$C$18*$C$22*I9/I10</f>
        <v>0</v>
      </c>
      <c r="J17" s="227">
        <f>$C$18*$C$23*J9/J10</f>
        <v>0</v>
      </c>
      <c r="K17" s="227">
        <f>$C$18*$C$22*K9/K10</f>
        <v>97.5</v>
      </c>
      <c r="L17" s="227">
        <f>$C$18*$C$22*L9/L10</f>
        <v>0</v>
      </c>
      <c r="M17" s="215">
        <f>$C$21*$C$18*M7/M10</f>
        <v>15.6</v>
      </c>
      <c r="N17" s="226">
        <f>$C$18*$C$21*N9/N10</f>
        <v>15.6</v>
      </c>
      <c r="O17" s="215">
        <f>$C$21*$C$18*O7/O10</f>
        <v>31.2</v>
      </c>
      <c r="P17" s="227">
        <f>$C$18*$C$22*P9/P10</f>
        <v>32.5</v>
      </c>
      <c r="Q17" s="116">
        <f>$C$22*$C$21*Q9/Q10</f>
        <v>50</v>
      </c>
      <c r="R17" s="215">
        <f>$C$21*$C$18*R7/R10</f>
        <v>39</v>
      </c>
      <c r="S17" s="215">
        <f>$C$21*$C$18*S7/S10</f>
        <v>39</v>
      </c>
      <c r="T17" s="116">
        <f>$C$22*$C$21*T9/T10</f>
        <v>100</v>
      </c>
      <c r="U17" s="226">
        <f>$C$18*$C$21*U9/U10</f>
        <v>23.399999999999995</v>
      </c>
      <c r="V17" s="227">
        <f>$C$18*$C$22*V9/V10</f>
        <v>48.75</v>
      </c>
      <c r="W17" s="227">
        <f>$C$18*$C$22*W9/W10</f>
        <v>48.75</v>
      </c>
      <c r="X17" s="116">
        <f>$C$22*$C$21*X9/X10</f>
        <v>200</v>
      </c>
      <c r="Y17" s="227">
        <f>$C$18*$C$22*Y9/Y10</f>
        <v>81.25</v>
      </c>
      <c r="Z17" s="210">
        <f>$C$22*$C$21*Z9/Z10</f>
        <v>300</v>
      </c>
      <c r="AA17" s="210" t="s">
        <v>332</v>
      </c>
      <c r="AB17" s="210" t="s">
        <v>333</v>
      </c>
      <c r="AC17" s="210" t="s">
        <v>334</v>
      </c>
      <c r="AD17" s="210" t="s">
        <v>335</v>
      </c>
      <c r="AE17" s="210"/>
      <c r="AF17" s="211"/>
      <c r="AG17" s="211"/>
      <c r="AH17" s="211"/>
      <c r="AI17" s="211"/>
      <c r="AJ17" s="211"/>
    </row>
    <row r="18" spans="1:37" ht="15.75">
      <c r="A18" s="48" t="s">
        <v>23</v>
      </c>
      <c r="B18" s="48">
        <v>9</v>
      </c>
      <c r="C18" s="48">
        <v>3.9</v>
      </c>
      <c r="D18" s="212" t="s">
        <v>233</v>
      </c>
      <c r="E18" s="109" t="s">
        <v>258</v>
      </c>
      <c r="F18" s="135" t="s">
        <v>257</v>
      </c>
      <c r="G18" s="304">
        <v>0.53180000000000005</v>
      </c>
      <c r="H18" s="304">
        <v>0.75160000000000005</v>
      </c>
      <c r="I18" s="313">
        <v>0.86729999999999996</v>
      </c>
      <c r="J18" s="304">
        <v>0.88529999999999998</v>
      </c>
      <c r="K18" s="304">
        <v>0.94210000000000005</v>
      </c>
      <c r="L18" s="304">
        <f t="shared" ref="L18:L26" si="6">G18</f>
        <v>0.53180000000000005</v>
      </c>
      <c r="M18" s="304">
        <v>0.70120000000000005</v>
      </c>
      <c r="N18" s="304">
        <v>0.73119999999999996</v>
      </c>
      <c r="O18" s="304">
        <v>0.78169999999999995</v>
      </c>
      <c r="P18" s="304">
        <v>0.76880000000000004</v>
      </c>
      <c r="Q18" s="304">
        <v>0.85799999999999998</v>
      </c>
      <c r="R18" s="304">
        <v>0.80010000000000003</v>
      </c>
      <c r="S18" s="304">
        <v>0.84470000000000001</v>
      </c>
      <c r="T18" s="304">
        <v>0.84970000000000001</v>
      </c>
      <c r="U18" s="304">
        <v>0.7631</v>
      </c>
      <c r="V18" s="304">
        <v>0.72519999999999996</v>
      </c>
      <c r="W18" s="304">
        <v>0.90269999999999995</v>
      </c>
      <c r="X18" s="304">
        <v>0.8952</v>
      </c>
      <c r="Y18" s="304">
        <v>0.92789999999999995</v>
      </c>
      <c r="Z18" s="304">
        <v>0.94210000000000005</v>
      </c>
      <c r="AA18" s="304">
        <f>MIN(M18:Z18)</f>
        <v>0.70120000000000005</v>
      </c>
      <c r="AB18" s="304">
        <f t="shared" ref="AB18:AB24" si="7">MAX(G18:Z18)</f>
        <v>0.94210000000000005</v>
      </c>
      <c r="AC18" s="311">
        <f>(AA18-$I$18)/I18</f>
        <v>-0.19151389369307037</v>
      </c>
      <c r="AD18" s="309">
        <f>(AB18-$I$18)/$I$18</f>
        <v>8.6244667358468918E-2</v>
      </c>
      <c r="AE18" s="147"/>
      <c r="AF18" s="141"/>
      <c r="AG18" s="141"/>
      <c r="AH18" s="141"/>
      <c r="AI18" s="141"/>
      <c r="AJ18" s="141"/>
    </row>
    <row r="19" spans="1:37" ht="15.75">
      <c r="A19" s="48" t="s">
        <v>170</v>
      </c>
      <c r="B19" s="48">
        <v>4.5999999999999996</v>
      </c>
      <c r="C19" s="48">
        <v>7.5</v>
      </c>
      <c r="E19" s="109" t="s">
        <v>259</v>
      </c>
      <c r="F19" s="135" t="s">
        <v>260</v>
      </c>
      <c r="G19" s="304">
        <v>89.6</v>
      </c>
      <c r="H19" s="304">
        <v>87.8</v>
      </c>
      <c r="I19" s="313">
        <v>82.5</v>
      </c>
      <c r="J19" s="304">
        <v>81.8</v>
      </c>
      <c r="K19" s="304">
        <v>76.2</v>
      </c>
      <c r="L19" s="304">
        <f t="shared" si="6"/>
        <v>89.6</v>
      </c>
      <c r="M19" s="304">
        <v>82.6</v>
      </c>
      <c r="N19" s="304">
        <v>78.900000000000006</v>
      </c>
      <c r="O19" s="304">
        <v>81.099999999999994</v>
      </c>
      <c r="P19" s="304">
        <v>76.8</v>
      </c>
      <c r="Q19" s="304">
        <v>80.3</v>
      </c>
      <c r="R19" s="304">
        <v>81.7</v>
      </c>
      <c r="S19" s="304">
        <v>82</v>
      </c>
      <c r="T19" s="304">
        <v>79</v>
      </c>
      <c r="U19" s="304">
        <v>76.2</v>
      </c>
      <c r="V19" s="304">
        <v>77.099999999999994</v>
      </c>
      <c r="W19" s="304">
        <v>79.8</v>
      </c>
      <c r="X19" s="304">
        <v>78.3</v>
      </c>
      <c r="Y19" s="304">
        <v>77</v>
      </c>
      <c r="Z19" s="304">
        <v>76.2</v>
      </c>
      <c r="AA19" s="304">
        <f t="shared" ref="AA19:AA28" si="8">MIN(G19:Z19)</f>
        <v>76.2</v>
      </c>
      <c r="AB19" s="304">
        <f t="shared" si="7"/>
        <v>89.6</v>
      </c>
      <c r="AC19" s="311">
        <f>(AA19-$I$19)/I19</f>
        <v>-7.6363636363636328E-2</v>
      </c>
      <c r="AD19" s="309">
        <f t="shared" ref="AD19:AD29" si="9">(AB19-$I$18)/$I$18</f>
        <v>102.3091202582728</v>
      </c>
      <c r="AE19" s="147"/>
      <c r="AF19" s="141"/>
      <c r="AG19" s="141"/>
      <c r="AH19" s="141"/>
      <c r="AI19" s="141"/>
      <c r="AJ19" s="141"/>
    </row>
    <row r="20" spans="1:37" ht="15.75">
      <c r="A20" s="48" t="s">
        <v>39</v>
      </c>
      <c r="B20" s="48"/>
      <c r="C20" s="48">
        <v>12</v>
      </c>
      <c r="F20" s="135" t="s">
        <v>143</v>
      </c>
      <c r="G20" s="304">
        <v>89.5</v>
      </c>
      <c r="H20" s="304">
        <v>88.1</v>
      </c>
      <c r="I20" s="313">
        <v>82.8</v>
      </c>
      <c r="J20" s="304">
        <v>82.1</v>
      </c>
      <c r="K20" s="304">
        <v>75</v>
      </c>
      <c r="L20" s="304">
        <f t="shared" si="6"/>
        <v>89.5</v>
      </c>
      <c r="M20" s="304">
        <v>82.7</v>
      </c>
      <c r="N20" s="304">
        <v>-1099.8</v>
      </c>
      <c r="O20" s="304">
        <v>81.400000000000006</v>
      </c>
      <c r="P20" s="304">
        <v>76.900000000000006</v>
      </c>
      <c r="Q20" s="304">
        <v>80.7</v>
      </c>
      <c r="R20" s="304">
        <v>81.900000000000006</v>
      </c>
      <c r="S20" s="304">
        <v>82.4</v>
      </c>
      <c r="T20" s="304">
        <v>79.3</v>
      </c>
      <c r="U20" s="304">
        <v>76.3</v>
      </c>
      <c r="V20" s="304">
        <v>77.3</v>
      </c>
      <c r="W20" s="304">
        <v>80</v>
      </c>
      <c r="X20" s="304">
        <v>78.400000000000006</v>
      </c>
      <c r="Y20" s="304">
        <v>76.2</v>
      </c>
      <c r="Z20" s="304">
        <v>75</v>
      </c>
      <c r="AA20" s="304">
        <f t="shared" si="8"/>
        <v>-1099.8</v>
      </c>
      <c r="AB20" s="304">
        <f t="shared" si="7"/>
        <v>89.5</v>
      </c>
      <c r="AC20" s="309">
        <f>(AA20-$I$18)/I20</f>
        <v>-13.293083333333332</v>
      </c>
      <c r="AD20" s="309">
        <f t="shared" si="9"/>
        <v>102.1938199008417</v>
      </c>
      <c r="AE20" s="147"/>
      <c r="AF20" s="141"/>
      <c r="AG20" s="141"/>
      <c r="AH20" s="141"/>
      <c r="AI20" s="141"/>
      <c r="AJ20" s="141"/>
    </row>
    <row r="21" spans="1:37" ht="15.75">
      <c r="A21" s="48" t="s">
        <v>25</v>
      </c>
      <c r="B21" s="48">
        <v>8.1999999999999993</v>
      </c>
      <c r="C21" s="48">
        <v>12</v>
      </c>
      <c r="D21" s="212" t="s">
        <v>234</v>
      </c>
      <c r="E21" s="109" t="s">
        <v>261</v>
      </c>
      <c r="F21" s="135" t="s">
        <v>262</v>
      </c>
      <c r="G21" s="304">
        <v>19.3</v>
      </c>
      <c r="H21" s="304">
        <v>13.13</v>
      </c>
      <c r="I21" s="313">
        <v>8.8699999999999992</v>
      </c>
      <c r="J21" s="304">
        <v>7.57</v>
      </c>
      <c r="K21" s="304">
        <v>5.04</v>
      </c>
      <c r="L21" s="304">
        <f t="shared" si="6"/>
        <v>19.3</v>
      </c>
      <c r="M21" s="304">
        <v>15.22</v>
      </c>
      <c r="N21" s="304">
        <v>12.52</v>
      </c>
      <c r="O21" s="304">
        <v>9.3000000000000007</v>
      </c>
      <c r="P21" s="304">
        <v>9.48</v>
      </c>
      <c r="Q21" s="304">
        <v>8.6999999999999993</v>
      </c>
      <c r="R21" s="304">
        <v>8.43</v>
      </c>
      <c r="S21" s="304">
        <v>9.83</v>
      </c>
      <c r="T21" s="304">
        <v>8.8699999999999992</v>
      </c>
      <c r="U21" s="304">
        <v>9.74</v>
      </c>
      <c r="V21" s="304">
        <v>12.7</v>
      </c>
      <c r="W21" s="304">
        <v>6.17</v>
      </c>
      <c r="X21" s="304">
        <v>6.43</v>
      </c>
      <c r="Y21" s="304">
        <v>5.48</v>
      </c>
      <c r="Z21" s="304">
        <v>5.04</v>
      </c>
      <c r="AA21" s="304">
        <f t="shared" si="8"/>
        <v>5.04</v>
      </c>
      <c r="AB21" s="304">
        <f t="shared" si="7"/>
        <v>19.3</v>
      </c>
      <c r="AC21" s="311">
        <f>(AA21-$I$21)/I21</f>
        <v>-0.43179255918827503</v>
      </c>
      <c r="AD21" s="309">
        <f t="shared" si="9"/>
        <v>21.252968984203854</v>
      </c>
      <c r="AE21" s="147"/>
      <c r="AF21" s="141"/>
      <c r="AG21" s="102"/>
      <c r="AH21" s="141"/>
      <c r="AI21" s="102"/>
      <c r="AJ21" s="141"/>
      <c r="AK21" s="102" t="s">
        <v>180</v>
      </c>
    </row>
    <row r="22" spans="1:37" ht="15.75">
      <c r="A22" s="48" t="s">
        <v>21</v>
      </c>
      <c r="B22" s="48">
        <v>5.2</v>
      </c>
      <c r="C22" s="48">
        <v>25</v>
      </c>
      <c r="F22" s="135" t="s">
        <v>321</v>
      </c>
      <c r="G22" s="305">
        <v>9.9999999999999994E-12</v>
      </c>
      <c r="H22" s="305">
        <v>1E-13</v>
      </c>
      <c r="I22" s="314">
        <v>1E-14</v>
      </c>
      <c r="J22" s="305">
        <v>1E-14</v>
      </c>
      <c r="K22" s="305">
        <v>1E-14</v>
      </c>
      <c r="L22" s="305">
        <f t="shared" si="6"/>
        <v>9.9999999999999994E-12</v>
      </c>
      <c r="M22" s="305">
        <v>1E-13</v>
      </c>
      <c r="N22" s="305">
        <v>1E-13</v>
      </c>
      <c r="O22" s="305">
        <v>1E-14</v>
      </c>
      <c r="P22" s="305">
        <v>1E-14</v>
      </c>
      <c r="Q22" s="305">
        <v>1E-14</v>
      </c>
      <c r="R22" s="305">
        <v>1E-14</v>
      </c>
      <c r="S22" s="305">
        <v>1E-14</v>
      </c>
      <c r="T22" s="305">
        <v>1E-14</v>
      </c>
      <c r="U22" s="305">
        <v>1E-14</v>
      </c>
      <c r="V22" s="305">
        <v>1E-13</v>
      </c>
      <c r="W22" s="305">
        <v>1.0000000000000001E-15</v>
      </c>
      <c r="X22" s="305">
        <v>1.0000000000000001E-15</v>
      </c>
      <c r="Y22" s="305">
        <v>1.0000000000000001E-15</v>
      </c>
      <c r="Z22" s="305">
        <v>1E-14</v>
      </c>
      <c r="AA22" s="305">
        <f t="shared" si="8"/>
        <v>1.0000000000000001E-15</v>
      </c>
      <c r="AB22" s="305">
        <f t="shared" si="7"/>
        <v>9.9999999999999994E-12</v>
      </c>
      <c r="AC22" s="311">
        <f>(AA22-$I$22)/I22</f>
        <v>-0.89999999999999991</v>
      </c>
      <c r="AD22" s="309">
        <f t="shared" si="9"/>
        <v>-0.99999999998847</v>
      </c>
      <c r="AE22" s="148"/>
      <c r="AF22" s="141"/>
      <c r="AG22" s="141"/>
      <c r="AH22" s="141"/>
      <c r="AI22" s="141"/>
      <c r="AJ22" s="141"/>
    </row>
    <row r="23" spans="1:37" ht="15.75">
      <c r="A23" s="48" t="s">
        <v>26</v>
      </c>
      <c r="B23" s="48">
        <v>5.6</v>
      </c>
      <c r="C23" s="48">
        <v>30</v>
      </c>
      <c r="F23" s="135" t="s">
        <v>322</v>
      </c>
      <c r="G23" s="305">
        <v>9.9999999999999995E-8</v>
      </c>
      <c r="H23" s="305">
        <v>9.9999999999999995E-8</v>
      </c>
      <c r="I23" s="314">
        <v>9.9999999999999995E-8</v>
      </c>
      <c r="J23" s="305">
        <v>9.9999999999999995E-8</v>
      </c>
      <c r="K23" s="305">
        <v>9.9999999999999995E-8</v>
      </c>
      <c r="L23" s="305">
        <f t="shared" si="6"/>
        <v>9.9999999999999995E-8</v>
      </c>
      <c r="M23" s="305">
        <v>9.9999999999999995E-8</v>
      </c>
      <c r="N23" s="305">
        <v>9.9999999999999995E-8</v>
      </c>
      <c r="O23" s="305">
        <v>9.9999999999999995E-8</v>
      </c>
      <c r="P23" s="305">
        <v>9.9999999999999995E-8</v>
      </c>
      <c r="Q23" s="305">
        <v>9.9999999999999995E-8</v>
      </c>
      <c r="R23" s="305">
        <v>9.9999999999999995E-8</v>
      </c>
      <c r="S23" s="305">
        <v>9.9999999999999995E-8</v>
      </c>
      <c r="T23" s="305">
        <v>9.9999999999999995E-8</v>
      </c>
      <c r="U23" s="305">
        <v>9.9999999999999995E-8</v>
      </c>
      <c r="V23" s="305">
        <v>9.9999999999999995E-8</v>
      </c>
      <c r="W23" s="305">
        <v>9.9999999999999995E-8</v>
      </c>
      <c r="X23" s="305">
        <v>9.9999999999999995E-8</v>
      </c>
      <c r="Y23" s="305">
        <v>9.9999999999999995E-8</v>
      </c>
      <c r="Z23" s="305">
        <v>9.9999999999999995E-8</v>
      </c>
      <c r="AA23" s="305">
        <f t="shared" si="8"/>
        <v>9.9999999999999995E-8</v>
      </c>
      <c r="AB23" s="305">
        <f t="shared" si="7"/>
        <v>9.9999999999999995E-8</v>
      </c>
      <c r="AC23" s="309">
        <f>(AA23-$I$23)/I23</f>
        <v>0</v>
      </c>
      <c r="AD23" s="309">
        <f t="shared" si="9"/>
        <v>-0.99999988469964263</v>
      </c>
      <c r="AE23" s="148"/>
      <c r="AF23" s="141"/>
      <c r="AG23" s="141"/>
      <c r="AH23" s="141"/>
      <c r="AI23" s="141"/>
      <c r="AJ23" s="141"/>
    </row>
    <row r="24" spans="1:37" s="320" customFormat="1" ht="15.75">
      <c r="A24" s="315" t="s">
        <v>20</v>
      </c>
      <c r="B24" s="315">
        <v>3.5</v>
      </c>
      <c r="C24" s="315">
        <v>95</v>
      </c>
      <c r="D24" s="316" t="s">
        <v>235</v>
      </c>
      <c r="E24" s="316"/>
      <c r="F24" s="317" t="s">
        <v>242</v>
      </c>
      <c r="G24" s="305">
        <v>10000</v>
      </c>
      <c r="H24" s="305">
        <v>1000000</v>
      </c>
      <c r="I24" s="305">
        <v>10000000</v>
      </c>
      <c r="J24" s="305">
        <v>10000000</v>
      </c>
      <c r="K24" s="305">
        <v>10000000</v>
      </c>
      <c r="L24" s="305">
        <f t="shared" si="6"/>
        <v>10000</v>
      </c>
      <c r="M24" s="305">
        <v>1000000</v>
      </c>
      <c r="N24" s="305">
        <v>1000000</v>
      </c>
      <c r="O24" s="305">
        <v>10000000</v>
      </c>
      <c r="P24" s="305">
        <v>10000000</v>
      </c>
      <c r="Q24" s="305">
        <v>10000000</v>
      </c>
      <c r="R24" s="305">
        <v>10000000</v>
      </c>
      <c r="S24" s="305">
        <v>10000000</v>
      </c>
      <c r="T24" s="305">
        <v>10000000</v>
      </c>
      <c r="U24" s="305">
        <v>10000000</v>
      </c>
      <c r="V24" s="305">
        <v>1000000</v>
      </c>
      <c r="W24" s="305">
        <v>100000000</v>
      </c>
      <c r="X24" s="305">
        <v>100000000</v>
      </c>
      <c r="Y24" s="305">
        <v>100000000</v>
      </c>
      <c r="Z24" s="305">
        <v>10000000</v>
      </c>
      <c r="AA24" s="305">
        <f t="shared" si="8"/>
        <v>10000</v>
      </c>
      <c r="AB24" s="305">
        <f t="shared" si="7"/>
        <v>100000000</v>
      </c>
      <c r="AC24" s="310">
        <f>(AA24-$I$24)/I24</f>
        <v>-0.999</v>
      </c>
      <c r="AD24" s="321">
        <f>(AB24-$I$24)/$I$24</f>
        <v>9</v>
      </c>
      <c r="AE24" s="318"/>
      <c r="AF24" s="319"/>
      <c r="AG24" s="319"/>
      <c r="AH24" s="319"/>
      <c r="AI24" s="319"/>
      <c r="AJ24" s="319"/>
    </row>
    <row r="25" spans="1:37">
      <c r="E25" s="109" t="s">
        <v>264</v>
      </c>
      <c r="F25" s="135" t="s">
        <v>263</v>
      </c>
      <c r="G25" s="305">
        <v>3.5499100140000001E-14</v>
      </c>
      <c r="H25" s="305">
        <v>4.2756333009999998E-16</v>
      </c>
      <c r="I25" s="314">
        <v>7.4843940040000001E-16</v>
      </c>
      <c r="J25" s="306">
        <v>1.4999248239999999E-15</v>
      </c>
      <c r="K25" s="306">
        <v>1.483032294E-14</v>
      </c>
      <c r="L25" s="306">
        <f t="shared" si="6"/>
        <v>3.5499100140000001E-14</v>
      </c>
      <c r="M25" s="306">
        <v>3.2803418760000001E-16</v>
      </c>
      <c r="N25" s="306">
        <v>3.716788569E-17</v>
      </c>
      <c r="O25" s="346">
        <v>2.2342132890000001E-17</v>
      </c>
      <c r="P25" s="306">
        <v>1.9312871429999999E-16</v>
      </c>
      <c r="Q25" s="306">
        <v>1.0119630439999999E-15</v>
      </c>
      <c r="R25" s="306">
        <v>1.3535978149999999E-16</v>
      </c>
      <c r="S25" s="306">
        <v>7.4776230850000004E-16</v>
      </c>
      <c r="T25" s="306">
        <v>1.2531103650000001E-15</v>
      </c>
      <c r="U25" s="306">
        <v>2.2839110080000001E-16</v>
      </c>
      <c r="V25" s="306">
        <v>4.7144181870000002E-17</v>
      </c>
      <c r="W25" s="306">
        <v>4.2920780240000002E-15</v>
      </c>
      <c r="X25" s="306">
        <v>3.9813840200000001E-15</v>
      </c>
      <c r="Y25" s="306">
        <v>3.3363251519999998E-15</v>
      </c>
      <c r="Z25" s="306">
        <v>1.483032294E-14</v>
      </c>
      <c r="AA25" s="306">
        <f t="shared" si="8"/>
        <v>2.2342132890000001E-17</v>
      </c>
      <c r="AB25" s="306">
        <f>MAX(M25:Y25)</f>
        <v>4.2920780240000002E-15</v>
      </c>
      <c r="AC25" s="345">
        <f>(AA25-$I$25)/I25</f>
        <v>-0.97014837423302491</v>
      </c>
      <c r="AD25" s="312">
        <f>(AB25-$I$25)/$I$25</f>
        <v>4.7347034665814212</v>
      </c>
      <c r="AE25" s="148"/>
      <c r="AF25" s="141"/>
      <c r="AG25" s="141"/>
      <c r="AH25" s="141"/>
      <c r="AI25" s="141"/>
      <c r="AJ25" s="141"/>
    </row>
    <row r="26" spans="1:37">
      <c r="E26" s="109" t="s">
        <v>265</v>
      </c>
      <c r="F26" s="135" t="s">
        <v>266</v>
      </c>
      <c r="G26" s="305">
        <v>2.0045235509999999E-5</v>
      </c>
      <c r="H26" s="305">
        <v>1.870040223E-5</v>
      </c>
      <c r="I26" s="314">
        <v>1.1713095980000001E-5</v>
      </c>
      <c r="J26" s="305">
        <v>1.423963863E-5</v>
      </c>
      <c r="K26" s="305">
        <v>1.372821104E-5</v>
      </c>
      <c r="L26" s="305">
        <f t="shared" si="6"/>
        <v>2.0045235509999999E-5</v>
      </c>
      <c r="M26" s="305">
        <v>1.9071899419999999E-5</v>
      </c>
      <c r="N26" s="305">
        <v>1.085889421E-5</v>
      </c>
      <c r="O26" s="305">
        <v>1.632321543E-5</v>
      </c>
      <c r="P26" s="305">
        <v>1.786813879E-5</v>
      </c>
      <c r="Q26" s="305">
        <v>1.5619603890000002E-5</v>
      </c>
      <c r="R26" s="305">
        <v>1.8835130689999999E-5</v>
      </c>
      <c r="S26" s="305">
        <v>1.425507866E-5</v>
      </c>
      <c r="T26" s="305">
        <v>1.231310583E-5</v>
      </c>
      <c r="U26" s="305">
        <v>1.7931580230000001E-5</v>
      </c>
      <c r="V26" s="346">
        <v>1.9268158390000001E-5</v>
      </c>
      <c r="W26" s="305">
        <v>1.4197163190000001E-5</v>
      </c>
      <c r="X26" s="305">
        <v>1.590327458E-5</v>
      </c>
      <c r="Y26" s="305">
        <v>1.4735582659999999E-5</v>
      </c>
      <c r="Z26" s="305">
        <v>1.372821104E-5</v>
      </c>
      <c r="AA26" s="305">
        <f t="shared" si="8"/>
        <v>1.085889421E-5</v>
      </c>
      <c r="AB26" s="346">
        <f>MAX(G26:Z26)</f>
        <v>2.0045235509999999E-5</v>
      </c>
      <c r="AC26" s="309">
        <f>(AA26-$I$26)/I26</f>
        <v>-7.2927069961566254E-2</v>
      </c>
      <c r="AD26" s="309">
        <f>(M26-I26)/I26</f>
        <v>0.62825434475778952</v>
      </c>
      <c r="AE26" s="148"/>
      <c r="AF26" s="141"/>
      <c r="AG26" s="141"/>
      <c r="AH26" s="141"/>
      <c r="AI26" s="141"/>
      <c r="AJ26" s="141"/>
      <c r="AK26" s="102" t="s">
        <v>179</v>
      </c>
    </row>
    <row r="27" spans="1:37">
      <c r="E27" s="109" t="s">
        <v>267</v>
      </c>
      <c r="F27" s="135" t="s">
        <v>268</v>
      </c>
      <c r="G27" s="305">
        <v>564668800</v>
      </c>
      <c r="H27" s="305">
        <v>43737150000</v>
      </c>
      <c r="I27" s="314">
        <f t="shared" ref="I27:S27" si="10">I26/I25</f>
        <v>15650025872.154766</v>
      </c>
      <c r="J27" s="305">
        <f t="shared" si="10"/>
        <v>9493568212.3226204</v>
      </c>
      <c r="K27" s="305">
        <f t="shared" si="10"/>
        <v>925685239.32628536</v>
      </c>
      <c r="L27" s="305">
        <f t="shared" si="10"/>
        <v>564668834.72951043</v>
      </c>
      <c r="M27" s="305">
        <f t="shared" si="10"/>
        <v>58139974859.132637</v>
      </c>
      <c r="N27" s="305">
        <f t="shared" si="10"/>
        <v>292157974778.79083</v>
      </c>
      <c r="O27" s="346">
        <f t="shared" si="10"/>
        <v>730602378491.17896</v>
      </c>
      <c r="P27" s="305">
        <f t="shared" si="10"/>
        <v>92519327614.039841</v>
      </c>
      <c r="Q27" s="305">
        <f t="shared" si="10"/>
        <v>15434954846.038828</v>
      </c>
      <c r="R27" s="305">
        <f t="shared" si="10"/>
        <v>139148648743.94025</v>
      </c>
      <c r="S27" s="305">
        <f t="shared" si="10"/>
        <v>19063649635.66494</v>
      </c>
      <c r="T27" s="305">
        <f t="shared" ref="T27:Z27" si="11">T26/T25</f>
        <v>9826034620.661684</v>
      </c>
      <c r="U27" s="305">
        <f>U26/U25</f>
        <v>78512604769.581284</v>
      </c>
      <c r="V27" s="305">
        <f>V26/V25</f>
        <v>408707026524.11945</v>
      </c>
      <c r="W27" s="305">
        <f>W26/W25</f>
        <v>3307759810.1930499</v>
      </c>
      <c r="X27" s="305">
        <f t="shared" si="11"/>
        <v>3994408602.6647587</v>
      </c>
      <c r="Y27" s="305">
        <f t="shared" si="11"/>
        <v>4416710598.8355417</v>
      </c>
      <c r="Z27" s="305">
        <f t="shared" si="11"/>
        <v>925685239.32628536</v>
      </c>
      <c r="AA27" s="305">
        <f t="shared" si="8"/>
        <v>564668800</v>
      </c>
      <c r="AB27" s="305">
        <f>MAX(G27:Z27)</f>
        <v>730602378491.17896</v>
      </c>
      <c r="AC27" s="309">
        <f>(AA27-$I$18)/I27</f>
        <v>3.608101377885798E-2</v>
      </c>
      <c r="AD27" s="347">
        <f>(O27-I27)/I27</f>
        <v>45.683780874196493</v>
      </c>
      <c r="AE27" s="148"/>
      <c r="AF27" s="141"/>
      <c r="AG27" s="141"/>
      <c r="AH27" s="141"/>
      <c r="AI27" s="141"/>
      <c r="AJ27" s="141"/>
    </row>
    <row r="28" spans="1:37">
      <c r="E28" s="135" t="s">
        <v>340</v>
      </c>
      <c r="F28" s="135" t="s">
        <v>339</v>
      </c>
      <c r="G28" s="305">
        <v>1.0000000000000001E-9</v>
      </c>
      <c r="H28" s="305">
        <v>3.9999999999999998E-11</v>
      </c>
      <c r="I28" s="314">
        <v>7.9999999999999998E-12</v>
      </c>
      <c r="J28" s="305">
        <v>4.9999999999999997E-12</v>
      </c>
      <c r="K28" s="305">
        <v>9E-13</v>
      </c>
      <c r="L28" s="305">
        <v>1.0000000000000001E-9</v>
      </c>
      <c r="M28" s="305">
        <v>5.4000000000000001E-11</v>
      </c>
      <c r="N28" s="305">
        <v>1.6999999999999999E-11</v>
      </c>
      <c r="O28" s="305">
        <v>4.9999999999999997E-12</v>
      </c>
      <c r="P28" s="305">
        <v>6.0000000000000003E-12</v>
      </c>
      <c r="Q28" s="305">
        <v>1.1999999999999999E-12</v>
      </c>
      <c r="R28" s="305">
        <v>2.4999999999999998E-12</v>
      </c>
      <c r="S28" s="305">
        <v>9.9999999999999998E-13</v>
      </c>
      <c r="T28" s="305">
        <v>1.7E-12</v>
      </c>
      <c r="U28" s="305">
        <v>5.5000000000000004E-12</v>
      </c>
      <c r="V28" s="305">
        <v>1.6999999999999999E-11</v>
      </c>
      <c r="W28" s="305">
        <v>9E-13</v>
      </c>
      <c r="X28" s="305">
        <v>4.9999999999999999E-13</v>
      </c>
      <c r="Y28" s="348">
        <v>1.4999999999999999E-13</v>
      </c>
      <c r="Z28" s="305">
        <f>K28</f>
        <v>9E-13</v>
      </c>
      <c r="AA28" s="305">
        <f t="shared" si="8"/>
        <v>1.4999999999999999E-13</v>
      </c>
      <c r="AB28" s="305">
        <f>MAX(G28:Z28)</f>
        <v>1.0000000000000001E-9</v>
      </c>
      <c r="AC28" s="345">
        <f>I28/AA28</f>
        <v>53.333333333333336</v>
      </c>
      <c r="AD28" s="309">
        <f t="shared" si="9"/>
        <v>-0.99999999884699642</v>
      </c>
      <c r="AE28" s="148"/>
      <c r="AF28" s="141"/>
      <c r="AG28" s="141"/>
      <c r="AH28" s="141"/>
      <c r="AI28" s="141"/>
      <c r="AJ28" s="141"/>
    </row>
    <row r="29" spans="1:37">
      <c r="F29" s="109" t="s">
        <v>153</v>
      </c>
      <c r="G29" s="123" t="s">
        <v>23</v>
      </c>
      <c r="H29" s="123" t="s">
        <v>195</v>
      </c>
      <c r="I29" s="136" t="s">
        <v>21</v>
      </c>
      <c r="J29" s="136" t="s">
        <v>26</v>
      </c>
      <c r="K29" s="136" t="s">
        <v>20</v>
      </c>
      <c r="L29" s="128"/>
      <c r="M29" s="166" t="s">
        <v>66</v>
      </c>
      <c r="N29" s="166" t="s">
        <v>67</v>
      </c>
      <c r="O29" s="166" t="s">
        <v>68</v>
      </c>
      <c r="P29" s="166" t="s">
        <v>69</v>
      </c>
      <c r="Q29" s="166" t="s">
        <v>70</v>
      </c>
      <c r="R29" s="166" t="s">
        <v>71</v>
      </c>
      <c r="S29" s="166" t="s">
        <v>72</v>
      </c>
      <c r="T29" s="166" t="s">
        <v>154</v>
      </c>
      <c r="U29" s="166" t="s">
        <v>155</v>
      </c>
      <c r="V29" s="166" t="s">
        <v>156</v>
      </c>
      <c r="W29" s="166" t="s">
        <v>192</v>
      </c>
      <c r="X29" s="166" t="s">
        <v>194</v>
      </c>
      <c r="Y29" s="166" t="s">
        <v>240</v>
      </c>
      <c r="Z29" s="129"/>
      <c r="AA29" s="304"/>
      <c r="AB29" s="304">
        <f>MAX(G29:Z29)</f>
        <v>0</v>
      </c>
      <c r="AC29" s="158"/>
      <c r="AD29" s="309">
        <f t="shared" si="9"/>
        <v>-1</v>
      </c>
      <c r="AE29" s="149"/>
      <c r="AF29" s="140"/>
      <c r="AG29" s="140"/>
      <c r="AH29" s="140"/>
      <c r="AI29" s="140"/>
      <c r="AJ29" s="140"/>
    </row>
    <row r="30" spans="1:37">
      <c r="D30" s="12"/>
      <c r="M30" s="170"/>
      <c r="N30" s="171" t="s">
        <v>197</v>
      </c>
      <c r="O30" s="170"/>
      <c r="P30" s="171"/>
      <c r="Q30" s="171"/>
      <c r="R30" s="171"/>
      <c r="S30" s="171"/>
      <c r="T30" s="170"/>
      <c r="U30" s="170" t="s">
        <v>197</v>
      </c>
      <c r="V30" s="170" t="s">
        <v>197</v>
      </c>
      <c r="W30" s="170"/>
      <c r="X30" s="170"/>
      <c r="Y30" s="170"/>
      <c r="AA30" s="172"/>
      <c r="AB30" s="172"/>
      <c r="AC30" s="172"/>
      <c r="AD30" s="171"/>
      <c r="AE30" s="173"/>
      <c r="AF30" s="174"/>
      <c r="AG30" s="174"/>
      <c r="AH30" s="174"/>
      <c r="AI30" s="174"/>
      <c r="AJ30" s="174"/>
    </row>
    <row r="31" spans="1:37">
      <c r="D31" s="12">
        <v>0.86729999999999996</v>
      </c>
      <c r="F31" s="185" t="s">
        <v>198</v>
      </c>
      <c r="G31" s="186"/>
      <c r="H31" s="186"/>
      <c r="I31" s="187"/>
      <c r="J31" s="187"/>
      <c r="K31" s="187"/>
      <c r="L31" s="188"/>
      <c r="M31" s="189"/>
      <c r="N31" s="190">
        <f>COUNTIF(N5:N9,"&gt;0")</f>
        <v>3</v>
      </c>
      <c r="O31" s="189">
        <f>COUNTIF(O5:O9,"&gt;0")</f>
        <v>3</v>
      </c>
      <c r="P31" s="190">
        <f>COUNTIF(P5:P9,"&gt;0")</f>
        <v>3</v>
      </c>
      <c r="Q31" s="190">
        <f>COUNTIF(Q5:Q9,"&gt;0")</f>
        <v>3</v>
      </c>
      <c r="R31" s="190">
        <f>COUNTIF(R5:R9,"&gt;0")</f>
        <v>2</v>
      </c>
      <c r="S31" s="190"/>
      <c r="T31" s="189">
        <f>COUNTIF(T5:T9,"&gt;0")</f>
        <v>3</v>
      </c>
      <c r="U31" s="190">
        <f>COUNTIF(U5:U9,"&gt;0")</f>
        <v>3</v>
      </c>
      <c r="V31" s="189">
        <f>COUNTIF(V5:V9,"&gt;0")</f>
        <v>2</v>
      </c>
      <c r="W31" s="190">
        <f>COUNTIF(W5:W9,"&gt;0")</f>
        <v>2</v>
      </c>
      <c r="X31" s="190">
        <f>COUNTIF(X5:X9,"&gt;0")</f>
        <v>3</v>
      </c>
      <c r="Y31" s="190"/>
      <c r="AA31" s="172"/>
      <c r="AB31" s="172"/>
      <c r="AC31" s="172"/>
      <c r="AD31" s="171"/>
      <c r="AE31" s="173"/>
      <c r="AF31" s="174"/>
      <c r="AG31" s="174"/>
      <c r="AH31" s="174"/>
      <c r="AI31" s="174"/>
      <c r="AJ31" s="174"/>
    </row>
    <row r="32" spans="1:37">
      <c r="D32" s="12">
        <v>82.5</v>
      </c>
      <c r="F32" s="109" t="s">
        <v>208</v>
      </c>
      <c r="G32" s="123" t="str">
        <f>G29</f>
        <v>SiO2</v>
      </c>
      <c r="H32" s="123" t="str">
        <f>H29</f>
        <v>Al2O3</v>
      </c>
      <c r="I32" s="123" t="str">
        <f>I29</f>
        <v>HfO2</v>
      </c>
      <c r="J32" s="123" t="str">
        <f>J29</f>
        <v>La2O3</v>
      </c>
      <c r="K32" s="123" t="str">
        <f>K29</f>
        <v>TiO2</v>
      </c>
      <c r="L32" s="128" t="str">
        <f>G32</f>
        <v>SiO2</v>
      </c>
      <c r="M32" s="166" t="str">
        <f>M29</f>
        <v>A</v>
      </c>
      <c r="N32" s="166" t="str">
        <f>N29</f>
        <v>B</v>
      </c>
      <c r="O32" s="166" t="str">
        <f t="shared" ref="O32:Y32" si="12">O29</f>
        <v>C</v>
      </c>
      <c r="P32" s="166" t="str">
        <f>P29</f>
        <v>D</v>
      </c>
      <c r="Q32" s="166" t="str">
        <f>Q29</f>
        <v>E</v>
      </c>
      <c r="R32" s="166" t="str">
        <f t="shared" si="12"/>
        <v>F</v>
      </c>
      <c r="S32" s="166" t="str">
        <f t="shared" si="12"/>
        <v>G</v>
      </c>
      <c r="T32" s="166" t="str">
        <f t="shared" si="12"/>
        <v>H</v>
      </c>
      <c r="U32" s="166" t="str">
        <f>U29</f>
        <v>J</v>
      </c>
      <c r="V32" s="166" t="str">
        <f t="shared" si="12"/>
        <v>K</v>
      </c>
      <c r="W32" s="166" t="str">
        <f t="shared" si="12"/>
        <v>L</v>
      </c>
      <c r="X32" s="166" t="str">
        <f t="shared" si="12"/>
        <v>M</v>
      </c>
      <c r="Y32" s="166" t="str">
        <f t="shared" si="12"/>
        <v>N</v>
      </c>
      <c r="Z32" s="129" t="str">
        <f>K32</f>
        <v>TiO2</v>
      </c>
      <c r="AA32" s="172"/>
      <c r="AB32" s="172"/>
      <c r="AC32" s="172"/>
      <c r="AD32" s="171"/>
      <c r="AE32" s="173"/>
      <c r="AF32" s="174"/>
      <c r="AG32" s="174"/>
      <c r="AH32" s="174"/>
      <c r="AI32" s="174"/>
      <c r="AJ32" s="174"/>
    </row>
    <row r="33" spans="4:59">
      <c r="D33" s="12"/>
      <c r="F33" s="109" t="s">
        <v>207</v>
      </c>
      <c r="G33" s="191">
        <f>1/(G19*G21^2*G18^3)*LOG10(G27)/SQRT(G28)</f>
        <v>55.135262892286015</v>
      </c>
      <c r="H33" s="191">
        <f t="shared" ref="H33:Z33" si="13">1/(H19*H21^2*H18^3)*LOG10(H27)/SQRT(H28)</f>
        <v>261.79543098884392</v>
      </c>
      <c r="I33" s="191">
        <f t="shared" si="13"/>
        <v>851.16224403501599</v>
      </c>
      <c r="J33" s="191">
        <f t="shared" si="13"/>
        <v>1371.8834255375466</v>
      </c>
      <c r="K33" s="191">
        <f t="shared" si="13"/>
        <v>5839.7313287563384</v>
      </c>
      <c r="L33" s="191">
        <f t="shared" si="13"/>
        <v>55.135263060561776</v>
      </c>
      <c r="M33" s="191">
        <f>1/(M19*M21^2*M18^3)*LOG10(M27)/SQRT(M28)</f>
        <v>222.05517181023859</v>
      </c>
      <c r="N33" s="191">
        <f>1/(N19*N21^2*N18^3)*LOG10(N27)/SQRT(N28)</f>
        <v>575.14690728694825</v>
      </c>
      <c r="O33" s="191">
        <f t="shared" si="13"/>
        <v>1583.5339330188704</v>
      </c>
      <c r="P33" s="191">
        <f>1/(P19*P21^2*P18^3)*LOG10(P27)/SQRT(P28)</f>
        <v>1427.4595292848398</v>
      </c>
      <c r="Q33" s="191">
        <f>1/(Q19*Q21^2*Q18^3)*LOG10(Q27)/SQRT(Q28)</f>
        <v>2422.7239987727958</v>
      </c>
      <c r="R33" s="191">
        <f t="shared" si="13"/>
        <v>2369.9586973071814</v>
      </c>
      <c r="S33" s="191">
        <f t="shared" si="13"/>
        <v>2152.6501253183101</v>
      </c>
      <c r="T33" s="191">
        <f t="shared" si="13"/>
        <v>2009.894310104198</v>
      </c>
      <c r="U33" s="191">
        <f>1/(U19*U21^2*U18^3)*LOG10(U27)/SQRT(U28)</f>
        <v>1446.1929093989108</v>
      </c>
      <c r="V33" s="191">
        <f t="shared" si="13"/>
        <v>593.779735730212</v>
      </c>
      <c r="W33" s="191">
        <f t="shared" si="13"/>
        <v>4490.4605596412421</v>
      </c>
      <c r="X33" s="191">
        <f t="shared" si="13"/>
        <v>5846.6622544538914</v>
      </c>
      <c r="Y33" s="191">
        <f t="shared" si="13"/>
        <v>13480.490395962423</v>
      </c>
      <c r="Z33" s="191">
        <f t="shared" si="13"/>
        <v>5839.7313287563384</v>
      </c>
      <c r="AA33" s="172"/>
      <c r="AB33" s="172"/>
      <c r="AC33" s="172"/>
      <c r="AD33" s="171"/>
      <c r="AE33" s="173"/>
      <c r="AF33" s="174"/>
      <c r="AG33" s="174"/>
      <c r="AH33" s="174"/>
      <c r="AI33" s="174"/>
      <c r="AJ33" s="174"/>
    </row>
    <row r="34" spans="4:59">
      <c r="D34" s="12">
        <v>8.8699999999999992</v>
      </c>
    </row>
    <row r="35" spans="4:59">
      <c r="D35" s="296">
        <v>9.9999999999999998E-17</v>
      </c>
    </row>
    <row r="36" spans="4:59" ht="15">
      <c r="D36" s="296">
        <v>9.9999999999999995E-8</v>
      </c>
      <c r="F36" s="193" t="s">
        <v>208</v>
      </c>
      <c r="G36" s="194" t="str">
        <f t="shared" ref="G36:K37" si="14">G32</f>
        <v>SiO2</v>
      </c>
      <c r="H36" s="194" t="str">
        <f t="shared" si="14"/>
        <v>Al2O3</v>
      </c>
      <c r="I36" s="194" t="str">
        <f t="shared" si="14"/>
        <v>HfO2</v>
      </c>
      <c r="J36" s="194" t="str">
        <f t="shared" si="14"/>
        <v>La2O3</v>
      </c>
      <c r="K36" s="194" t="str">
        <f t="shared" si="14"/>
        <v>TiO2</v>
      </c>
      <c r="L36" s="194" t="s">
        <v>66</v>
      </c>
      <c r="M36" s="194" t="s">
        <v>67</v>
      </c>
      <c r="N36" s="194" t="str">
        <f>P32</f>
        <v>D</v>
      </c>
      <c r="O36" s="194" t="s">
        <v>68</v>
      </c>
      <c r="P36" s="194" t="str">
        <f>T32</f>
        <v>H</v>
      </c>
      <c r="Q36" s="194" t="str">
        <f>N32</f>
        <v>B</v>
      </c>
      <c r="R36" s="194" t="s">
        <v>69</v>
      </c>
      <c r="S36" s="194"/>
      <c r="T36" s="194" t="str">
        <f>V32</f>
        <v>K</v>
      </c>
      <c r="U36" s="194" t="str">
        <f>W32</f>
        <v>L</v>
      </c>
      <c r="V36" s="194" t="str">
        <f>U32</f>
        <v>J</v>
      </c>
      <c r="W36" s="194" t="str">
        <f>X32</f>
        <v>M</v>
      </c>
      <c r="X36" s="194" t="e">
        <f>#REF!</f>
        <v>#REF!</v>
      </c>
      <c r="Y36" s="194"/>
    </row>
    <row r="37" spans="4:59" ht="15">
      <c r="D37" s="296">
        <v>1000000000</v>
      </c>
      <c r="F37" s="193" t="s">
        <v>207</v>
      </c>
      <c r="G37" s="195">
        <f>G33</f>
        <v>55.135262892286015</v>
      </c>
      <c r="H37" s="195">
        <f t="shared" si="14"/>
        <v>261.79543098884392</v>
      </c>
      <c r="I37" s="195">
        <f t="shared" si="14"/>
        <v>851.16224403501599</v>
      </c>
      <c r="J37" s="195">
        <f t="shared" si="14"/>
        <v>1371.8834255375466</v>
      </c>
      <c r="K37" s="195">
        <f t="shared" si="14"/>
        <v>5839.7313287563384</v>
      </c>
      <c r="L37" s="195">
        <f>M33</f>
        <v>222.05517181023859</v>
      </c>
      <c r="M37" s="195">
        <f>O33</f>
        <v>1583.5339330188704</v>
      </c>
      <c r="N37" s="195">
        <f>P33</f>
        <v>1427.4595292848398</v>
      </c>
      <c r="O37" s="195">
        <f>R33</f>
        <v>2369.9586973071814</v>
      </c>
      <c r="P37" s="195">
        <f>T33</f>
        <v>2009.894310104198</v>
      </c>
      <c r="Q37" s="195">
        <f>N33</f>
        <v>575.14690728694825</v>
      </c>
      <c r="R37" s="195">
        <f>Q33</f>
        <v>2422.7239987727958</v>
      </c>
      <c r="S37" s="195"/>
      <c r="T37" s="195">
        <f>V33</f>
        <v>593.779735730212</v>
      </c>
      <c r="U37" s="195">
        <f>W33</f>
        <v>4490.4605596412421</v>
      </c>
      <c r="V37" s="195">
        <f>U33</f>
        <v>1446.1929093989108</v>
      </c>
      <c r="W37" s="195">
        <f>X33</f>
        <v>5846.6622544538914</v>
      </c>
      <c r="X37" s="195" t="e">
        <f>#REF!</f>
        <v>#REF!</v>
      </c>
      <c r="Y37" s="195"/>
    </row>
    <row r="38" spans="4:59">
      <c r="D38" s="296">
        <v>-7.4843940040000001E-16</v>
      </c>
    </row>
    <row r="39" spans="4:59">
      <c r="D39" s="296">
        <v>1.1713095980000001E-5</v>
      </c>
    </row>
    <row r="40" spans="4:59" ht="15">
      <c r="D40" s="296">
        <v>-15650030000</v>
      </c>
      <c r="F40" s="193" t="s">
        <v>208</v>
      </c>
      <c r="G40" s="194" t="s">
        <v>23</v>
      </c>
      <c r="H40" s="194" t="s">
        <v>195</v>
      </c>
      <c r="I40" s="194" t="s">
        <v>21</v>
      </c>
      <c r="J40" s="194" t="s">
        <v>26</v>
      </c>
      <c r="K40" s="194" t="s">
        <v>20</v>
      </c>
      <c r="L40" s="194" t="s">
        <v>66</v>
      </c>
      <c r="M40" s="194" t="s">
        <v>67</v>
      </c>
      <c r="N40" s="194" t="s">
        <v>68</v>
      </c>
      <c r="O40" s="194" t="s">
        <v>69</v>
      </c>
      <c r="P40" s="194" t="s">
        <v>70</v>
      </c>
      <c r="Q40" s="194" t="s">
        <v>71</v>
      </c>
      <c r="R40" s="194" t="s">
        <v>69</v>
      </c>
      <c r="S40" s="194"/>
      <c r="T40" s="194" t="s">
        <v>154</v>
      </c>
      <c r="U40" s="194" t="s">
        <v>156</v>
      </c>
      <c r="V40" s="194" t="s">
        <v>155</v>
      </c>
      <c r="W40" s="194" t="s">
        <v>192</v>
      </c>
      <c r="X40" s="194" t="s">
        <v>194</v>
      </c>
      <c r="Y40" s="194"/>
    </row>
    <row r="41" spans="4:59" ht="15">
      <c r="F41" s="193" t="s">
        <v>207</v>
      </c>
      <c r="G41" s="195">
        <v>1.3650788947414774</v>
      </c>
      <c r="H41" s="195">
        <v>1.9682949061120321</v>
      </c>
      <c r="I41" s="195">
        <v>8.3065190909133904</v>
      </c>
      <c r="J41" s="195">
        <v>2.2124356973465851</v>
      </c>
      <c r="K41" s="195">
        <v>8.5556164471982648</v>
      </c>
      <c r="L41" s="195">
        <v>2.9989968049116347</v>
      </c>
      <c r="M41" s="195">
        <v>2.2549814000038353</v>
      </c>
      <c r="N41" s="195">
        <v>4.9149936396199063</v>
      </c>
      <c r="O41" s="195">
        <v>7.9244487946162971</v>
      </c>
      <c r="P41" s="195">
        <v>11.592210143766989</v>
      </c>
      <c r="Q41" s="195">
        <v>-9.1640610512162643E-2</v>
      </c>
      <c r="R41" s="195">
        <v>10.56541107189117</v>
      </c>
      <c r="S41" s="195"/>
      <c r="T41" s="195">
        <v>3.0914347745448993</v>
      </c>
      <c r="U41" s="195">
        <v>5.3029694271291214</v>
      </c>
      <c r="V41" s="195">
        <v>-0.33306489462359323</v>
      </c>
      <c r="W41" s="195">
        <v>5.3312225661302799</v>
      </c>
      <c r="X41" s="195">
        <v>8.7999018229524211</v>
      </c>
      <c r="Y41" s="195"/>
    </row>
    <row r="44" spans="4:59" ht="15">
      <c r="F44" s="194" t="s">
        <v>169</v>
      </c>
      <c r="G44" s="194" t="s">
        <v>341</v>
      </c>
    </row>
    <row r="45" spans="4:59" ht="15">
      <c r="F45" s="194" t="s">
        <v>23</v>
      </c>
      <c r="G45" s="322">
        <f>G33</f>
        <v>55.135262892286015</v>
      </c>
      <c r="AN45" s="103" t="s">
        <v>153</v>
      </c>
      <c r="AO45" s="103" t="s">
        <v>23</v>
      </c>
      <c r="AP45" s="103" t="s">
        <v>195</v>
      </c>
      <c r="AQ45" s="103" t="s">
        <v>21</v>
      </c>
      <c r="AR45" s="103" t="s">
        <v>26</v>
      </c>
      <c r="AS45" s="103" t="s">
        <v>20</v>
      </c>
      <c r="AT45" s="103" t="s">
        <v>204</v>
      </c>
      <c r="AU45" s="103" t="s">
        <v>66</v>
      </c>
      <c r="AV45" s="103" t="s">
        <v>67</v>
      </c>
      <c r="AW45" s="103" t="s">
        <v>68</v>
      </c>
      <c r="AX45" s="103" t="s">
        <v>69</v>
      </c>
      <c r="AY45" s="103" t="s">
        <v>70</v>
      </c>
      <c r="AZ45" s="103" t="s">
        <v>71</v>
      </c>
      <c r="BA45" s="103" t="s">
        <v>72</v>
      </c>
      <c r="BB45" s="103" t="s">
        <v>154</v>
      </c>
      <c r="BC45" s="103" t="s">
        <v>155</v>
      </c>
      <c r="BD45" s="103" t="s">
        <v>156</v>
      </c>
      <c r="BE45" s="103" t="s">
        <v>192</v>
      </c>
      <c r="BF45" s="103" t="s">
        <v>194</v>
      </c>
      <c r="BG45" s="103" t="s">
        <v>205</v>
      </c>
    </row>
    <row r="46" spans="4:59" ht="15">
      <c r="F46" s="194" t="s">
        <v>195</v>
      </c>
      <c r="G46" s="322">
        <f>H33</f>
        <v>261.79543098884392</v>
      </c>
      <c r="AN46" s="103" t="s">
        <v>150</v>
      </c>
      <c r="AO46" s="184">
        <v>3.9</v>
      </c>
      <c r="AP46" s="184">
        <v>12</v>
      </c>
      <c r="AQ46" s="184">
        <v>22</v>
      </c>
      <c r="AR46" s="184">
        <v>27</v>
      </c>
      <c r="AS46" s="184">
        <v>80</v>
      </c>
      <c r="AT46" s="184">
        <v>3.9</v>
      </c>
      <c r="AU46" s="184">
        <v>12.633333333333333</v>
      </c>
      <c r="AV46" s="184">
        <v>17.316666666666666</v>
      </c>
      <c r="AW46" s="184">
        <v>20.333333333333332</v>
      </c>
      <c r="AX46" s="184">
        <v>30</v>
      </c>
      <c r="AY46" s="184">
        <v>31.966666666666669</v>
      </c>
      <c r="AZ46" s="184">
        <v>35.300000000000004</v>
      </c>
      <c r="BA46" s="184">
        <v>38</v>
      </c>
      <c r="BB46" s="184">
        <v>41.949999999999996</v>
      </c>
      <c r="BC46" s="184">
        <v>43.300000000000004</v>
      </c>
      <c r="BD46" s="184">
        <v>51</v>
      </c>
      <c r="BE46" s="184">
        <v>59</v>
      </c>
      <c r="BF46" s="184">
        <v>70.333333333333329</v>
      </c>
      <c r="BG46" s="184">
        <v>80</v>
      </c>
    </row>
    <row r="47" spans="4:59" ht="15">
      <c r="F47" s="194" t="s">
        <v>21</v>
      </c>
      <c r="G47" s="322">
        <f>I33</f>
        <v>851.16224403501599</v>
      </c>
      <c r="AN47" s="103" t="s">
        <v>13</v>
      </c>
      <c r="AO47" s="103">
        <v>3</v>
      </c>
      <c r="AP47" s="103">
        <v>0</v>
      </c>
      <c r="AQ47" s="103">
        <v>0</v>
      </c>
      <c r="AR47" s="103">
        <v>0</v>
      </c>
      <c r="AS47" s="103">
        <v>0</v>
      </c>
      <c r="AT47" s="103">
        <v>3</v>
      </c>
      <c r="AU47" s="103">
        <v>1</v>
      </c>
      <c r="AV47" s="103">
        <v>0.5</v>
      </c>
      <c r="AW47" s="103">
        <v>0</v>
      </c>
      <c r="AX47" s="103">
        <v>0</v>
      </c>
      <c r="AY47" s="103">
        <v>1</v>
      </c>
      <c r="AZ47" s="103">
        <v>1</v>
      </c>
      <c r="BA47" s="103">
        <v>0</v>
      </c>
      <c r="BB47" s="103">
        <v>1.5</v>
      </c>
      <c r="BC47" s="103">
        <v>1</v>
      </c>
      <c r="BD47" s="103">
        <v>0</v>
      </c>
      <c r="BE47" s="103">
        <v>0</v>
      </c>
      <c r="BF47" s="103">
        <v>0</v>
      </c>
      <c r="BG47" s="103">
        <v>0</v>
      </c>
    </row>
    <row r="48" spans="4:59" ht="15">
      <c r="F48" s="194" t="s">
        <v>26</v>
      </c>
      <c r="G48" s="322">
        <f>J33</f>
        <v>1371.8834255375466</v>
      </c>
      <c r="AN48" s="103" t="s">
        <v>33</v>
      </c>
      <c r="AO48" s="103">
        <v>0</v>
      </c>
      <c r="AP48" s="103">
        <v>3</v>
      </c>
      <c r="AQ48" s="103">
        <v>0</v>
      </c>
      <c r="AR48" s="103">
        <v>0</v>
      </c>
      <c r="AS48" s="103">
        <v>0</v>
      </c>
      <c r="AT48" s="103">
        <v>0</v>
      </c>
      <c r="AU48" s="103">
        <v>1</v>
      </c>
      <c r="AV48" s="103">
        <v>0.5</v>
      </c>
      <c r="AW48" s="103">
        <v>0.5</v>
      </c>
      <c r="AX48" s="103">
        <v>0.5</v>
      </c>
      <c r="AY48" s="103">
        <v>1</v>
      </c>
      <c r="AZ48" s="103">
        <v>0</v>
      </c>
      <c r="BA48" s="103">
        <v>1</v>
      </c>
      <c r="BB48" s="103">
        <v>0</v>
      </c>
      <c r="BC48" s="103">
        <v>0.5</v>
      </c>
      <c r="BD48" s="103">
        <v>0</v>
      </c>
      <c r="BE48" s="103">
        <v>0.5</v>
      </c>
      <c r="BF48" s="103">
        <v>0</v>
      </c>
      <c r="BG48" s="103">
        <v>0</v>
      </c>
    </row>
    <row r="49" spans="6:59" ht="15">
      <c r="F49" s="194" t="s">
        <v>20</v>
      </c>
      <c r="G49" s="322">
        <f>K33</f>
        <v>5839.7313287563384</v>
      </c>
      <c r="AN49" s="103" t="s">
        <v>14</v>
      </c>
      <c r="AO49" s="103">
        <v>0</v>
      </c>
      <c r="AP49" s="103">
        <v>0</v>
      </c>
      <c r="AQ49" s="103">
        <v>3</v>
      </c>
      <c r="AR49" s="103">
        <v>0</v>
      </c>
      <c r="AS49" s="103">
        <v>0</v>
      </c>
      <c r="AT49" s="103">
        <v>0</v>
      </c>
      <c r="AU49" s="103">
        <v>1</v>
      </c>
      <c r="AV49" s="103">
        <v>2</v>
      </c>
      <c r="AW49" s="103">
        <v>2.5</v>
      </c>
      <c r="AX49" s="103">
        <v>2</v>
      </c>
      <c r="AY49" s="103">
        <v>0</v>
      </c>
      <c r="AZ49" s="103">
        <v>1</v>
      </c>
      <c r="BA49" s="103">
        <v>1</v>
      </c>
      <c r="BB49" s="103">
        <v>0</v>
      </c>
      <c r="BC49" s="103">
        <v>0</v>
      </c>
      <c r="BD49" s="103">
        <v>1.5</v>
      </c>
      <c r="BE49" s="103">
        <v>0.5</v>
      </c>
      <c r="BF49" s="103">
        <v>0.5</v>
      </c>
      <c r="BG49" s="103">
        <v>0</v>
      </c>
    </row>
    <row r="50" spans="6:59" ht="15">
      <c r="F50" s="194" t="s">
        <v>293</v>
      </c>
      <c r="G50" s="322">
        <f>M33</f>
        <v>222.05517181023859</v>
      </c>
      <c r="AN50" s="103" t="s">
        <v>196</v>
      </c>
      <c r="AO50" s="103">
        <v>0</v>
      </c>
      <c r="AP50" s="103">
        <v>0</v>
      </c>
      <c r="AQ50" s="103">
        <v>0</v>
      </c>
      <c r="AR50" s="103">
        <v>3</v>
      </c>
      <c r="AS50" s="103">
        <v>0</v>
      </c>
      <c r="AT50" s="103">
        <v>0</v>
      </c>
      <c r="AU50" s="103">
        <v>0</v>
      </c>
      <c r="AV50" s="103">
        <v>0</v>
      </c>
      <c r="AW50" s="103">
        <v>0</v>
      </c>
      <c r="AX50" s="103">
        <v>0</v>
      </c>
      <c r="AY50" s="103">
        <v>0</v>
      </c>
      <c r="AZ50" s="103">
        <v>0</v>
      </c>
      <c r="BA50" s="103">
        <v>0</v>
      </c>
      <c r="BB50" s="103">
        <v>0</v>
      </c>
      <c r="BC50" s="103">
        <v>0</v>
      </c>
      <c r="BD50" s="103">
        <v>0</v>
      </c>
      <c r="BE50" s="103">
        <v>0</v>
      </c>
      <c r="BF50" s="103">
        <v>0</v>
      </c>
      <c r="BG50" s="103">
        <v>0</v>
      </c>
    </row>
    <row r="51" spans="6:59" ht="15">
      <c r="F51" s="194" t="s">
        <v>324</v>
      </c>
      <c r="G51" s="322">
        <f>O33</f>
        <v>1583.5339330188704</v>
      </c>
      <c r="AN51" s="103" t="s">
        <v>34</v>
      </c>
      <c r="AO51" s="103">
        <v>0</v>
      </c>
      <c r="AP51" s="103">
        <v>0</v>
      </c>
      <c r="AQ51" s="103">
        <v>0</v>
      </c>
      <c r="AR51" s="103">
        <v>0</v>
      </c>
      <c r="AS51" s="103">
        <v>3</v>
      </c>
      <c r="AT51" s="103">
        <v>0</v>
      </c>
      <c r="AU51" s="103">
        <v>0</v>
      </c>
      <c r="AV51" s="103">
        <v>0</v>
      </c>
      <c r="AW51" s="103">
        <v>0</v>
      </c>
      <c r="AX51" s="103">
        <v>0.5</v>
      </c>
      <c r="AY51" s="103">
        <v>1</v>
      </c>
      <c r="AZ51" s="103">
        <v>1</v>
      </c>
      <c r="BA51" s="103">
        <v>1</v>
      </c>
      <c r="BB51" s="103">
        <v>1.5</v>
      </c>
      <c r="BC51" s="103">
        <v>1.5</v>
      </c>
      <c r="BD51" s="103">
        <v>1.5</v>
      </c>
      <c r="BE51" s="103">
        <v>2</v>
      </c>
      <c r="BF51" s="103">
        <v>2.5</v>
      </c>
      <c r="BG51" s="103">
        <v>3</v>
      </c>
    </row>
    <row r="52" spans="6:59" ht="15">
      <c r="F52" s="194" t="s">
        <v>325</v>
      </c>
      <c r="G52" s="322">
        <f>R33</f>
        <v>2369.9586973071814</v>
      </c>
      <c r="AN52" s="103" t="s">
        <v>206</v>
      </c>
      <c r="AO52" s="103">
        <v>3</v>
      </c>
      <c r="AP52" s="103">
        <v>3</v>
      </c>
      <c r="AQ52" s="103">
        <v>3</v>
      </c>
      <c r="AR52" s="103">
        <v>3</v>
      </c>
      <c r="AS52" s="103">
        <v>3</v>
      </c>
      <c r="AT52" s="103">
        <v>3</v>
      </c>
      <c r="AU52" s="103">
        <v>3</v>
      </c>
      <c r="AV52" s="103">
        <v>3</v>
      </c>
      <c r="AW52" s="103">
        <v>3</v>
      </c>
      <c r="AX52" s="103">
        <v>3</v>
      </c>
      <c r="AY52" s="103">
        <v>3</v>
      </c>
      <c r="AZ52" s="103">
        <v>3</v>
      </c>
      <c r="BA52" s="103">
        <v>3</v>
      </c>
      <c r="BB52" s="103">
        <v>3</v>
      </c>
      <c r="BC52" s="103">
        <v>3</v>
      </c>
      <c r="BD52" s="103">
        <v>3</v>
      </c>
      <c r="BE52" s="103">
        <v>3</v>
      </c>
      <c r="BF52" s="103">
        <v>3</v>
      </c>
      <c r="BG52" s="103">
        <v>3</v>
      </c>
    </row>
    <row r="53" spans="6:59" ht="15">
      <c r="F53" s="194" t="s">
        <v>326</v>
      </c>
      <c r="G53" s="322">
        <f>S33</f>
        <v>2152.6501253183101</v>
      </c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</row>
    <row r="54" spans="6:59" ht="15">
      <c r="F54" s="194" t="s">
        <v>327</v>
      </c>
      <c r="G54" s="322">
        <f>Q33</f>
        <v>2422.7239987727958</v>
      </c>
    </row>
    <row r="55" spans="6:59" ht="15">
      <c r="F55" s="194" t="s">
        <v>328</v>
      </c>
      <c r="G55" s="322">
        <f>N33</f>
        <v>575.14690728694825</v>
      </c>
      <c r="BA55" s="102">
        <v>0.84970000000000001</v>
      </c>
    </row>
    <row r="56" spans="6:59" ht="15">
      <c r="F56" s="194" t="s">
        <v>329</v>
      </c>
      <c r="G56" s="322">
        <f>P33</f>
        <v>1427.4595292848398</v>
      </c>
      <c r="BA56" s="102">
        <v>79</v>
      </c>
    </row>
    <row r="57" spans="6:59" ht="15">
      <c r="F57" s="194" t="s">
        <v>129</v>
      </c>
      <c r="G57" s="322">
        <f>T33</f>
        <v>2009.894310104198</v>
      </c>
      <c r="BA57" s="102">
        <v>79.3</v>
      </c>
    </row>
    <row r="58" spans="6:59" ht="15">
      <c r="F58" s="194" t="s">
        <v>131</v>
      </c>
      <c r="G58" s="322">
        <f>V33</f>
        <v>593.779735730212</v>
      </c>
      <c r="BA58" s="102">
        <v>8.8699999999999992</v>
      </c>
    </row>
    <row r="59" spans="6:59" ht="15">
      <c r="F59" s="194" t="s">
        <v>132</v>
      </c>
      <c r="G59" s="322">
        <f>U33</f>
        <v>1446.1929093989108</v>
      </c>
      <c r="BA59" s="196">
        <v>9.9999999999999998E-17</v>
      </c>
    </row>
    <row r="60" spans="6:59" ht="15">
      <c r="F60" s="194" t="s">
        <v>133</v>
      </c>
      <c r="G60" s="322">
        <f>W33</f>
        <v>4490.4605596412421</v>
      </c>
      <c r="BA60" s="196">
        <v>9.9999999999999995E-8</v>
      </c>
    </row>
    <row r="61" spans="6:59" ht="15">
      <c r="F61" s="194" t="s">
        <v>330</v>
      </c>
      <c r="G61" s="322">
        <f>X33</f>
        <v>5846.6622544538914</v>
      </c>
      <c r="BA61" s="196">
        <v>1000000000</v>
      </c>
    </row>
    <row r="62" spans="6:59" ht="15">
      <c r="F62" s="194" t="s">
        <v>331</v>
      </c>
      <c r="G62" s="322">
        <f>Y33</f>
        <v>13480.490395962423</v>
      </c>
      <c r="BA62" s="196">
        <v>6.4800000000000002E-18</v>
      </c>
    </row>
    <row r="63" spans="6:59">
      <c r="BA63" s="196">
        <v>1.2300000000000001E-5</v>
      </c>
    </row>
    <row r="64" spans="6:59">
      <c r="BA64" s="196">
        <v>1890000000000</v>
      </c>
    </row>
    <row r="66" spans="6:8" ht="12.75" thickBot="1"/>
    <row r="67" spans="6:8" ht="86.25" thickBot="1">
      <c r="F67" s="323" t="s">
        <v>169</v>
      </c>
      <c r="G67" s="323" t="s">
        <v>342</v>
      </c>
      <c r="H67" s="324" t="s">
        <v>343</v>
      </c>
    </row>
    <row r="68" spans="6:8" ht="29.25" thickBot="1">
      <c r="F68" s="325" t="s">
        <v>23</v>
      </c>
      <c r="G68" s="326">
        <v>3.9</v>
      </c>
      <c r="H68" s="327" t="s">
        <v>344</v>
      </c>
    </row>
    <row r="69" spans="6:8" ht="86.25" thickBot="1">
      <c r="F69" s="325" t="s">
        <v>20</v>
      </c>
      <c r="G69" s="325" t="s">
        <v>345</v>
      </c>
      <c r="H69" s="327" t="s">
        <v>346</v>
      </c>
    </row>
    <row r="70" spans="6:8" ht="43.5" thickBot="1">
      <c r="F70" s="325" t="s">
        <v>26</v>
      </c>
      <c r="G70" s="325" t="s">
        <v>347</v>
      </c>
      <c r="H70" s="327" t="s">
        <v>348</v>
      </c>
    </row>
    <row r="71" spans="6:8" ht="29.25" thickBot="1">
      <c r="F71" s="325" t="s">
        <v>195</v>
      </c>
      <c r="G71" s="325" t="s">
        <v>349</v>
      </c>
      <c r="H71" s="327" t="s">
        <v>350</v>
      </c>
    </row>
    <row r="72" spans="6:8" ht="15" thickBot="1">
      <c r="F72" s="325" t="s">
        <v>21</v>
      </c>
      <c r="G72" s="325" t="s">
        <v>351</v>
      </c>
      <c r="H72" s="327" t="s">
        <v>352</v>
      </c>
    </row>
    <row r="108" spans="1:59" s="169" customFormat="1" ht="21">
      <c r="A108" s="102"/>
      <c r="B108" s="102"/>
      <c r="C108" s="102"/>
      <c r="D108" s="216" t="s">
        <v>199</v>
      </c>
      <c r="E108" s="216"/>
      <c r="F108" s="181"/>
      <c r="G108" s="231"/>
      <c r="H108" s="231"/>
      <c r="I108" s="234"/>
      <c r="J108" s="234"/>
      <c r="K108" s="234"/>
      <c r="L108" s="231"/>
      <c r="N108" s="108"/>
      <c r="P108" s="108"/>
      <c r="Q108" s="108"/>
      <c r="R108" s="108"/>
      <c r="S108" s="108"/>
      <c r="U108" s="108"/>
      <c r="W108" s="108"/>
      <c r="X108" s="108"/>
      <c r="Y108" s="108"/>
      <c r="Z108" s="229"/>
      <c r="AA108" s="160"/>
      <c r="AB108" s="160"/>
      <c r="AC108" s="160"/>
      <c r="AD108" s="108"/>
      <c r="AE108" s="151"/>
      <c r="AF108" s="143"/>
      <c r="AG108" s="143"/>
      <c r="AH108" s="143"/>
      <c r="AI108" s="143"/>
      <c r="AJ108" s="143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</row>
    <row r="109" spans="1:59" s="169" customFormat="1" ht="21">
      <c r="A109" s="102"/>
      <c r="B109" s="102"/>
      <c r="C109" s="102"/>
      <c r="D109" s="216" t="s">
        <v>202</v>
      </c>
      <c r="E109" s="216"/>
      <c r="F109" s="181"/>
      <c r="G109" s="231"/>
      <c r="H109" s="231"/>
      <c r="I109" s="234"/>
      <c r="J109" s="234"/>
      <c r="K109" s="234"/>
      <c r="L109" s="231"/>
      <c r="N109" s="108"/>
      <c r="P109" s="108"/>
      <c r="Q109" s="108"/>
      <c r="R109" s="108"/>
      <c r="S109" s="108"/>
      <c r="U109" s="108"/>
      <c r="W109" s="108"/>
      <c r="X109" s="108"/>
      <c r="Y109" s="108"/>
      <c r="Z109" s="229"/>
      <c r="AA109" s="160"/>
      <c r="AB109" s="160"/>
      <c r="AC109" s="160"/>
      <c r="AD109" s="108"/>
      <c r="AE109" s="151"/>
      <c r="AF109" s="143"/>
      <c r="AG109" s="143"/>
      <c r="AH109" s="143"/>
      <c r="AI109" s="143"/>
      <c r="AJ109" s="143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</row>
    <row r="110" spans="1:59" s="169" customFormat="1" ht="21">
      <c r="A110" s="102"/>
      <c r="B110" s="102"/>
      <c r="C110" s="102"/>
      <c r="D110" s="216" t="s">
        <v>200</v>
      </c>
      <c r="E110" s="216"/>
      <c r="F110" s="181"/>
      <c r="G110" s="231"/>
      <c r="H110" s="231"/>
      <c r="I110" s="234"/>
      <c r="J110" s="234"/>
      <c r="K110" s="234"/>
      <c r="L110" s="231"/>
      <c r="N110" s="108"/>
      <c r="P110" s="108"/>
      <c r="Q110" s="108"/>
      <c r="R110" s="108"/>
      <c r="S110" s="108"/>
      <c r="U110" s="108"/>
      <c r="W110" s="108"/>
      <c r="X110" s="108"/>
      <c r="Y110" s="108"/>
      <c r="Z110" s="229"/>
      <c r="AA110" s="160"/>
      <c r="AB110" s="160"/>
      <c r="AC110" s="160"/>
      <c r="AD110" s="108"/>
      <c r="AE110" s="151"/>
      <c r="AF110" s="143"/>
      <c r="AG110" s="143"/>
      <c r="AH110" s="143"/>
      <c r="AI110" s="143"/>
      <c r="AJ110" s="143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</row>
    <row r="111" spans="1:59" s="169" customFormat="1" ht="21">
      <c r="A111" s="102"/>
      <c r="B111" s="102"/>
      <c r="C111" s="102"/>
      <c r="D111" s="216" t="s">
        <v>201</v>
      </c>
      <c r="E111" s="216"/>
      <c r="F111" s="181"/>
      <c r="G111" s="231"/>
      <c r="H111" s="231"/>
      <c r="I111" s="234"/>
      <c r="J111" s="234"/>
      <c r="K111" s="234"/>
      <c r="L111" s="231"/>
      <c r="N111" s="108"/>
      <c r="P111" s="108"/>
      <c r="Q111" s="108"/>
      <c r="R111" s="108"/>
      <c r="S111" s="108"/>
      <c r="U111" s="108"/>
      <c r="W111" s="108"/>
      <c r="X111" s="108"/>
      <c r="Y111" s="108"/>
      <c r="Z111" s="229"/>
      <c r="AA111" s="160"/>
      <c r="AB111" s="160"/>
      <c r="AC111" s="160"/>
      <c r="AD111" s="108"/>
      <c r="AE111" s="151"/>
      <c r="AF111" s="143"/>
      <c r="AG111" s="143"/>
      <c r="AH111" s="143"/>
      <c r="AI111" s="143"/>
      <c r="AJ111" s="143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</row>
    <row r="112" spans="1:59" s="169" customFormat="1" ht="21">
      <c r="A112" s="102"/>
      <c r="B112" s="102"/>
      <c r="C112" s="102"/>
      <c r="D112" s="216" t="s">
        <v>203</v>
      </c>
      <c r="E112" s="216"/>
      <c r="F112" s="181"/>
      <c r="G112" s="231"/>
      <c r="H112" s="231"/>
      <c r="I112" s="234"/>
      <c r="J112" s="234"/>
      <c r="K112" s="234"/>
      <c r="L112" s="231"/>
      <c r="N112" s="108"/>
      <c r="P112" s="108"/>
      <c r="Q112" s="108"/>
      <c r="R112" s="108"/>
      <c r="S112" s="108"/>
      <c r="U112" s="108"/>
      <c r="W112" s="108"/>
      <c r="X112" s="108"/>
      <c r="Y112" s="108"/>
      <c r="Z112" s="229"/>
      <c r="AA112" s="160"/>
      <c r="AB112" s="160"/>
      <c r="AC112" s="160"/>
      <c r="AD112" s="108"/>
      <c r="AE112" s="151"/>
      <c r="AF112" s="143"/>
      <c r="AG112" s="143"/>
      <c r="AH112" s="143"/>
      <c r="AI112" s="143"/>
      <c r="AJ112" s="143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</row>
    <row r="113" spans="1:59" s="169" customFormat="1" ht="21">
      <c r="A113" s="102"/>
      <c r="B113" s="102"/>
      <c r="C113" s="102"/>
      <c r="D113" s="217"/>
      <c r="E113" s="217"/>
      <c r="F113" s="102"/>
      <c r="G113" s="232"/>
      <c r="H113" s="232"/>
      <c r="I113" s="233"/>
      <c r="J113" s="233"/>
      <c r="K113" s="233"/>
      <c r="L113" s="228"/>
      <c r="N113" s="108"/>
      <c r="P113" s="108"/>
      <c r="Q113" s="108"/>
      <c r="R113" s="108"/>
      <c r="S113" s="108"/>
      <c r="U113" s="108"/>
      <c r="W113" s="108"/>
      <c r="X113" s="108"/>
      <c r="Y113" s="108"/>
      <c r="Z113" s="229"/>
      <c r="AA113" s="160"/>
      <c r="AB113" s="160"/>
      <c r="AC113" s="160"/>
      <c r="AD113" s="108"/>
      <c r="AE113" s="151"/>
      <c r="AF113" s="143"/>
      <c r="AG113" s="143"/>
      <c r="AH113" s="143"/>
      <c r="AI113" s="143"/>
      <c r="AJ113" s="143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</row>
    <row r="114" spans="1:59" s="169" customFormat="1" ht="21">
      <c r="A114" s="102"/>
      <c r="B114" s="102"/>
      <c r="C114" s="102"/>
      <c r="D114" s="217"/>
      <c r="E114" s="217"/>
      <c r="F114" s="102"/>
      <c r="G114" s="232"/>
      <c r="H114" s="232"/>
      <c r="I114" s="233"/>
      <c r="J114" s="233"/>
      <c r="K114" s="233"/>
      <c r="L114" s="228"/>
      <c r="N114" s="108"/>
      <c r="P114" s="108"/>
      <c r="Q114" s="108"/>
      <c r="R114" s="108"/>
      <c r="S114" s="108"/>
      <c r="U114" s="108"/>
      <c r="W114" s="108"/>
      <c r="X114" s="108"/>
      <c r="Y114" s="108"/>
      <c r="Z114" s="229"/>
      <c r="AA114" s="160"/>
      <c r="AB114" s="160"/>
      <c r="AC114" s="160"/>
      <c r="AD114" s="108"/>
      <c r="AE114" s="151"/>
      <c r="AF114" s="143"/>
      <c r="AG114" s="143"/>
      <c r="AH114" s="143"/>
      <c r="AI114" s="143"/>
      <c r="AJ114" s="143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</row>
    <row r="115" spans="1:59" s="169" customFormat="1" ht="21">
      <c r="A115" s="102"/>
      <c r="B115" s="102"/>
      <c r="C115" s="102"/>
      <c r="D115" s="217"/>
      <c r="E115" s="217"/>
      <c r="F115" s="102"/>
      <c r="G115" s="232"/>
      <c r="H115" s="232"/>
      <c r="I115" s="233"/>
      <c r="J115" s="233"/>
      <c r="K115" s="233"/>
      <c r="L115" s="228"/>
      <c r="N115" s="108"/>
      <c r="P115" s="108"/>
      <c r="Q115" s="108"/>
      <c r="R115" s="108"/>
      <c r="S115" s="108"/>
      <c r="U115" s="108"/>
      <c r="W115" s="108"/>
      <c r="X115" s="108"/>
      <c r="Y115" s="108"/>
      <c r="Z115" s="229"/>
      <c r="AA115" s="160"/>
      <c r="AB115" s="160"/>
      <c r="AC115" s="160"/>
      <c r="AD115" s="108"/>
      <c r="AE115" s="151"/>
      <c r="AF115" s="143"/>
      <c r="AG115" s="143"/>
      <c r="AH115" s="143"/>
      <c r="AI115" s="143"/>
      <c r="AJ115" s="143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</row>
  </sheetData>
  <mergeCells count="1">
    <mergeCell ref="E15:E17"/>
  </mergeCells>
  <conditionalFormatting sqref="G45:G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J37 L37:M37 R37:U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:J41 L41:M41 R41:U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Z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W221"/>
  <sheetViews>
    <sheetView topLeftCell="A14" zoomScale="106" zoomScaleNormal="115" workbookViewId="0">
      <selection activeCell="J42" sqref="J42"/>
    </sheetView>
  </sheetViews>
  <sheetFormatPr defaultRowHeight="15"/>
  <cols>
    <col min="1" max="1" width="17.7109375" bestFit="1" customWidth="1"/>
    <col min="2" max="2" width="5.42578125" customWidth="1"/>
    <col min="3" max="3" width="9.140625" style="102" customWidth="1"/>
    <col min="4" max="4" width="5.7109375" style="102" bestFit="1" customWidth="1"/>
    <col min="5" max="5" width="7.28515625" style="338" bestFit="1" customWidth="1"/>
    <col min="6" max="13" width="5.7109375" style="102" bestFit="1" customWidth="1"/>
    <col min="14" max="14" width="6.140625" style="102" bestFit="1" customWidth="1"/>
    <col min="15" max="15" width="5.7109375" style="102" bestFit="1" customWidth="1"/>
    <col min="16" max="16" width="4.7109375" bestFit="1" customWidth="1"/>
    <col min="17" max="17" width="8.28515625" bestFit="1" customWidth="1"/>
    <col min="19" max="19" width="13.7109375" bestFit="1" customWidth="1"/>
    <col min="20" max="20" width="4.5703125" bestFit="1" customWidth="1"/>
    <col min="22" max="22" width="12.85546875" style="1" bestFit="1" customWidth="1"/>
    <col min="23" max="23" width="13.7109375" style="1" bestFit="1" customWidth="1"/>
  </cols>
  <sheetData>
    <row r="3" spans="1:23">
      <c r="E3" s="340" t="s">
        <v>169</v>
      </c>
      <c r="F3" s="339" t="s">
        <v>23</v>
      </c>
      <c r="G3" s="339" t="s">
        <v>195</v>
      </c>
      <c r="H3" s="339" t="s">
        <v>21</v>
      </c>
      <c r="I3" s="339" t="s">
        <v>26</v>
      </c>
      <c r="J3" s="339" t="s">
        <v>20</v>
      </c>
    </row>
    <row r="4" spans="1:23">
      <c r="E4" s="337"/>
      <c r="F4" s="334">
        <v>3.9</v>
      </c>
      <c r="G4" s="334">
        <v>12</v>
      </c>
      <c r="H4" s="334">
        <v>25</v>
      </c>
      <c r="I4" s="334">
        <v>30</v>
      </c>
      <c r="J4" s="334">
        <v>95</v>
      </c>
    </row>
    <row r="5" spans="1:23">
      <c r="E5" s="337" t="s">
        <v>374</v>
      </c>
      <c r="F5" s="334">
        <v>1.42</v>
      </c>
      <c r="G5" s="334">
        <v>2.59</v>
      </c>
      <c r="H5" s="334">
        <v>4.47</v>
      </c>
      <c r="I5" s="334">
        <v>5.19</v>
      </c>
      <c r="J5" s="334">
        <v>14.58</v>
      </c>
    </row>
    <row r="6" spans="1:23">
      <c r="E6" s="337" t="s">
        <v>375</v>
      </c>
      <c r="F6" s="334">
        <v>2.0699999999999998</v>
      </c>
      <c r="G6" s="334">
        <v>5.07</v>
      </c>
      <c r="H6" s="334">
        <v>9.89</v>
      </c>
      <c r="I6" s="334">
        <v>11.74</v>
      </c>
      <c r="J6" s="334">
        <v>35.81</v>
      </c>
    </row>
    <row r="7" spans="1:23">
      <c r="E7" s="337" t="s">
        <v>376</v>
      </c>
      <c r="F7" s="334">
        <v>2.59</v>
      </c>
      <c r="G7" s="334">
        <v>7.05</v>
      </c>
      <c r="H7" s="334">
        <v>14.19</v>
      </c>
      <c r="I7" s="334">
        <v>16.940000000000001</v>
      </c>
      <c r="J7" s="334">
        <v>52.67</v>
      </c>
    </row>
    <row r="8" spans="1:23">
      <c r="E8" s="337" t="s">
        <v>372</v>
      </c>
      <c r="F8" s="334">
        <v>2.95</v>
      </c>
      <c r="G8" s="334">
        <v>8.39</v>
      </c>
      <c r="H8" s="334">
        <v>17.13</v>
      </c>
      <c r="I8" s="334">
        <v>20.49</v>
      </c>
      <c r="J8" s="334">
        <v>64.16</v>
      </c>
    </row>
    <row r="9" spans="1:23">
      <c r="E9" s="337" t="s">
        <v>377</v>
      </c>
      <c r="F9" s="334">
        <v>3.19</v>
      </c>
      <c r="G9" s="334">
        <v>9.2899999999999991</v>
      </c>
      <c r="H9" s="334">
        <v>19.09</v>
      </c>
      <c r="I9" s="334">
        <v>22.86</v>
      </c>
      <c r="J9" s="334">
        <v>71.849999999999994</v>
      </c>
    </row>
    <row r="10" spans="1:23">
      <c r="E10" s="337" t="s">
        <v>373</v>
      </c>
      <c r="F10" s="334">
        <v>3.35</v>
      </c>
      <c r="G10" s="334">
        <v>9.9</v>
      </c>
      <c r="H10" s="334">
        <v>20.43</v>
      </c>
      <c r="I10" s="334">
        <v>24.48</v>
      </c>
      <c r="J10" s="334">
        <v>77.09</v>
      </c>
    </row>
    <row r="11" spans="1:23">
      <c r="D11" s="334"/>
      <c r="E11" s="337"/>
      <c r="F11" s="334"/>
      <c r="G11" s="334"/>
      <c r="H11" s="334"/>
      <c r="I11" s="334"/>
    </row>
    <row r="13" spans="1:23">
      <c r="A13" s="307" t="s">
        <v>169</v>
      </c>
      <c r="B13" s="307"/>
      <c r="C13" s="343" t="s">
        <v>293</v>
      </c>
      <c r="D13" s="343" t="s">
        <v>328</v>
      </c>
      <c r="E13" s="343" t="s">
        <v>324</v>
      </c>
      <c r="F13" s="343" t="s">
        <v>329</v>
      </c>
      <c r="G13" s="343" t="s">
        <v>327</v>
      </c>
      <c r="H13" s="343" t="s">
        <v>325</v>
      </c>
      <c r="I13" s="343" t="s">
        <v>326</v>
      </c>
      <c r="J13" s="343" t="s">
        <v>129</v>
      </c>
      <c r="K13" s="343" t="s">
        <v>132</v>
      </c>
      <c r="L13" s="343" t="s">
        <v>131</v>
      </c>
      <c r="M13" s="343" t="s">
        <v>133</v>
      </c>
      <c r="N13" s="343" t="s">
        <v>330</v>
      </c>
      <c r="O13" s="343" t="s">
        <v>331</v>
      </c>
      <c r="Q13" s="307"/>
    </row>
    <row r="14" spans="1:23">
      <c r="A14" s="308" t="s">
        <v>366</v>
      </c>
      <c r="B14" s="308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N14" s="344"/>
      <c r="O14" s="344"/>
      <c r="Q14" s="308"/>
      <c r="V14" s="1" t="s">
        <v>22</v>
      </c>
      <c r="W14" s="1" t="s">
        <v>366</v>
      </c>
    </row>
    <row r="15" spans="1:23">
      <c r="V15" s="1">
        <v>0.1</v>
      </c>
      <c r="W15" s="1">
        <f>1+($Q$23-1)/(1+1.7/(V15)^1.8)</f>
        <v>1.8682580227167134</v>
      </c>
    </row>
    <row r="16" spans="1:23">
      <c r="V16" s="1">
        <v>0.2</v>
      </c>
      <c r="W16" s="1">
        <f t="shared" ref="W16:W79" si="0">1+($Q$23-1)/(1+1.7/(V16)^1.8)</f>
        <v>3.955683391351033</v>
      </c>
    </row>
    <row r="17" spans="1:23">
      <c r="A17" s="307" t="s">
        <v>169</v>
      </c>
      <c r="B17" s="307" t="s">
        <v>23</v>
      </c>
      <c r="C17" s="307" t="s">
        <v>293</v>
      </c>
      <c r="D17" s="307" t="s">
        <v>324</v>
      </c>
      <c r="E17" s="307" t="s">
        <v>325</v>
      </c>
      <c r="F17" s="307" t="s">
        <v>326</v>
      </c>
      <c r="G17" s="307" t="s">
        <v>327</v>
      </c>
      <c r="H17" s="307" t="s">
        <v>328</v>
      </c>
      <c r="I17" s="307" t="s">
        <v>329</v>
      </c>
      <c r="J17" s="307" t="s">
        <v>129</v>
      </c>
      <c r="K17" s="307" t="s">
        <v>131</v>
      </c>
      <c r="L17" s="307" t="s">
        <v>132</v>
      </c>
      <c r="M17" s="307" t="s">
        <v>133</v>
      </c>
      <c r="N17" s="307" t="s">
        <v>330</v>
      </c>
      <c r="O17" s="307" t="s">
        <v>331</v>
      </c>
      <c r="P17" s="307" t="s">
        <v>20</v>
      </c>
      <c r="Q17" s="307" t="s">
        <v>371</v>
      </c>
      <c r="V17" s="1">
        <v>0.3</v>
      </c>
      <c r="W17" s="1">
        <f t="shared" si="0"/>
        <v>6.9318250487499125</v>
      </c>
    </row>
    <row r="18" spans="1:23" hidden="1">
      <c r="A18" s="308" t="s">
        <v>336</v>
      </c>
      <c r="B18" s="308"/>
      <c r="C18" s="308">
        <f>FinFET_v97_QTUNN_FN_SCHENK_BBT_!M11</f>
        <v>7.9000675219446324</v>
      </c>
      <c r="D18" s="308">
        <f>FinFET_v97_QTUNN_FN_SCHENK_BBT_!R11</f>
        <v>8.5648237333847046</v>
      </c>
      <c r="E18" s="308">
        <f>FinFET_v97_QTUNN_FN_SCHENK_BBT_!N11</f>
        <v>12.006157003591586</v>
      </c>
      <c r="F18" s="308">
        <f>FinFET_v97_QTUNN_FN_SCHENK_BBT_!S11</f>
        <v>9.774006331340134</v>
      </c>
      <c r="G18" s="308">
        <f>FinFET_v97_QTUNN_FN_SCHENK_BBT_!Q11</f>
        <v>23.635107118175537</v>
      </c>
      <c r="H18" s="308">
        <f>FinFET_v97_QTUNN_FN_SCHENK_BBT_!O11</f>
        <v>13.146067415730338</v>
      </c>
      <c r="I18" s="308">
        <f>FinFET_v97_QTUNN_FN_SCHENK_BBT_!P11</f>
        <v>21.176470588235293</v>
      </c>
      <c r="J18" s="308">
        <f>FinFET_v97_QTUNN_FN_SCHENK_BBT_!T11</f>
        <v>22.411533420707734</v>
      </c>
      <c r="K18" s="308">
        <f>FinFET_v97_QTUNN_FN_SCHENK_BBT_!V11</f>
        <v>9.5582070299903261</v>
      </c>
      <c r="L18" s="308">
        <f>FinFET_v97_QTUNN_FN_SCHENK_BBT_!U11</f>
        <v>7.492416582406471</v>
      </c>
      <c r="M18" s="308">
        <f>FinFET_v97_QTUNN_FN_SCHENK_BBT_!W11</f>
        <v>39.583333333333336</v>
      </c>
      <c r="N18" s="308">
        <f>FinFET_v97_QTUNN_FN_SCHENK_BBT_!X11</f>
        <v>36.267232237539773</v>
      </c>
      <c r="O18" s="308">
        <f>FinFET_v97_QTUNN_FN_SCHENK_BBT_!Y11</f>
        <v>64.772727272727266</v>
      </c>
      <c r="P18" s="308"/>
      <c r="Q18" s="308"/>
      <c r="V18" s="1">
        <v>0.4</v>
      </c>
      <c r="W18" s="1">
        <f t="shared" si="0"/>
        <v>10.547142635319226</v>
      </c>
    </row>
    <row r="19" spans="1:23">
      <c r="A19" s="308" t="s">
        <v>354</v>
      </c>
      <c r="B19" s="328">
        <v>3</v>
      </c>
      <c r="C19" s="328">
        <f>FinFET_v98_HEI_HHI!M5</f>
        <v>1</v>
      </c>
      <c r="D19" s="328">
        <f>FinFET_v98_HEI_HHI!R5</f>
        <v>1</v>
      </c>
      <c r="E19" s="328">
        <f>FinFET_v98_HEI_HHI!N5</f>
        <v>0.5</v>
      </c>
      <c r="F19" s="328">
        <f>FinFET_v98_HEI_HHI!S5</f>
        <v>1</v>
      </c>
      <c r="G19" s="328">
        <f>FinFET_v98_HEI_HHI!Q5</f>
        <v>0</v>
      </c>
      <c r="H19" s="328">
        <f>FinFET_v98_HEI_HHI!O5</f>
        <v>0.5</v>
      </c>
      <c r="I19" s="328">
        <f>FinFET_v98_HEI_HHI!P5</f>
        <v>0</v>
      </c>
      <c r="J19" s="328">
        <f>FinFET_v98_HEI_HHI!T5</f>
        <v>0</v>
      </c>
      <c r="K19" s="328">
        <f>FinFET_v98_HEI_HHI!V5</f>
        <v>1</v>
      </c>
      <c r="L19" s="328">
        <f>FinFET_v98_HEI_HHI!U5</f>
        <v>1.5</v>
      </c>
      <c r="M19" s="328">
        <f>FinFET_v98_HEI_HHI!W5</f>
        <v>0</v>
      </c>
      <c r="N19" s="328">
        <f>FinFET_v98_HEI_HHI!X5</f>
        <v>0</v>
      </c>
      <c r="O19" s="328">
        <f>FinFET_v98_HEI_HHI!Y5</f>
        <v>0</v>
      </c>
      <c r="P19" s="328">
        <v>0</v>
      </c>
      <c r="Q19" s="333">
        <v>3.9</v>
      </c>
      <c r="V19" s="1">
        <v>0.6</v>
      </c>
      <c r="W19" s="1">
        <f t="shared" si="0"/>
        <v>18.858492653058445</v>
      </c>
    </row>
    <row r="20" spans="1:23">
      <c r="A20" s="308" t="s">
        <v>355</v>
      </c>
      <c r="B20" s="328">
        <v>0</v>
      </c>
      <c r="C20" s="328">
        <f>FinFET_v98_HEI_HHI!M6</f>
        <v>1</v>
      </c>
      <c r="D20" s="328">
        <f>FinFET_v98_HEI_HHI!R6</f>
        <v>1</v>
      </c>
      <c r="E20" s="328">
        <f>FinFET_v98_HEI_HHI!N6</f>
        <v>0.5</v>
      </c>
      <c r="F20" s="328">
        <f>FinFET_v98_HEI_HHI!S6</f>
        <v>0</v>
      </c>
      <c r="G20" s="328">
        <f>FinFET_v98_HEI_HHI!Q6</f>
        <v>0.5</v>
      </c>
      <c r="H20" s="328">
        <f>FinFET_v98_HEI_HHI!O6</f>
        <v>0</v>
      </c>
      <c r="I20" s="328">
        <f>FinFET_v98_HEI_HHI!P6</f>
        <v>0.5</v>
      </c>
      <c r="J20" s="328">
        <f>FinFET_v98_HEI_HHI!T6</f>
        <v>1</v>
      </c>
      <c r="K20" s="328">
        <f>FinFET_v98_HEI_HHI!V6</f>
        <v>0.5</v>
      </c>
      <c r="L20" s="328">
        <f>FinFET_v98_HEI_HHI!U6</f>
        <v>0</v>
      </c>
      <c r="M20" s="328">
        <f>FinFET_v98_HEI_HHI!W6</f>
        <v>0</v>
      </c>
      <c r="N20" s="328">
        <f>FinFET_v98_HEI_HHI!X6</f>
        <v>0.5</v>
      </c>
      <c r="O20" s="328">
        <f>FinFET_v98_HEI_HHI!Y6</f>
        <v>0</v>
      </c>
      <c r="P20" s="328">
        <v>0</v>
      </c>
      <c r="Q20" s="333">
        <v>12</v>
      </c>
      <c r="V20" s="1">
        <v>0.7</v>
      </c>
      <c r="W20" s="1">
        <f t="shared" si="0"/>
        <v>23.219490151563345</v>
      </c>
    </row>
    <row r="21" spans="1:23">
      <c r="A21" s="308" t="s">
        <v>356</v>
      </c>
      <c r="B21" s="328">
        <v>0</v>
      </c>
      <c r="C21" s="328">
        <f>FinFET_v98_HEI_HHI!M7</f>
        <v>1</v>
      </c>
      <c r="D21" s="328">
        <f>FinFET_v98_HEI_HHI!R7</f>
        <v>0</v>
      </c>
      <c r="E21" s="328">
        <f>FinFET_v98_HEI_HHI!N7</f>
        <v>2</v>
      </c>
      <c r="F21" s="328">
        <f>FinFET_v98_HEI_HHI!S7</f>
        <v>1</v>
      </c>
      <c r="G21" s="328">
        <f>FinFET_v98_HEI_HHI!Q7</f>
        <v>2</v>
      </c>
      <c r="H21" s="328">
        <f>FinFET_v98_HEI_HHI!O7</f>
        <v>2.5</v>
      </c>
      <c r="I21" s="328">
        <f>FinFET_v98_HEI_HHI!P7</f>
        <v>2.5</v>
      </c>
      <c r="J21" s="328">
        <f>FinFET_v98_HEI_HHI!T7</f>
        <v>1</v>
      </c>
      <c r="K21" s="328">
        <f>FinFET_v98_HEI_HHI!V7</f>
        <v>0</v>
      </c>
      <c r="L21" s="328">
        <f>FinFET_v98_HEI_HHI!U7</f>
        <v>0</v>
      </c>
      <c r="M21" s="328">
        <f>FinFET_v98_HEI_HHI!W7</f>
        <v>1.5</v>
      </c>
      <c r="N21" s="328">
        <f>FinFET_v98_HEI_HHI!X7</f>
        <v>0.5</v>
      </c>
      <c r="O21" s="328">
        <f>FinFET_v98_HEI_HHI!Y7</f>
        <v>0.5</v>
      </c>
      <c r="P21" s="328">
        <v>0</v>
      </c>
      <c r="Q21" s="333">
        <v>25</v>
      </c>
      <c r="V21" s="1">
        <v>0.8</v>
      </c>
      <c r="W21" s="1">
        <f t="shared" si="0"/>
        <v>27.551337242024935</v>
      </c>
    </row>
    <row r="22" spans="1:23">
      <c r="A22" s="308" t="s">
        <v>357</v>
      </c>
      <c r="B22" s="328">
        <v>0</v>
      </c>
      <c r="C22" s="328">
        <f>FinFET_v98_HEI_HHI!M9</f>
        <v>0</v>
      </c>
      <c r="D22" s="328">
        <f>FinFET_v98_HEI_HHI!R9</f>
        <v>1</v>
      </c>
      <c r="E22" s="328">
        <f>FinFET_v98_HEI_HHI!N9</f>
        <v>0</v>
      </c>
      <c r="F22" s="328">
        <f>FinFET_v98_HEI_HHI!S9</f>
        <v>1</v>
      </c>
      <c r="G22" s="328">
        <f>FinFET_v98_HEI_HHI!Q9</f>
        <v>0.5</v>
      </c>
      <c r="H22" s="328">
        <f>FinFET_v98_HEI_HHI!O9</f>
        <v>0</v>
      </c>
      <c r="I22" s="328">
        <f>FinFET_v98_HEI_HHI!P9</f>
        <v>0</v>
      </c>
      <c r="J22" s="328">
        <f>FinFET_v98_HEI_HHI!T9</f>
        <v>1</v>
      </c>
      <c r="K22" s="328">
        <f>FinFET_v98_HEI_HHI!V9</f>
        <v>1.5</v>
      </c>
      <c r="L22" s="328">
        <f>FinFET_v98_HEI_HHI!U9</f>
        <v>1.5</v>
      </c>
      <c r="M22" s="328">
        <f>FinFET_v98_HEI_HHI!W9</f>
        <v>1.5</v>
      </c>
      <c r="N22" s="328">
        <f>FinFET_v98_HEI_HHI!X9</f>
        <v>2</v>
      </c>
      <c r="O22" s="328">
        <f>FinFET_v98_HEI_HHI!Y9</f>
        <v>2.5</v>
      </c>
      <c r="P22" s="328">
        <v>0</v>
      </c>
      <c r="Q22" s="333">
        <v>30</v>
      </c>
      <c r="V22" s="1">
        <v>0.9</v>
      </c>
      <c r="W22" s="1">
        <f t="shared" si="0"/>
        <v>31.769203214736155</v>
      </c>
    </row>
    <row r="23" spans="1:23">
      <c r="A23" s="308" t="s">
        <v>206</v>
      </c>
      <c r="B23" s="307">
        <v>3</v>
      </c>
      <c r="C23" s="307">
        <f>SUM(C19:C22)</f>
        <v>3</v>
      </c>
      <c r="D23" s="307">
        <f>SUM(D19:D22)</f>
        <v>3</v>
      </c>
      <c r="E23" s="307">
        <f t="shared" ref="E23:O23" si="1">SUM(E19:E22)</f>
        <v>3</v>
      </c>
      <c r="F23" s="307">
        <f>SUM(F19:F22)</f>
        <v>3</v>
      </c>
      <c r="G23" s="307">
        <f>SUM(G19:G22)</f>
        <v>3</v>
      </c>
      <c r="H23" s="307">
        <f t="shared" si="1"/>
        <v>3</v>
      </c>
      <c r="I23" s="307">
        <f t="shared" si="1"/>
        <v>3</v>
      </c>
      <c r="J23" s="307">
        <f>SUM(J19:J22)</f>
        <v>3</v>
      </c>
      <c r="K23" s="307">
        <f>SUM(K19:K22)</f>
        <v>3</v>
      </c>
      <c r="L23" s="307">
        <f t="shared" si="1"/>
        <v>3</v>
      </c>
      <c r="M23" s="307">
        <f t="shared" si="1"/>
        <v>3</v>
      </c>
      <c r="N23" s="307">
        <f t="shared" si="1"/>
        <v>3</v>
      </c>
      <c r="O23" s="307">
        <f t="shared" si="1"/>
        <v>3</v>
      </c>
      <c r="P23" s="307">
        <v>3</v>
      </c>
      <c r="Q23" s="333">
        <v>95</v>
      </c>
      <c r="V23" s="1">
        <v>1</v>
      </c>
      <c r="W23" s="1">
        <f t="shared" si="0"/>
        <v>35.81481481481481</v>
      </c>
    </row>
    <row r="24" spans="1:23" hidden="1">
      <c r="A24" s="308" t="s">
        <v>367</v>
      </c>
      <c r="B24" s="328"/>
      <c r="C24" s="308">
        <f>1+(Q$19-1)/(1+1.7/(C19)^1.8)</f>
        <v>2.074074074074074</v>
      </c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8"/>
      <c r="Q24" s="328"/>
      <c r="V24" s="1">
        <v>1.1000000000000001</v>
      </c>
      <c r="W24" s="1">
        <f t="shared" si="0"/>
        <v>39.651364518265808</v>
      </c>
    </row>
    <row r="25" spans="1:23" hidden="1">
      <c r="A25" s="308" t="s">
        <v>368</v>
      </c>
      <c r="B25" s="328"/>
      <c r="C25" s="308">
        <f>1+(Q20-1)/(1+1.7/(C20)^1.8)</f>
        <v>5.0740740740740735</v>
      </c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Q25" s="328"/>
      <c r="V25" s="1">
        <v>1.2</v>
      </c>
      <c r="W25" s="1">
        <f t="shared" si="0"/>
        <v>43.258620993888456</v>
      </c>
    </row>
    <row r="26" spans="1:23" hidden="1">
      <c r="A26" s="308" t="s">
        <v>369</v>
      </c>
      <c r="B26" s="328"/>
      <c r="C26" s="308">
        <f>1+(Q21-1)/(1+1.7/(C21)^1.8)</f>
        <v>9.8888888888888875</v>
      </c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Q26" s="328"/>
      <c r="V26" s="1">
        <v>1.3</v>
      </c>
      <c r="W26" s="1">
        <f t="shared" si="0"/>
        <v>46.62863385946256</v>
      </c>
    </row>
    <row r="27" spans="1:23" hidden="1">
      <c r="A27" s="308" t="s">
        <v>370</v>
      </c>
      <c r="B27" s="328"/>
      <c r="C27" s="30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Q27" s="328"/>
      <c r="V27" s="1">
        <v>1.4</v>
      </c>
      <c r="W27" s="1">
        <f t="shared" si="0"/>
        <v>49.762185282573199</v>
      </c>
    </row>
    <row r="28" spans="1:23" hidden="1">
      <c r="A28" s="329" t="s">
        <v>359</v>
      </c>
      <c r="B28" s="331"/>
      <c r="C28" s="330">
        <f>F6</f>
        <v>2.0699999999999998</v>
      </c>
      <c r="D28" s="341">
        <f>F6</f>
        <v>2.0699999999999998</v>
      </c>
      <c r="E28" s="341">
        <f>F5</f>
        <v>1.42</v>
      </c>
      <c r="F28" s="341">
        <f>F6</f>
        <v>2.0699999999999998</v>
      </c>
      <c r="G28" s="341">
        <f>G5</f>
        <v>2.59</v>
      </c>
      <c r="H28" s="341">
        <f>E28</f>
        <v>1.42</v>
      </c>
      <c r="I28" s="341">
        <f>G5</f>
        <v>2.59</v>
      </c>
      <c r="J28" s="341">
        <f>G6</f>
        <v>5.07</v>
      </c>
      <c r="K28" s="341">
        <f>F6</f>
        <v>2.0699999999999998</v>
      </c>
      <c r="L28" s="341">
        <f>F7</f>
        <v>2.59</v>
      </c>
      <c r="M28" s="341">
        <f>H7</f>
        <v>14.19</v>
      </c>
      <c r="N28" s="341">
        <f>G5</f>
        <v>2.59</v>
      </c>
      <c r="O28" s="341">
        <f>H5</f>
        <v>4.47</v>
      </c>
      <c r="Q28" s="331">
        <f>FinFET_v98_HEI_HHI!C18</f>
        <v>3.9</v>
      </c>
      <c r="S28" s="335" t="s">
        <v>270</v>
      </c>
      <c r="T28" s="335">
        <v>3.9</v>
      </c>
      <c r="V28" s="1">
        <v>1.5</v>
      </c>
      <c r="W28" s="1">
        <f t="shared" si="0"/>
        <v>52.665989861693831</v>
      </c>
    </row>
    <row r="29" spans="1:23" hidden="1">
      <c r="A29" s="329" t="s">
        <v>360</v>
      </c>
      <c r="B29" s="331"/>
      <c r="C29" s="330">
        <f>G6</f>
        <v>5.07</v>
      </c>
      <c r="D29" s="341">
        <f>G6</f>
        <v>5.07</v>
      </c>
      <c r="E29" s="341">
        <f>G5</f>
        <v>2.59</v>
      </c>
      <c r="F29" s="341">
        <f>H6</f>
        <v>9.89</v>
      </c>
      <c r="G29" s="341">
        <f>H8</f>
        <v>17.13</v>
      </c>
      <c r="H29" s="341">
        <f>H9</f>
        <v>19.09</v>
      </c>
      <c r="I29" s="341">
        <f>H9</f>
        <v>19.09</v>
      </c>
      <c r="J29" s="341">
        <f>H6</f>
        <v>9.89</v>
      </c>
      <c r="K29" s="341">
        <f>G5</f>
        <v>2.59</v>
      </c>
      <c r="L29" s="341">
        <f>J7</f>
        <v>52.67</v>
      </c>
      <c r="M29" s="341">
        <f>J7</f>
        <v>52.67</v>
      </c>
      <c r="N29" s="341">
        <f>H5</f>
        <v>4.47</v>
      </c>
      <c r="O29" s="341">
        <f>J9</f>
        <v>71.849999999999994</v>
      </c>
      <c r="Q29" s="331">
        <f>FinFET_v98_HEI_HHI!C21</f>
        <v>12</v>
      </c>
      <c r="S29" s="335" t="s">
        <v>22</v>
      </c>
      <c r="T29" s="335">
        <v>3</v>
      </c>
      <c r="V29" s="1">
        <v>1.6</v>
      </c>
      <c r="W29" s="1">
        <f t="shared" si="0"/>
        <v>55.350564330065474</v>
      </c>
    </row>
    <row r="30" spans="1:23" hidden="1">
      <c r="A30" s="329" t="s">
        <v>361</v>
      </c>
      <c r="B30" s="331"/>
      <c r="C30" s="330">
        <f>H6</f>
        <v>9.89</v>
      </c>
      <c r="D30" s="341">
        <f>J6</f>
        <v>35.81</v>
      </c>
      <c r="E30" s="341">
        <f>H8</f>
        <v>17.13</v>
      </c>
      <c r="F30" s="341">
        <f>J6</f>
        <v>35.81</v>
      </c>
      <c r="G30" s="341">
        <f>J5</f>
        <v>14.58</v>
      </c>
      <c r="H30" s="341"/>
      <c r="I30" s="341"/>
      <c r="J30" s="341">
        <f>J6</f>
        <v>35.81</v>
      </c>
      <c r="K30" s="341">
        <f>J7</f>
        <v>52.67</v>
      </c>
      <c r="L30" s="341"/>
      <c r="M30" s="341"/>
      <c r="N30" s="341">
        <f>J8</f>
        <v>64.16</v>
      </c>
      <c r="O30" s="341"/>
      <c r="Q30" s="331">
        <f>FinFET_v98_HEI_HHI!C22</f>
        <v>25</v>
      </c>
      <c r="S30" s="335" t="s">
        <v>366</v>
      </c>
      <c r="T30" s="336">
        <f>1+($T$28-1)/(1+1.7/(T29)^1.8)</f>
        <v>3.3475988737344609</v>
      </c>
      <c r="V30" s="1">
        <v>1.7</v>
      </c>
      <c r="W30" s="1">
        <f t="shared" si="0"/>
        <v>57.828656834820102</v>
      </c>
    </row>
    <row r="31" spans="1:23" hidden="1">
      <c r="A31" s="329" t="s">
        <v>364</v>
      </c>
      <c r="B31" s="331"/>
      <c r="C31" s="341">
        <f>C19/(C19+C20)</f>
        <v>0.5</v>
      </c>
      <c r="D31" s="341">
        <f>D19/(D19+D20)</f>
        <v>0.5</v>
      </c>
      <c r="E31" s="341">
        <f>E19/(E19+E20)</f>
        <v>0.5</v>
      </c>
      <c r="F31" s="341">
        <f>F19/(F19+F21)</f>
        <v>0.5</v>
      </c>
      <c r="G31" s="341">
        <f>G20/(G20+G21)</f>
        <v>0.2</v>
      </c>
      <c r="H31" s="341">
        <f>H19/(H19+H21)</f>
        <v>0.16666666666666666</v>
      </c>
      <c r="I31" s="341">
        <f>I20/(I20+I21)</f>
        <v>0.16666666666666666</v>
      </c>
      <c r="J31" s="341">
        <f>J20/(J20+J21)</f>
        <v>0.5</v>
      </c>
      <c r="K31" s="341">
        <f>K19/(K19+K20)</f>
        <v>0.66666666666666663</v>
      </c>
      <c r="L31" s="341">
        <f>L19/(L19+L22)</f>
        <v>0.5</v>
      </c>
      <c r="M31" s="341">
        <f>M21/(M22+M21)</f>
        <v>0.5</v>
      </c>
      <c r="N31" s="341">
        <f>N20/(N20+N21)</f>
        <v>0.5</v>
      </c>
      <c r="O31" s="341">
        <f>O21/(O21+O22)</f>
        <v>0.16666666666666666</v>
      </c>
      <c r="Q31" s="331">
        <f>C19/(C19+C20)</f>
        <v>0.5</v>
      </c>
      <c r="V31" s="1">
        <v>1.8</v>
      </c>
      <c r="W31" s="1">
        <f t="shared" si="0"/>
        <v>60.114122097587426</v>
      </c>
    </row>
    <row r="32" spans="1:23" hidden="1">
      <c r="A32" s="329" t="s">
        <v>365</v>
      </c>
      <c r="B32" s="331"/>
      <c r="C32" s="341">
        <f>1-C31</f>
        <v>0.5</v>
      </c>
      <c r="D32" s="341">
        <f>1-D31</f>
        <v>0.5</v>
      </c>
      <c r="E32" s="341">
        <f>1-E31</f>
        <v>0.5</v>
      </c>
      <c r="F32" s="341">
        <f>1-F31</f>
        <v>0.5</v>
      </c>
      <c r="G32" s="341">
        <f>1-G31</f>
        <v>0.8</v>
      </c>
      <c r="H32" s="341"/>
      <c r="I32" s="341"/>
      <c r="J32" s="341">
        <f>1-J31</f>
        <v>0.5</v>
      </c>
      <c r="K32" s="341">
        <f>1-K31</f>
        <v>0.33333333333333337</v>
      </c>
      <c r="L32" s="341">
        <f>1-L31</f>
        <v>0.5</v>
      </c>
      <c r="M32" s="341"/>
      <c r="N32" s="341"/>
      <c r="O32" s="341"/>
      <c r="Q32" s="331">
        <f>1-Q31</f>
        <v>0.5</v>
      </c>
      <c r="V32" s="1">
        <v>1.9</v>
      </c>
      <c r="W32" s="1">
        <f t="shared" si="0"/>
        <v>62.221139674358234</v>
      </c>
    </row>
    <row r="33" spans="1:23" hidden="1">
      <c r="A33" s="329" t="s">
        <v>362</v>
      </c>
      <c r="B33" s="331"/>
      <c r="C33" s="341">
        <f>(C19+C20)/(C19+C20+C21)</f>
        <v>0.66666666666666663</v>
      </c>
      <c r="D33" s="341">
        <f>(D19+D20)/(D19+D20+D22)</f>
        <v>0.66666666666666663</v>
      </c>
      <c r="E33" s="341">
        <f>(E19+E20)/(E19+E20+E21)</f>
        <v>0.33333333333333331</v>
      </c>
      <c r="F33" s="341">
        <f>(F19+F21)/(F19+F21+F22)</f>
        <v>0.66666666666666663</v>
      </c>
      <c r="G33" s="341">
        <f>(G20+G21)/(G23)</f>
        <v>0.83333333333333337</v>
      </c>
      <c r="H33" s="341">
        <f>(H19+H20)/(H19+H20+H21)</f>
        <v>0.16666666666666666</v>
      </c>
      <c r="I33" s="341">
        <f>(I19+I20)/(I19+I20+I21)</f>
        <v>0.16666666666666666</v>
      </c>
      <c r="J33" s="341">
        <f>(J19+J21)/(J19+J21+J22)</f>
        <v>0.5</v>
      </c>
      <c r="K33" s="341">
        <f>(K19+K20)/(K19+K20+K22)</f>
        <v>0.5</v>
      </c>
      <c r="L33" s="341"/>
      <c r="M33" s="341"/>
      <c r="N33" s="341">
        <f>(N20+N21)/(N20+N21+N22)</f>
        <v>0.33333333333333331</v>
      </c>
      <c r="O33" s="341">
        <f>(O20+O21)/(O20+O21+O22)</f>
        <v>0.16666666666666666</v>
      </c>
      <c r="Q33" s="331">
        <f>(C19+C20)/(C19+C20+C21)</f>
        <v>0.66666666666666663</v>
      </c>
      <c r="V33" s="1">
        <v>2</v>
      </c>
      <c r="W33" s="1">
        <f t="shared" si="0"/>
        <v>64.16368906639994</v>
      </c>
    </row>
    <row r="34" spans="1:23" hidden="1">
      <c r="A34" s="329" t="s">
        <v>363</v>
      </c>
      <c r="B34" s="331"/>
      <c r="C34" s="341">
        <f t="shared" ref="C34:K34" si="2">1-C33</f>
        <v>0.33333333333333337</v>
      </c>
      <c r="D34" s="341">
        <f t="shared" si="2"/>
        <v>0.33333333333333337</v>
      </c>
      <c r="E34" s="341">
        <f t="shared" si="2"/>
        <v>0.66666666666666674</v>
      </c>
      <c r="F34" s="341">
        <f t="shared" si="2"/>
        <v>0.33333333333333337</v>
      </c>
      <c r="G34" s="341">
        <f t="shared" si="2"/>
        <v>0.16666666666666663</v>
      </c>
      <c r="H34" s="341">
        <f t="shared" si="2"/>
        <v>0.83333333333333337</v>
      </c>
      <c r="I34" s="341">
        <f t="shared" si="2"/>
        <v>0.83333333333333337</v>
      </c>
      <c r="J34" s="341">
        <f t="shared" si="2"/>
        <v>0.5</v>
      </c>
      <c r="K34" s="341">
        <f t="shared" si="2"/>
        <v>0.5</v>
      </c>
      <c r="L34" s="341"/>
      <c r="M34" s="341"/>
      <c r="N34" s="341">
        <f>1-N33</f>
        <v>0.66666666666666674</v>
      </c>
      <c r="O34" s="341"/>
      <c r="Q34" s="331">
        <f>1-Q33</f>
        <v>0.33333333333333337</v>
      </c>
      <c r="V34" s="1">
        <v>2.1</v>
      </c>
      <c r="W34" s="1">
        <f t="shared" si="0"/>
        <v>65.955212714692522</v>
      </c>
    </row>
    <row r="35" spans="1:23" hidden="1">
      <c r="A35" s="329" t="s">
        <v>358</v>
      </c>
      <c r="B35" s="332"/>
      <c r="C35" s="341">
        <f t="shared" ref="C35:O35" si="3">C29*(C28+2*C29+2*(C31)*(C28-C29))/(C28+2*C29-2*(C31)*(C28-C29))</f>
        <v>3.0700000000000003</v>
      </c>
      <c r="D35" s="341">
        <f t="shared" si="3"/>
        <v>3.0700000000000003</v>
      </c>
      <c r="E35" s="341">
        <f t="shared" si="3"/>
        <v>1.81</v>
      </c>
      <c r="F35" s="341">
        <f t="shared" si="3"/>
        <v>4.6766666666666667</v>
      </c>
      <c r="G35" s="341">
        <f t="shared" si="3"/>
        <v>12.459860779074672</v>
      </c>
      <c r="H35" s="341">
        <f t="shared" si="3"/>
        <v>14.146491536601451</v>
      </c>
      <c r="I35" s="341">
        <f t="shared" si="3"/>
        <v>14.551638210503565</v>
      </c>
      <c r="J35" s="341">
        <f t="shared" si="3"/>
        <v>6.6766666666666667</v>
      </c>
      <c r="K35" s="341">
        <f t="shared" si="3"/>
        <v>2.1378640369282413</v>
      </c>
      <c r="L35" s="341">
        <f t="shared" si="3"/>
        <v>19.283333333333339</v>
      </c>
      <c r="M35" s="341">
        <f t="shared" si="3"/>
        <v>27.016666666666669</v>
      </c>
      <c r="N35" s="341">
        <f t="shared" si="3"/>
        <v>3.2166666666666663</v>
      </c>
      <c r="O35" s="341">
        <f t="shared" si="3"/>
        <v>52.934791654457008</v>
      </c>
      <c r="Q35" s="332">
        <f>Q29*(Q28+2*Q29+2*(Q31)*(Q28-Q29))/(Q28+2*Q29-2*(Q31)*(Q28-Q29))</f>
        <v>6.5999999999999988</v>
      </c>
      <c r="V35" s="1">
        <v>2.2000000000000002</v>
      </c>
      <c r="W35" s="1">
        <f t="shared" si="0"/>
        <v>67.608413565880056</v>
      </c>
    </row>
    <row r="36" spans="1:23">
      <c r="A36" s="329"/>
      <c r="B36" s="333">
        <f>D40</f>
        <v>3.35</v>
      </c>
      <c r="C36" s="333">
        <f>C30*(C35+2*C30+2*(C33)*(C35-C30))/(C35+2*C30-2*(C33)*(C35-C30))</f>
        <v>4.2592121465094444</v>
      </c>
      <c r="D36" s="333">
        <f>D30*(D35+2*D30+2*(D33)*(D35-D30))/(D35+2*D30-2*(D33)*(D35-D30))</f>
        <v>9.3915136749007111</v>
      </c>
      <c r="E36" s="333">
        <f>E30*(E35+2*E30+2*(E33)*(E35-E30))/(E35+2*E30-2*(E33)*(E35-E30))</f>
        <v>9.5698530788620833</v>
      </c>
      <c r="F36" s="333">
        <f>F30*(F35+2*F30+2*(F33)*(F35-F30))/(F35+2*F30-2*(F33)*(F35-F30))</f>
        <v>10.573756401671272</v>
      </c>
      <c r="G36" s="333">
        <f>G30*(G35+2*G30+2*(G33)*(G35-G30))/(G35+2*G30-2*(G33)*(G35-G30))</f>
        <v>12.298029949690321</v>
      </c>
      <c r="H36" s="333">
        <f>H35</f>
        <v>14.146491536601451</v>
      </c>
      <c r="I36" s="333">
        <f>I35</f>
        <v>14.551638210503565</v>
      </c>
      <c r="J36" s="333">
        <f>J30*(J35+2*J30+2*(J33)*(J35-J30))/(J35+2*J30-2*(J33)*(J35-J30))</f>
        <v>16.387777777777774</v>
      </c>
      <c r="K36" s="333">
        <f>K30*(K35+2*K30+2*(K33)*(K35-K30))/(K35+2*K30-2*(K33)*(K35-K30))</f>
        <v>18.981909357952162</v>
      </c>
      <c r="L36" s="333">
        <f>L35</f>
        <v>19.283333333333339</v>
      </c>
      <c r="M36" s="333">
        <f>M35</f>
        <v>27.016666666666669</v>
      </c>
      <c r="N36" s="333">
        <f>N30*(N35+2*N30+2*(N33)*(N35-N30))/(N35+2*N30-2*(N33)*(N35-N30))</f>
        <v>33.878106473742974</v>
      </c>
      <c r="O36" s="333">
        <f>O35</f>
        <v>52.934791654457008</v>
      </c>
      <c r="P36" s="333">
        <f>H40</f>
        <v>77.09</v>
      </c>
      <c r="Q36" s="332"/>
      <c r="V36" s="1">
        <v>2.2999999999999998</v>
      </c>
      <c r="W36" s="1">
        <f t="shared" si="0"/>
        <v>69.135147030437849</v>
      </c>
    </row>
    <row r="37" spans="1:23">
      <c r="A37" s="329"/>
      <c r="V37" s="1">
        <v>2.4</v>
      </c>
      <c r="W37" s="1">
        <f t="shared" si="0"/>
        <v>70.546377652850765</v>
      </c>
    </row>
    <row r="38" spans="1:23">
      <c r="D38" s="339" t="s">
        <v>23</v>
      </c>
      <c r="E38" s="339" t="s">
        <v>195</v>
      </c>
      <c r="F38" s="339" t="s">
        <v>21</v>
      </c>
      <c r="G38" s="339" t="s">
        <v>26</v>
      </c>
      <c r="H38" s="339" t="s">
        <v>20</v>
      </c>
      <c r="V38" s="1">
        <v>2.5</v>
      </c>
      <c r="W38" s="349">
        <f t="shared" si="0"/>
        <v>71.852178936548498</v>
      </c>
    </row>
    <row r="39" spans="1:23">
      <c r="C39" s="338" t="s">
        <v>378</v>
      </c>
      <c r="D39" s="103">
        <v>3.9</v>
      </c>
      <c r="E39" s="103">
        <v>12</v>
      </c>
      <c r="F39" s="103">
        <v>25</v>
      </c>
      <c r="G39" s="103">
        <v>30</v>
      </c>
      <c r="H39" s="103">
        <v>95</v>
      </c>
      <c r="V39" s="1">
        <v>2.6</v>
      </c>
      <c r="W39" s="1">
        <f t="shared" si="0"/>
        <v>73.061760903562941</v>
      </c>
    </row>
    <row r="40" spans="1:23">
      <c r="C40" s="338" t="s">
        <v>379</v>
      </c>
      <c r="D40" s="103">
        <v>3.35</v>
      </c>
      <c r="E40" s="103">
        <v>9.9</v>
      </c>
      <c r="F40" s="103">
        <v>20.43</v>
      </c>
      <c r="G40" s="103">
        <v>24.48</v>
      </c>
      <c r="H40" s="103">
        <v>77.09</v>
      </c>
      <c r="V40" s="1">
        <v>2.7</v>
      </c>
      <c r="W40" s="1">
        <f t="shared" si="0"/>
        <v>74.183514522768988</v>
      </c>
    </row>
    <row r="41" spans="1:23">
      <c r="V41" s="1">
        <v>2.8</v>
      </c>
      <c r="W41" s="1">
        <f t="shared" si="0"/>
        <v>75.225065471077386</v>
      </c>
    </row>
    <row r="42" spans="1:23">
      <c r="V42" s="1">
        <v>2.9</v>
      </c>
      <c r="W42" s="1">
        <f t="shared" si="0"/>
        <v>76.193332098014551</v>
      </c>
    </row>
    <row r="43" spans="1:23">
      <c r="V43" s="1">
        <v>3</v>
      </c>
      <c r="W43" s="349">
        <f t="shared" si="0"/>
        <v>77.094584183117007</v>
      </c>
    </row>
    <row r="44" spans="1:23">
      <c r="V44" s="1">
        <v>3.1</v>
      </c>
      <c r="W44" s="1">
        <f t="shared" si="0"/>
        <v>77.934500290407826</v>
      </c>
    </row>
    <row r="45" spans="1:23">
      <c r="V45" s="1">
        <v>3.2</v>
      </c>
      <c r="W45" s="1">
        <f t="shared" si="0"/>
        <v>78.718222372954514</v>
      </c>
    </row>
    <row r="46" spans="1:23">
      <c r="V46" s="1">
        <v>3.3</v>
      </c>
      <c r="W46" s="1">
        <f t="shared" si="0"/>
        <v>79.450406865736866</v>
      </c>
    </row>
    <row r="47" spans="1:23">
      <c r="V47" s="1">
        <v>3.4</v>
      </c>
      <c r="W47" s="1">
        <f t="shared" si="0"/>
        <v>80.135271902154059</v>
      </c>
    </row>
    <row r="48" spans="1:23">
      <c r="V48" s="1">
        <v>3.5</v>
      </c>
      <c r="W48" s="1">
        <f t="shared" si="0"/>
        <v>80.776640553357794</v>
      </c>
    </row>
    <row r="49" spans="22:23">
      <c r="V49" s="1">
        <v>3.6</v>
      </c>
      <c r="W49" s="1">
        <f t="shared" si="0"/>
        <v>81.377980159868727</v>
      </c>
    </row>
    <row r="50" spans="22:23">
      <c r="V50" s="1">
        <v>3.7</v>
      </c>
      <c r="W50" s="1">
        <f t="shared" si="0"/>
        <v>81.942437930094925</v>
      </c>
    </row>
    <row r="51" spans="22:23">
      <c r="V51" s="1">
        <v>3.8</v>
      </c>
      <c r="W51" s="1">
        <f t="shared" si="0"/>
        <v>82.472873040749803</v>
      </c>
    </row>
    <row r="52" spans="22:23">
      <c r="V52" s="1">
        <v>3.9</v>
      </c>
      <c r="W52" s="1">
        <f t="shared" si="0"/>
        <v>82.971885504186986</v>
      </c>
    </row>
    <row r="53" spans="22:23">
      <c r="V53" s="1">
        <v>4</v>
      </c>
      <c r="W53" s="1">
        <f t="shared" si="0"/>
        <v>83.44184207750456</v>
      </c>
    </row>
    <row r="54" spans="22:23">
      <c r="V54" s="1">
        <v>4.0999999999999996</v>
      </c>
      <c r="W54" s="1">
        <f t="shared" si="0"/>
        <v>83.884899485046176</v>
      </c>
    </row>
    <row r="55" spans="22:23">
      <c r="V55" s="1">
        <v>4.2</v>
      </c>
      <c r="W55" s="1">
        <f t="shared" si="0"/>
        <v>84.303025214589354</v>
      </c>
    </row>
    <row r="56" spans="22:23">
      <c r="V56" s="1">
        <v>4.3</v>
      </c>
      <c r="W56" s="1">
        <f t="shared" si="0"/>
        <v>84.698016131465295</v>
      </c>
    </row>
    <row r="57" spans="22:23">
      <c r="V57" s="1">
        <v>4.4000000000000004</v>
      </c>
      <c r="W57" s="1">
        <f t="shared" si="0"/>
        <v>85.071515136403903</v>
      </c>
    </row>
    <row r="58" spans="22:23">
      <c r="V58" s="1">
        <v>4.5</v>
      </c>
      <c r="W58" s="1">
        <f t="shared" si="0"/>
        <v>85.425026073580469</v>
      </c>
    </row>
    <row r="59" spans="22:23">
      <c r="V59" s="1">
        <v>4.5999999999999996</v>
      </c>
      <c r="W59" s="1">
        <f t="shared" si="0"/>
        <v>85.759927076150746</v>
      </c>
    </row>
    <row r="60" spans="22:23">
      <c r="V60" s="1">
        <v>4.7</v>
      </c>
      <c r="W60" s="1">
        <f t="shared" si="0"/>
        <v>86.077482518123261</v>
      </c>
    </row>
    <row r="61" spans="22:23">
      <c r="V61" s="1">
        <v>4.8</v>
      </c>
      <c r="W61" s="1">
        <f t="shared" si="0"/>
        <v>86.378853724092679</v>
      </c>
    </row>
    <row r="62" spans="22:23">
      <c r="V62" s="1">
        <v>4.9000000000000004</v>
      </c>
      <c r="W62" s="1">
        <f t="shared" si="0"/>
        <v>86.665108572338596</v>
      </c>
    </row>
    <row r="63" spans="22:23">
      <c r="V63" s="1">
        <v>4.9999999999999902</v>
      </c>
      <c r="W63" s="1">
        <f t="shared" si="0"/>
        <v>86.937230112150445</v>
      </c>
    </row>
    <row r="64" spans="22:23">
      <c r="V64" s="1">
        <v>5.0999999999999899</v>
      </c>
      <c r="W64" s="1">
        <f t="shared" si="0"/>
        <v>87.19612430297029</v>
      </c>
    </row>
    <row r="65" spans="22:23">
      <c r="V65" s="1">
        <v>5.2</v>
      </c>
      <c r="W65" s="1">
        <f t="shared" si="0"/>
        <v>87.442626970998518</v>
      </c>
    </row>
    <row r="66" spans="22:23">
      <c r="V66" s="1">
        <v>5.2999999999999901</v>
      </c>
      <c r="W66" s="1">
        <f t="shared" si="0"/>
        <v>87.6775100682069</v>
      </c>
    </row>
    <row r="67" spans="22:23">
      <c r="V67" s="1">
        <v>5.3999999999999897</v>
      </c>
      <c r="W67" s="1">
        <f t="shared" si="0"/>
        <v>87.901487309153467</v>
      </c>
    </row>
    <row r="68" spans="22:23">
      <c r="V68" s="1">
        <v>5.4999999999999902</v>
      </c>
      <c r="W68" s="1">
        <f t="shared" si="0"/>
        <v>88.115219252494882</v>
      </c>
    </row>
    <row r="69" spans="22:23">
      <c r="V69" s="1">
        <v>5.5999999999999899</v>
      </c>
      <c r="W69" s="1">
        <f t="shared" si="0"/>
        <v>88.319317886549172</v>
      </c>
    </row>
    <row r="70" spans="22:23">
      <c r="V70" s="1">
        <v>5.6999999999999904</v>
      </c>
      <c r="W70" s="1">
        <f t="shared" si="0"/>
        <v>88.51435077157042</v>
      </c>
    </row>
    <row r="71" spans="22:23">
      <c r="V71" s="1">
        <v>5.7999999999999901</v>
      </c>
      <c r="W71" s="1">
        <f t="shared" si="0"/>
        <v>88.700844785477585</v>
      </c>
    </row>
    <row r="72" spans="22:23">
      <c r="V72" s="1">
        <v>5.8999999999999897</v>
      </c>
      <c r="W72" s="1">
        <f t="shared" si="0"/>
        <v>88.879289514537717</v>
      </c>
    </row>
    <row r="73" spans="22:23">
      <c r="V73" s="1">
        <v>5.9999999999999902</v>
      </c>
      <c r="W73" s="1">
        <f t="shared" si="0"/>
        <v>89.050140325871851</v>
      </c>
    </row>
    <row r="74" spans="22:23">
      <c r="V74" s="1">
        <v>6.0999999999999899</v>
      </c>
      <c r="W74" s="1">
        <f t="shared" si="0"/>
        <v>89.213821154554566</v>
      </c>
    </row>
    <row r="75" spans="22:23">
      <c r="V75" s="1">
        <v>6.1999999999999904</v>
      </c>
      <c r="W75" s="1">
        <f t="shared" si="0"/>
        <v>89.370727034457076</v>
      </c>
    </row>
    <row r="76" spans="22:23">
      <c r="V76" s="1">
        <v>6.2999999999999901</v>
      </c>
      <c r="W76" s="1">
        <f t="shared" si="0"/>
        <v>89.521226398781224</v>
      </c>
    </row>
    <row r="77" spans="22:23">
      <c r="V77" s="1">
        <v>6.3999999999999897</v>
      </c>
      <c r="W77" s="1">
        <f t="shared" si="0"/>
        <v>89.665663173399423</v>
      </c>
    </row>
    <row r="78" spans="22:23">
      <c r="V78" s="1">
        <v>6.4999999999999902</v>
      </c>
      <c r="W78" s="1">
        <f t="shared" si="0"/>
        <v>89.804358683610175</v>
      </c>
    </row>
    <row r="79" spans="22:23">
      <c r="V79" s="1">
        <v>6.5999999999999899</v>
      </c>
      <c r="W79" s="1">
        <f t="shared" si="0"/>
        <v>89.937613392700044</v>
      </c>
    </row>
    <row r="80" spans="22:23">
      <c r="V80" s="1">
        <v>6.6999999999999904</v>
      </c>
      <c r="W80" s="1">
        <f t="shared" ref="W80:W143" si="4">1+($Q$23-1)/(1+1.7/(V80)^1.8)</f>
        <v>90.065708488737911</v>
      </c>
    </row>
    <row r="81" spans="22:23">
      <c r="V81" s="1">
        <v>6.7999999999999901</v>
      </c>
      <c r="W81" s="1">
        <f t="shared" si="4"/>
        <v>90.188907334286625</v>
      </c>
    </row>
    <row r="82" spans="22:23">
      <c r="V82" s="1">
        <v>6.8999999999999897</v>
      </c>
      <c r="W82" s="1">
        <f t="shared" si="4"/>
        <v>90.307456792171223</v>
      </c>
    </row>
    <row r="83" spans="22:23">
      <c r="V83" s="1">
        <v>6.9999999999999902</v>
      </c>
      <c r="W83" s="1">
        <f t="shared" si="4"/>
        <v>90.421588439073176</v>
      </c>
    </row>
    <row r="84" spans="22:23">
      <c r="V84" s="1">
        <v>7.0999999999999899</v>
      </c>
      <c r="W84" s="1">
        <f t="shared" si="4"/>
        <v>90.531519677501009</v>
      </c>
    </row>
    <row r="85" spans="22:23">
      <c r="V85" s="1">
        <v>7.1999999999999904</v>
      </c>
      <c r="W85" s="1">
        <f t="shared" si="4"/>
        <v>90.637454755605745</v>
      </c>
    </row>
    <row r="86" spans="22:23">
      <c r="V86" s="1">
        <v>7.2999999999999901</v>
      </c>
      <c r="W86" s="1">
        <f t="shared" si="4"/>
        <v>90.739585703345114</v>
      </c>
    </row>
    <row r="87" spans="22:23">
      <c r="V87" s="1">
        <v>7.3999999999999897</v>
      </c>
      <c r="W87" s="1">
        <f t="shared" si="4"/>
        <v>90.838093192643356</v>
      </c>
    </row>
    <row r="88" spans="22:23">
      <c r="V88" s="1">
        <v>7.4999999999999902</v>
      </c>
      <c r="W88" s="1">
        <f t="shared" si="4"/>
        <v>90.93314732842785</v>
      </c>
    </row>
    <row r="89" spans="22:23">
      <c r="V89" s="1">
        <v>7.5999999999999899</v>
      </c>
      <c r="W89" s="1">
        <f t="shared" si="4"/>
        <v>91.024908376741578</v>
      </c>
    </row>
    <row r="90" spans="22:23">
      <c r="V90" s="1">
        <v>7.6999999999999904</v>
      </c>
      <c r="W90" s="1">
        <f t="shared" si="4"/>
        <v>91.113527435520908</v>
      </c>
    </row>
    <row r="91" spans="22:23">
      <c r="V91" s="1">
        <v>7.7999999999999901</v>
      </c>
      <c r="W91" s="1">
        <f t="shared" si="4"/>
        <v>91.199147053083792</v>
      </c>
    </row>
    <row r="92" spans="22:23">
      <c r="V92" s="1">
        <v>7.8999999999999897</v>
      </c>
      <c r="W92" s="1">
        <f t="shared" si="4"/>
        <v>91.281901798885485</v>
      </c>
    </row>
    <row r="93" spans="22:23">
      <c r="V93" s="1">
        <v>7.9999999999999902</v>
      </c>
      <c r="W93" s="1">
        <f t="shared" si="4"/>
        <v>91.361918790663296</v>
      </c>
    </row>
    <row r="94" spans="22:23">
      <c r="V94" s="1">
        <v>8.0999999999999908</v>
      </c>
      <c r="W94" s="1">
        <f t="shared" si="4"/>
        <v>91.439318181699804</v>
      </c>
    </row>
    <row r="95" spans="22:23">
      <c r="V95" s="1">
        <v>8.1999999999999904</v>
      </c>
      <c r="W95" s="1">
        <f t="shared" si="4"/>
        <v>91.514213611584097</v>
      </c>
    </row>
    <row r="96" spans="22:23">
      <c r="V96" s="1">
        <v>8.2999999999999901</v>
      </c>
      <c r="W96" s="1">
        <f t="shared" si="4"/>
        <v>91.586712623534382</v>
      </c>
    </row>
    <row r="97" spans="22:23">
      <c r="V97" s="1">
        <v>8.3999999999999897</v>
      </c>
      <c r="W97" s="1">
        <f t="shared" si="4"/>
        <v>91.65691705106309</v>
      </c>
    </row>
    <row r="98" spans="22:23">
      <c r="V98" s="1">
        <v>8.4999999999999893</v>
      </c>
      <c r="W98" s="1">
        <f t="shared" si="4"/>
        <v>91.724923376509992</v>
      </c>
    </row>
    <row r="99" spans="22:23">
      <c r="V99" s="1">
        <v>8.5999999999999908</v>
      </c>
      <c r="W99" s="1">
        <f t="shared" si="4"/>
        <v>91.79082306373985</v>
      </c>
    </row>
    <row r="100" spans="22:23">
      <c r="V100" s="1">
        <v>8.6999999999999904</v>
      </c>
      <c r="W100" s="1">
        <f t="shared" si="4"/>
        <v>91.854702867094531</v>
      </c>
    </row>
    <row r="101" spans="22:23">
      <c r="V101" s="1">
        <v>8.7999999999999901</v>
      </c>
      <c r="W101" s="1">
        <f t="shared" si="4"/>
        <v>91.916645118502259</v>
      </c>
    </row>
    <row r="102" spans="22:23">
      <c r="V102" s="1">
        <v>8.8999999999999897</v>
      </c>
      <c r="W102" s="1">
        <f t="shared" si="4"/>
        <v>91.976727994479205</v>
      </c>
    </row>
    <row r="103" spans="22:23">
      <c r="V103" s="1">
        <v>8.9999999999999893</v>
      </c>
      <c r="W103" s="1">
        <f t="shared" si="4"/>
        <v>92.035025764605834</v>
      </c>
    </row>
    <row r="104" spans="22:23">
      <c r="V104" s="1">
        <v>9.0999999999999908</v>
      </c>
      <c r="W104" s="1">
        <f t="shared" si="4"/>
        <v>92.09160902292281</v>
      </c>
    </row>
    <row r="105" spans="22:23">
      <c r="V105" s="1">
        <v>9.1999999999999904</v>
      </c>
      <c r="W105" s="1">
        <f t="shared" si="4"/>
        <v>92.146544903567104</v>
      </c>
    </row>
    <row r="106" spans="22:23">
      <c r="V106" s="1">
        <v>9.2999999999999901</v>
      </c>
      <c r="W106" s="1">
        <f t="shared" si="4"/>
        <v>92.199897281855726</v>
      </c>
    </row>
    <row r="107" spans="22:23">
      <c r="V107" s="1">
        <v>9.3999999999999897</v>
      </c>
      <c r="W107" s="1">
        <f t="shared" si="4"/>
        <v>92.251726961922174</v>
      </c>
    </row>
    <row r="108" spans="22:23">
      <c r="V108" s="1">
        <v>9.4999999999999893</v>
      </c>
      <c r="W108" s="1">
        <f t="shared" si="4"/>
        <v>92.302091851917922</v>
      </c>
    </row>
    <row r="109" spans="22:23">
      <c r="V109" s="1">
        <v>9.5999999999999908</v>
      </c>
      <c r="W109" s="1">
        <f t="shared" si="4"/>
        <v>92.351047127706977</v>
      </c>
    </row>
    <row r="110" spans="22:23">
      <c r="V110" s="1">
        <v>9.6999999999999904</v>
      </c>
      <c r="W110" s="1">
        <f t="shared" si="4"/>
        <v>92.398645385904715</v>
      </c>
    </row>
    <row r="111" spans="22:23">
      <c r="V111" s="1">
        <v>9.7999999999999901</v>
      </c>
      <c r="W111" s="1">
        <f t="shared" si="4"/>
        <v>92.444936787042408</v>
      </c>
    </row>
    <row r="112" spans="22:23">
      <c r="V112" s="1">
        <v>9.8999999999999897</v>
      </c>
      <c r="W112" s="1">
        <f t="shared" si="4"/>
        <v>92.489969189575618</v>
      </c>
    </row>
    <row r="113" spans="22:23">
      <c r="V113" s="1">
        <v>9.9999999999999893</v>
      </c>
      <c r="W113" s="1">
        <f t="shared" si="4"/>
        <v>92.533788275396489</v>
      </c>
    </row>
    <row r="114" spans="22:23">
      <c r="V114" s="1">
        <v>10.1</v>
      </c>
      <c r="W114" s="1">
        <f t="shared" si="4"/>
        <v>92.576437667457313</v>
      </c>
    </row>
    <row r="115" spans="22:23">
      <c r="V115" s="1">
        <v>10.199999999999999</v>
      </c>
      <c r="W115" s="1">
        <f t="shared" si="4"/>
        <v>92.617959040064591</v>
      </c>
    </row>
    <row r="116" spans="22:23">
      <c r="V116" s="1">
        <v>10.3</v>
      </c>
      <c r="W116" s="1">
        <f t="shared" si="4"/>
        <v>92.658392222358998</v>
      </c>
    </row>
    <row r="117" spans="22:23">
      <c r="V117" s="1">
        <v>10.4</v>
      </c>
      <c r="W117" s="1">
        <f t="shared" si="4"/>
        <v>92.697775295455997</v>
      </c>
    </row>
    <row r="118" spans="22:23">
      <c r="V118" s="1">
        <v>10.5</v>
      </c>
      <c r="W118" s="1">
        <f t="shared" si="4"/>
        <v>92.736144683685737</v>
      </c>
    </row>
    <row r="119" spans="22:23">
      <c r="V119" s="1">
        <v>10.6</v>
      </c>
      <c r="W119" s="1">
        <f t="shared" si="4"/>
        <v>92.773535240336685</v>
      </c>
    </row>
    <row r="120" spans="22:23">
      <c r="V120" s="1">
        <v>10.7</v>
      </c>
      <c r="W120" s="1">
        <f t="shared" si="4"/>
        <v>92.809980328276922</v>
      </c>
    </row>
    <row r="121" spans="22:23">
      <c r="V121" s="1">
        <v>10.8</v>
      </c>
      <c r="W121" s="1">
        <f t="shared" si="4"/>
        <v>92.845511895798779</v>
      </c>
    </row>
    <row r="122" spans="22:23">
      <c r="V122" s="1">
        <v>10.9</v>
      </c>
      <c r="W122" s="1">
        <f t="shared" si="4"/>
        <v>92.880160548006359</v>
      </c>
    </row>
    <row r="123" spans="22:23">
      <c r="V123" s="1">
        <v>11</v>
      </c>
      <c r="W123" s="1">
        <f t="shared" si="4"/>
        <v>92.913955614042109</v>
      </c>
    </row>
    <row r="124" spans="22:23">
      <c r="V124" s="1">
        <v>11.1</v>
      </c>
      <c r="W124" s="1">
        <f t="shared" si="4"/>
        <v>92.946925210426215</v>
      </c>
    </row>
    <row r="125" spans="22:23">
      <c r="V125" s="1">
        <v>11.2</v>
      </c>
      <c r="W125" s="1">
        <f t="shared" si="4"/>
        <v>92.97909630076326</v>
      </c>
    </row>
    <row r="126" spans="22:23">
      <c r="V126" s="1">
        <v>11.3</v>
      </c>
      <c r="W126" s="1">
        <f t="shared" si="4"/>
        <v>93.010494752051343</v>
      </c>
    </row>
    <row r="127" spans="22:23">
      <c r="V127" s="1">
        <v>11.4</v>
      </c>
      <c r="W127" s="1">
        <f t="shared" si="4"/>
        <v>93.041145387812506</v>
      </c>
    </row>
    <row r="128" spans="22:23">
      <c r="V128" s="1">
        <v>11.5</v>
      </c>
      <c r="W128" s="1">
        <f t="shared" si="4"/>
        <v>93.07107203824728</v>
      </c>
    </row>
    <row r="129" spans="22:23">
      <c r="V129" s="1">
        <v>11.6</v>
      </c>
      <c r="W129" s="1">
        <f t="shared" si="4"/>
        <v>93.100297587601901</v>
      </c>
    </row>
    <row r="130" spans="22:23">
      <c r="V130" s="1">
        <v>11.7</v>
      </c>
      <c r="W130" s="1">
        <f t="shared" si="4"/>
        <v>93.128844018923459</v>
      </c>
    </row>
    <row r="131" spans="22:23">
      <c r="V131" s="1">
        <v>11.8</v>
      </c>
      <c r="W131" s="1">
        <f t="shared" si="4"/>
        <v>93.156732456366001</v>
      </c>
    </row>
    <row r="132" spans="22:23">
      <c r="V132" s="1">
        <v>11.9</v>
      </c>
      <c r="W132" s="1">
        <f t="shared" si="4"/>
        <v>93.183983205199326</v>
      </c>
    </row>
    <row r="133" spans="22:23">
      <c r="V133" s="1">
        <v>12</v>
      </c>
      <c r="W133" s="1">
        <f t="shared" si="4"/>
        <v>93.210615789661247</v>
      </c>
    </row>
    <row r="134" spans="22:23">
      <c r="V134" s="1">
        <v>12.1</v>
      </c>
      <c r="W134" s="1">
        <f t="shared" si="4"/>
        <v>93.236648988785532</v>
      </c>
    </row>
    <row r="135" spans="22:23">
      <c r="V135" s="1">
        <v>12.2</v>
      </c>
      <c r="W135" s="1">
        <f t="shared" si="4"/>
        <v>93.262100870327728</v>
      </c>
    </row>
    <row r="136" spans="22:23">
      <c r="V136" s="1">
        <v>12.3</v>
      </c>
      <c r="W136" s="1">
        <f t="shared" si="4"/>
        <v>93.28698882290314</v>
      </c>
    </row>
    <row r="137" spans="22:23">
      <c r="V137" s="1">
        <v>12.4</v>
      </c>
      <c r="W137" s="1">
        <f t="shared" si="4"/>
        <v>93.311329586443989</v>
      </c>
    </row>
    <row r="138" spans="22:23">
      <c r="V138" s="1">
        <v>12.5</v>
      </c>
      <c r="W138" s="1">
        <f t="shared" si="4"/>
        <v>93.335139281074973</v>
      </c>
    </row>
    <row r="139" spans="22:23">
      <c r="V139" s="1">
        <v>12.6</v>
      </c>
      <c r="W139" s="1">
        <f t="shared" si="4"/>
        <v>93.358433434500654</v>
      </c>
    </row>
    <row r="140" spans="22:23">
      <c r="V140" s="1">
        <v>12.7</v>
      </c>
      <c r="W140" s="1">
        <f t="shared" si="4"/>
        <v>93.381227007991157</v>
      </c>
    </row>
    <row r="141" spans="22:23">
      <c r="V141" s="1">
        <v>12.8</v>
      </c>
      <c r="W141" s="1">
        <f t="shared" si="4"/>
        <v>93.403534421047709</v>
      </c>
    </row>
    <row r="142" spans="22:23">
      <c r="V142" s="1">
        <v>12.9</v>
      </c>
      <c r="W142" s="1">
        <f t="shared" si="4"/>
        <v>93.425369574824174</v>
      </c>
    </row>
    <row r="143" spans="22:23">
      <c r="V143" s="1">
        <v>13</v>
      </c>
      <c r="W143" s="1">
        <f t="shared" si="4"/>
        <v>93.446745874375296</v>
      </c>
    </row>
    <row r="144" spans="22:23">
      <c r="V144" s="1">
        <v>13.1</v>
      </c>
      <c r="W144" s="1">
        <f t="shared" ref="W144:W207" si="5">1+($Q$23-1)/(1+1.7/(V144)^1.8)</f>
        <v>93.467676249798501</v>
      </c>
    </row>
    <row r="145" spans="22:23">
      <c r="V145" s="1">
        <v>13.2</v>
      </c>
      <c r="W145" s="1">
        <f t="shared" si="5"/>
        <v>93.488173176331884</v>
      </c>
    </row>
    <row r="146" spans="22:23">
      <c r="V146" s="1">
        <v>13.3</v>
      </c>
      <c r="W146" s="1">
        <f t="shared" si="5"/>
        <v>93.508248693466214</v>
      </c>
    </row>
    <row r="147" spans="22:23">
      <c r="V147" s="1">
        <v>13.4</v>
      </c>
      <c r="W147" s="1">
        <f t="shared" si="5"/>
        <v>93.527914423126475</v>
      </c>
    </row>
    <row r="148" spans="22:23">
      <c r="V148" s="1">
        <v>13.5</v>
      </c>
      <c r="W148" s="1">
        <f t="shared" si="5"/>
        <v>93.547181586973792</v>
      </c>
    </row>
    <row r="149" spans="22:23">
      <c r="V149" s="1">
        <v>13.6</v>
      </c>
      <c r="W149" s="1">
        <f t="shared" si="5"/>
        <v>93.566061022876369</v>
      </c>
    </row>
    <row r="150" spans="22:23">
      <c r="V150" s="1">
        <v>13.7</v>
      </c>
      <c r="W150" s="1">
        <f t="shared" si="5"/>
        <v>93.584563200594374</v>
      </c>
    </row>
    <row r="151" spans="22:23">
      <c r="V151" s="1">
        <v>13.8</v>
      </c>
      <c r="W151" s="1">
        <f t="shared" si="5"/>
        <v>93.602698236721807</v>
      </c>
    </row>
    <row r="152" spans="22:23">
      <c r="V152" s="1">
        <v>13.9</v>
      </c>
      <c r="W152" s="1">
        <f t="shared" si="5"/>
        <v>93.620475908924689</v>
      </c>
    </row>
    <row r="153" spans="22:23">
      <c r="V153" s="1">
        <v>14</v>
      </c>
      <c r="W153" s="1">
        <f t="shared" si="5"/>
        <v>93.637905669513813</v>
      </c>
    </row>
    <row r="154" spans="22:23">
      <c r="V154" s="1">
        <v>14.1</v>
      </c>
      <c r="W154" s="1">
        <f t="shared" si="5"/>
        <v>93.654996658386651</v>
      </c>
    </row>
    <row r="155" spans="22:23">
      <c r="V155" s="1">
        <v>14.2</v>
      </c>
      <c r="W155" s="1">
        <f t="shared" si="5"/>
        <v>93.671757715372479</v>
      </c>
    </row>
    <row r="156" spans="22:23">
      <c r="V156" s="1">
        <v>14.3</v>
      </c>
      <c r="W156" s="1">
        <f t="shared" si="5"/>
        <v>93.688197392011148</v>
      </c>
    </row>
    <row r="157" spans="22:23">
      <c r="V157" s="1">
        <v>14.4</v>
      </c>
      <c r="W157" s="1">
        <f t="shared" si="5"/>
        <v>93.704323962795812</v>
      </c>
    </row>
    <row r="158" spans="22:23">
      <c r="V158" s="1">
        <v>14.5</v>
      </c>
      <c r="W158" s="1">
        <f t="shared" si="5"/>
        <v>93.720145435906474</v>
      </c>
    </row>
    <row r="159" spans="22:23">
      <c r="V159" s="1">
        <v>14.6</v>
      </c>
      <c r="W159" s="1">
        <f t="shared" si="5"/>
        <v>93.735669563461244</v>
      </c>
    </row>
    <row r="160" spans="22:23">
      <c r="V160" s="1">
        <v>14.7</v>
      </c>
      <c r="W160" s="1">
        <f t="shared" si="5"/>
        <v>93.750903851309545</v>
      </c>
    </row>
    <row r="161" spans="22:23">
      <c r="V161" s="1">
        <v>14.8</v>
      </c>
      <c r="W161" s="1">
        <f t="shared" si="5"/>
        <v>93.765855568390521</v>
      </c>
    </row>
    <row r="162" spans="22:23">
      <c r="V162" s="1">
        <v>14.9</v>
      </c>
      <c r="W162" s="1">
        <f t="shared" si="5"/>
        <v>93.780531755678695</v>
      </c>
    </row>
    <row r="163" spans="22:23">
      <c r="V163" s="1">
        <v>15</v>
      </c>
      <c r="W163" s="1">
        <f t="shared" si="5"/>
        <v>93.794939234737555</v>
      </c>
    </row>
    <row r="164" spans="22:23">
      <c r="V164" s="1">
        <v>15.1</v>
      </c>
      <c r="W164" s="1">
        <f t="shared" si="5"/>
        <v>93.809084615900332</v>
      </c>
    </row>
    <row r="165" spans="22:23">
      <c r="V165" s="1">
        <v>15.2</v>
      </c>
      <c r="W165" s="1">
        <f t="shared" si="5"/>
        <v>93.822974306096853</v>
      </c>
    </row>
    <row r="166" spans="22:23">
      <c r="V166" s="1">
        <v>15.3</v>
      </c>
      <c r="W166" s="1">
        <f t="shared" si="5"/>
        <v>93.836614516343474</v>
      </c>
    </row>
    <row r="167" spans="22:23">
      <c r="V167" s="1">
        <v>15.4</v>
      </c>
      <c r="W167" s="1">
        <f t="shared" si="5"/>
        <v>93.850011268912866</v>
      </c>
    </row>
    <row r="168" spans="22:23">
      <c r="V168" s="1">
        <v>15.5</v>
      </c>
      <c r="W168" s="1">
        <f t="shared" si="5"/>
        <v>93.863170404198854</v>
      </c>
    </row>
    <row r="169" spans="22:23">
      <c r="V169" s="1">
        <v>15.6</v>
      </c>
      <c r="W169" s="1">
        <f t="shared" si="5"/>
        <v>93.876097587291554</v>
      </c>
    </row>
    <row r="170" spans="22:23">
      <c r="V170" s="1">
        <v>15.7</v>
      </c>
      <c r="W170" s="1">
        <f t="shared" si="5"/>
        <v>93.888798314276144</v>
      </c>
    </row>
    <row r="171" spans="22:23">
      <c r="V171" s="1">
        <v>15.8</v>
      </c>
      <c r="W171" s="1">
        <f t="shared" si="5"/>
        <v>93.901277918268903</v>
      </c>
    </row>
    <row r="172" spans="22:23">
      <c r="V172" s="1">
        <v>15.9</v>
      </c>
      <c r="W172" s="1">
        <f t="shared" si="5"/>
        <v>93.913541575202743</v>
      </c>
    </row>
    <row r="173" spans="22:23">
      <c r="V173" s="1">
        <v>16</v>
      </c>
      <c r="W173" s="1">
        <f t="shared" si="5"/>
        <v>93.925594309374148</v>
      </c>
    </row>
    <row r="174" spans="22:23">
      <c r="V174" s="1">
        <v>16.100000000000001</v>
      </c>
      <c r="W174" s="1">
        <f t="shared" si="5"/>
        <v>93.937440998762611</v>
      </c>
    </row>
    <row r="175" spans="22:23">
      <c r="V175" s="1">
        <v>16.2</v>
      </c>
      <c r="W175" s="1">
        <f t="shared" si="5"/>
        <v>93.949086380133338</v>
      </c>
    </row>
    <row r="176" spans="22:23">
      <c r="V176" s="1">
        <v>16.3</v>
      </c>
      <c r="W176" s="1">
        <f t="shared" si="5"/>
        <v>93.960535053933071</v>
      </c>
    </row>
    <row r="177" spans="22:23">
      <c r="V177" s="1">
        <v>16.399999999999999</v>
      </c>
      <c r="W177" s="1">
        <f t="shared" si="5"/>
        <v>93.971791488988714</v>
      </c>
    </row>
    <row r="178" spans="22:23">
      <c r="V178" s="1">
        <v>16.5</v>
      </c>
      <c r="W178" s="1">
        <f t="shared" si="5"/>
        <v>93.982860027017708</v>
      </c>
    </row>
    <row r="179" spans="22:23">
      <c r="V179" s="1">
        <v>16.600000000000001</v>
      </c>
      <c r="W179" s="1">
        <f t="shared" si="5"/>
        <v>93.993744886958794</v>
      </c>
    </row>
    <row r="180" spans="22:23">
      <c r="V180" s="1">
        <v>16.7</v>
      </c>
      <c r="W180" s="1">
        <f t="shared" si="5"/>
        <v>94.004450169131204</v>
      </c>
    </row>
    <row r="181" spans="22:23">
      <c r="V181" s="1">
        <v>16.8</v>
      </c>
      <c r="W181" s="1">
        <f t="shared" si="5"/>
        <v>94.014979859230124</v>
      </c>
    </row>
    <row r="182" spans="22:23">
      <c r="V182" s="1">
        <v>16.899999999999999</v>
      </c>
      <c r="W182" s="1">
        <f t="shared" si="5"/>
        <v>94.02533783216569</v>
      </c>
    </row>
    <row r="183" spans="22:23">
      <c r="V183" s="1">
        <v>17</v>
      </c>
      <c r="W183" s="1">
        <f t="shared" si="5"/>
        <v>94.035527855752534</v>
      </c>
    </row>
    <row r="184" spans="22:23">
      <c r="V184" s="1">
        <v>17.100000000000001</v>
      </c>
      <c r="W184" s="1">
        <f t="shared" si="5"/>
        <v>94.045553594256376</v>
      </c>
    </row>
    <row r="185" spans="22:23">
      <c r="V185" s="1">
        <v>17.2</v>
      </c>
      <c r="W185" s="1">
        <f t="shared" si="5"/>
        <v>94.0554186118042</v>
      </c>
    </row>
    <row r="186" spans="22:23">
      <c r="V186" s="1">
        <v>17.3</v>
      </c>
      <c r="W186" s="1">
        <f t="shared" si="5"/>
        <v>94.065126375663681</v>
      </c>
    </row>
    <row r="187" spans="22:23">
      <c r="V187" s="1">
        <v>17.399999999999999</v>
      </c>
      <c r="W187" s="1">
        <f t="shared" si="5"/>
        <v>94.074680259397823</v>
      </c>
    </row>
    <row r="188" spans="22:23">
      <c r="V188" s="1">
        <v>17.5</v>
      </c>
      <c r="W188" s="1">
        <f t="shared" si="5"/>
        <v>94.084083545900143</v>
      </c>
    </row>
    <row r="189" spans="22:23">
      <c r="V189" s="1">
        <v>17.600000000000001</v>
      </c>
      <c r="W189" s="1">
        <f t="shared" si="5"/>
        <v>94.093339430315353</v>
      </c>
    </row>
    <row r="190" spans="22:23">
      <c r="V190" s="1">
        <v>17.7</v>
      </c>
      <c r="W190" s="1">
        <f t="shared" si="5"/>
        <v>94.102451022850857</v>
      </c>
    </row>
    <row r="191" spans="22:23">
      <c r="V191" s="1">
        <v>17.8</v>
      </c>
      <c r="W191" s="1">
        <f t="shared" si="5"/>
        <v>94.11142135148323</v>
      </c>
    </row>
    <row r="192" spans="22:23">
      <c r="V192" s="1">
        <v>17.899999999999999</v>
      </c>
      <c r="W192" s="1">
        <f t="shared" si="5"/>
        <v>94.120253364564576</v>
      </c>
    </row>
    <row r="193" spans="22:23">
      <c r="V193" s="1">
        <v>18</v>
      </c>
      <c r="W193" s="1">
        <f t="shared" si="5"/>
        <v>94.128949933332663</v>
      </c>
    </row>
    <row r="194" spans="22:23">
      <c r="V194" s="1">
        <v>18.100000000000001</v>
      </c>
      <c r="W194" s="1">
        <f t="shared" si="5"/>
        <v>94.137513854329072</v>
      </c>
    </row>
    <row r="195" spans="22:23">
      <c r="V195" s="1">
        <v>18.2</v>
      </c>
      <c r="W195" s="1">
        <f t="shared" si="5"/>
        <v>94.145947851729062</v>
      </c>
    </row>
    <row r="196" spans="22:23">
      <c r="V196" s="1">
        <v>18.3</v>
      </c>
      <c r="W196" s="1">
        <f t="shared" si="5"/>
        <v>94.154254579587004</v>
      </c>
    </row>
    <row r="197" spans="22:23">
      <c r="V197" s="1">
        <v>18.399999999999999</v>
      </c>
      <c r="W197" s="1">
        <f t="shared" si="5"/>
        <v>94.162436624000605</v>
      </c>
    </row>
    <row r="198" spans="22:23">
      <c r="V198" s="1">
        <v>18.5</v>
      </c>
      <c r="W198" s="1">
        <f t="shared" si="5"/>
        <v>94.170496505197505</v>
      </c>
    </row>
    <row r="199" spans="22:23">
      <c r="V199" s="1">
        <v>18.600000000000001</v>
      </c>
      <c r="W199" s="1">
        <f t="shared" si="5"/>
        <v>94.178436679547332</v>
      </c>
    </row>
    <row r="200" spans="22:23">
      <c r="V200" s="1">
        <v>18.7</v>
      </c>
      <c r="W200" s="1">
        <f t="shared" si="5"/>
        <v>94.18625954150211</v>
      </c>
    </row>
    <row r="201" spans="22:23">
      <c r="V201" s="1">
        <v>18.8</v>
      </c>
      <c r="W201" s="1">
        <f t="shared" si="5"/>
        <v>94.193967425468244</v>
      </c>
    </row>
    <row r="202" spans="22:23">
      <c r="V202" s="1">
        <v>18.899999999999999</v>
      </c>
      <c r="W202" s="1">
        <f t="shared" si="5"/>
        <v>94.201562607612445</v>
      </c>
    </row>
    <row r="203" spans="22:23">
      <c r="V203" s="1">
        <v>19</v>
      </c>
      <c r="W203" s="1">
        <f t="shared" si="5"/>
        <v>94.209047307604621</v>
      </c>
    </row>
    <row r="204" spans="22:23">
      <c r="V204" s="1">
        <v>19.100000000000001</v>
      </c>
      <c r="W204" s="1">
        <f t="shared" si="5"/>
        <v>94.216423690299877</v>
      </c>
    </row>
    <row r="205" spans="22:23">
      <c r="V205" s="1">
        <v>19.2</v>
      </c>
      <c r="W205" s="1">
        <f t="shared" si="5"/>
        <v>94.223693867362442</v>
      </c>
    </row>
    <row r="206" spans="22:23">
      <c r="V206" s="1">
        <v>19.3</v>
      </c>
      <c r="W206" s="1">
        <f t="shared" si="5"/>
        <v>94.23085989883333</v>
      </c>
    </row>
    <row r="207" spans="22:23">
      <c r="V207" s="1">
        <v>19.399999999999999</v>
      </c>
      <c r="W207" s="1">
        <f t="shared" si="5"/>
        <v>94.237923794644473</v>
      </c>
    </row>
    <row r="208" spans="22:23">
      <c r="V208" s="1">
        <v>19.5</v>
      </c>
      <c r="W208" s="1">
        <f t="shared" ref="W208:W221" si="6">1+($Q$23-1)/(1+1.7/(V208)^1.8)</f>
        <v>94.244887516081022</v>
      </c>
    </row>
    <row r="209" spans="22:23">
      <c r="V209" s="1">
        <v>19.600000000000001</v>
      </c>
      <c r="W209" s="1">
        <f t="shared" si="6"/>
        <v>94.251752977193931</v>
      </c>
    </row>
    <row r="210" spans="22:23">
      <c r="V210" s="1">
        <v>19.7</v>
      </c>
      <c r="W210" s="1">
        <f t="shared" si="6"/>
        <v>94.258522046164984</v>
      </c>
    </row>
    <row r="211" spans="22:23">
      <c r="V211" s="1">
        <v>19.8</v>
      </c>
      <c r="W211" s="1">
        <f t="shared" si="6"/>
        <v>94.265196546625603</v>
      </c>
    </row>
    <row r="212" spans="22:23">
      <c r="V212" s="1">
        <v>19.899999999999999</v>
      </c>
      <c r="W212" s="1">
        <f t="shared" si="6"/>
        <v>94.271778258931732</v>
      </c>
    </row>
    <row r="213" spans="22:23">
      <c r="V213" s="1">
        <v>20</v>
      </c>
      <c r="W213" s="1">
        <f t="shared" si="6"/>
        <v>94.278268921396233</v>
      </c>
    </row>
    <row r="214" spans="22:23">
      <c r="V214" s="1">
        <v>20.100000000000001</v>
      </c>
      <c r="W214" s="1">
        <f t="shared" si="6"/>
        <v>94.28467023148022</v>
      </c>
    </row>
    <row r="215" spans="22:23">
      <c r="V215" s="1">
        <v>20.2</v>
      </c>
      <c r="W215" s="1">
        <f t="shared" si="6"/>
        <v>94.290983846945338</v>
      </c>
    </row>
    <row r="216" spans="22:23">
      <c r="V216" s="1">
        <v>20.3</v>
      </c>
      <c r="W216" s="1">
        <f t="shared" si="6"/>
        <v>94.297211386968002</v>
      </c>
    </row>
    <row r="217" spans="22:23">
      <c r="V217" s="1">
        <v>20.399999999999999</v>
      </c>
      <c r="W217" s="1">
        <f t="shared" si="6"/>
        <v>94.30335443321728</v>
      </c>
    </row>
    <row r="218" spans="22:23">
      <c r="V218" s="1">
        <v>20.5</v>
      </c>
      <c r="W218" s="1">
        <f t="shared" si="6"/>
        <v>94.309414530897797</v>
      </c>
    </row>
    <row r="219" spans="22:23">
      <c r="V219" s="1">
        <v>20.6</v>
      </c>
      <c r="W219" s="1">
        <f t="shared" si="6"/>
        <v>94.31539318975868</v>
      </c>
    </row>
    <row r="220" spans="22:23">
      <c r="V220" s="1">
        <v>20.7</v>
      </c>
      <c r="W220" s="1">
        <f t="shared" si="6"/>
        <v>94.321291885070167</v>
      </c>
    </row>
    <row r="221" spans="22:23">
      <c r="V221" s="1">
        <v>20.8</v>
      </c>
      <c r="W221" s="1">
        <f t="shared" si="6"/>
        <v>94.327112058568744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N27"/>
  <sheetViews>
    <sheetView workbookViewId="0">
      <selection activeCell="I1" sqref="I1:I1048576"/>
    </sheetView>
  </sheetViews>
  <sheetFormatPr defaultRowHeight="15"/>
  <cols>
    <col min="1" max="1" width="20.28515625" bestFit="1" customWidth="1"/>
    <col min="2" max="2" width="5.7109375" style="102" bestFit="1" customWidth="1"/>
    <col min="3" max="3" width="7.140625" style="102" bestFit="1" customWidth="1"/>
    <col min="4" max="4" width="7.140625" style="102" customWidth="1"/>
    <col min="5" max="5" width="5.7109375" style="102" bestFit="1" customWidth="1"/>
    <col min="6" max="7" width="5.42578125" style="102" bestFit="1" customWidth="1"/>
    <col min="8" max="9" width="5.7109375" style="102" bestFit="1" customWidth="1"/>
    <col min="10" max="10" width="6" style="102" bestFit="1" customWidth="1"/>
    <col min="11" max="11" width="5.5703125" style="102" bestFit="1" customWidth="1"/>
    <col min="12" max="12" width="6" style="102" bestFit="1" customWidth="1"/>
    <col min="13" max="13" width="6.140625" style="102" bestFit="1" customWidth="1"/>
    <col min="14" max="14" width="5.7109375" style="102" bestFit="1" customWidth="1"/>
  </cols>
  <sheetData>
    <row r="3" spans="1:14">
      <c r="C3" s="307" t="s">
        <v>169</v>
      </c>
      <c r="D3" s="307" t="s">
        <v>23</v>
      </c>
      <c r="E3" s="307" t="s">
        <v>195</v>
      </c>
      <c r="F3" s="307" t="s">
        <v>21</v>
      </c>
      <c r="G3" s="307" t="s">
        <v>26</v>
      </c>
      <c r="H3" s="307" t="s">
        <v>20</v>
      </c>
    </row>
    <row r="4" spans="1:14">
      <c r="C4" s="308" t="s">
        <v>323</v>
      </c>
      <c r="D4" s="308">
        <f>FinFET_v97_QTUNN_FN_SCHENK_BBT_!G45</f>
        <v>1.743530101317867</v>
      </c>
      <c r="E4" s="308">
        <f>FinFET_v97_QTUNN_FN_SCHENK_BBT_!G46</f>
        <v>1.6557396859003475</v>
      </c>
      <c r="F4" s="308">
        <f>FinFET_v97_QTUNN_FN_SCHENK_BBT_!G47</f>
        <v>2.4074503785884751</v>
      </c>
      <c r="G4" s="308">
        <f>FinFET_v97_QTUNN_FN_SCHENK_BBT_!G48</f>
        <v>3.0676245967072249</v>
      </c>
      <c r="H4" s="308">
        <f>FinFET_v97_QTUNN_FN_SCHENK_BBT_!G49</f>
        <v>5.5400555766934723</v>
      </c>
    </row>
    <row r="6" spans="1:14">
      <c r="A6" s="307" t="s">
        <v>169</v>
      </c>
      <c r="B6" s="307" t="s">
        <v>293</v>
      </c>
      <c r="C6" s="307" t="s">
        <v>324</v>
      </c>
      <c r="D6" s="307" t="s">
        <v>325</v>
      </c>
      <c r="E6" s="307" t="s">
        <v>326</v>
      </c>
      <c r="F6" s="307" t="s">
        <v>327</v>
      </c>
      <c r="G6" s="307" t="s">
        <v>328</v>
      </c>
      <c r="H6" s="307" t="s">
        <v>329</v>
      </c>
      <c r="I6" s="307" t="s">
        <v>129</v>
      </c>
      <c r="J6" s="307" t="s">
        <v>131</v>
      </c>
      <c r="K6" s="307" t="s">
        <v>132</v>
      </c>
      <c r="L6" s="307" t="s">
        <v>133</v>
      </c>
      <c r="M6" s="307" t="s">
        <v>330</v>
      </c>
      <c r="N6" s="307" t="s">
        <v>331</v>
      </c>
    </row>
    <row r="7" spans="1:14">
      <c r="A7" s="308" t="s">
        <v>323</v>
      </c>
      <c r="B7" s="308">
        <f>FinFET_v97_QTUNN_FN_SCHENK_BBT_!G50</f>
        <v>1.6317655970434075</v>
      </c>
      <c r="C7" s="308">
        <f>FinFET_v97_QTUNN_FN_SCHENK_BBT_!G51</f>
        <v>3.5408895189077922</v>
      </c>
      <c r="D7" s="308">
        <f>FinFET_v97_QTUNN_FN_SCHENK_BBT_!G52</f>
        <v>3.7472337220081271</v>
      </c>
      <c r="E7" s="308">
        <f>FinFET_v97_QTUNN_FN_SCHENK_BBT_!G53</f>
        <v>2.1526501253183099</v>
      </c>
      <c r="F7" s="308">
        <f>FinFET_v97_QTUNN_FN_SCHENK_BBT_!G54</f>
        <v>2.6539611694739569</v>
      </c>
      <c r="G7" s="308">
        <f>FinFET_v97_QTUNN_FN_SCHENK_BBT_!G55</f>
        <v>2.3713914489914152</v>
      </c>
      <c r="H7" s="308">
        <f>FinFET_v97_QTUNN_FN_SCHENK_BBT_!G56</f>
        <v>3.4965474752213184</v>
      </c>
      <c r="I7" s="308">
        <f>FinFET_v97_QTUNN_FN_SCHENK_BBT_!G57</f>
        <v>2.6205815641268813</v>
      </c>
      <c r="J7" s="308">
        <f>FinFET_v97_QTUNN_FN_SCHENK_BBT_!G58</f>
        <v>2.448216568767005</v>
      </c>
      <c r="K7" s="308">
        <f>FinFET_v97_QTUNN_FN_SCHENK_BBT_!G59</f>
        <v>3.3916230069947746</v>
      </c>
      <c r="L7" s="308">
        <f>FinFET_v97_QTUNN_FN_SCHENK_BBT_!G60</f>
        <v>4.2600249334862097</v>
      </c>
      <c r="M7" s="308">
        <f>FinFET_v97_QTUNN_FN_SCHENK_BBT_!G61</f>
        <v>4.1342145274317739</v>
      </c>
      <c r="N7" s="308">
        <f>FinFET_v97_QTUNN_FN_SCHENK_BBT_!G62</f>
        <v>5.2209714802271483</v>
      </c>
    </row>
    <row r="10" spans="1:14">
      <c r="A10" s="307" t="s">
        <v>169</v>
      </c>
      <c r="B10" s="307" t="s">
        <v>293</v>
      </c>
      <c r="C10" s="307" t="s">
        <v>324</v>
      </c>
      <c r="D10" s="307" t="s">
        <v>325</v>
      </c>
      <c r="E10" s="307" t="s">
        <v>326</v>
      </c>
      <c r="F10" s="307" t="s">
        <v>327</v>
      </c>
      <c r="G10" s="307" t="s">
        <v>328</v>
      </c>
      <c r="H10" s="307" t="s">
        <v>329</v>
      </c>
      <c r="I10" s="307" t="s">
        <v>129</v>
      </c>
      <c r="J10" s="307" t="s">
        <v>131</v>
      </c>
      <c r="K10" s="307" t="s">
        <v>132</v>
      </c>
      <c r="L10" s="307" t="s">
        <v>133</v>
      </c>
      <c r="M10" s="307" t="s">
        <v>330</v>
      </c>
      <c r="N10" s="307" t="s">
        <v>331</v>
      </c>
    </row>
    <row r="11" spans="1:14" hidden="1">
      <c r="A11" s="308" t="s">
        <v>336</v>
      </c>
      <c r="B11" s="308">
        <f>FinFET_v97_QTUNN_FN_SCHENK_BBT_!M11</f>
        <v>7.9000675219446324</v>
      </c>
      <c r="C11" s="308">
        <f>FinFET_v97_QTUNN_FN_SCHENK_BBT_!N11</f>
        <v>12.006157003591586</v>
      </c>
      <c r="D11" s="308">
        <f>FinFET_v97_QTUNN_FN_SCHENK_BBT_!O11</f>
        <v>13.146067415730338</v>
      </c>
      <c r="E11" s="308">
        <f>FinFET_v97_QTUNN_FN_SCHENK_BBT_!P11</f>
        <v>21.176470588235293</v>
      </c>
      <c r="F11" s="308">
        <f>FinFET_v97_QTUNN_FN_SCHENK_BBT_!Q11</f>
        <v>23.635107118175537</v>
      </c>
      <c r="G11" s="308">
        <f>FinFET_v97_QTUNN_FN_SCHENK_BBT_!R11</f>
        <v>8.5648237333847046</v>
      </c>
      <c r="H11" s="308">
        <f>FinFET_v97_QTUNN_FN_SCHENK_BBT_!S11</f>
        <v>9.774006331340134</v>
      </c>
      <c r="I11" s="308">
        <f>FinFET_v97_QTUNN_FN_SCHENK_BBT_!T11</f>
        <v>22.411533420707734</v>
      </c>
      <c r="J11" s="308">
        <f>FinFET_v97_QTUNN_FN_SCHENK_BBT_!U11</f>
        <v>7.492416582406471</v>
      </c>
      <c r="K11" s="308">
        <f>FinFET_v97_QTUNN_FN_SCHENK_BBT_!V11</f>
        <v>9.5582070299903261</v>
      </c>
      <c r="L11" s="308">
        <f>FinFET_v97_QTUNN_FN_SCHENK_BBT_!W11</f>
        <v>39.583333333333336</v>
      </c>
      <c r="M11" s="308">
        <f>FinFET_v97_QTUNN_FN_SCHENK_BBT_!X11</f>
        <v>36.267232237539773</v>
      </c>
      <c r="N11" s="308">
        <f>FinFET_v97_QTUNN_FN_SCHENK_BBT_!Y11</f>
        <v>64.772727272727266</v>
      </c>
    </row>
    <row r="12" spans="1:14">
      <c r="A12" s="308" t="s">
        <v>353</v>
      </c>
      <c r="B12" s="308">
        <f>FinFET_v97_QTUNN_FN_SCHENK_BBT_!M14</f>
        <v>13.633333333333333</v>
      </c>
      <c r="C12" s="308">
        <f>FinFET_v97_QTUNN_FN_SCHENK_BBT_!N14</f>
        <v>19.316666666666666</v>
      </c>
      <c r="D12" s="308">
        <f>FinFET_v97_QTUNN_FN_SCHENK_BBT_!O14</f>
        <v>21.483333333333334</v>
      </c>
      <c r="E12" s="308">
        <f>FinFET_v97_QTUNN_FN_SCHENK_BBT_!P14</f>
        <v>22.833333333333332</v>
      </c>
      <c r="F12" s="308">
        <f>FinFET_v97_QTUNN_FN_SCHENK_BBT_!Q14</f>
        <v>34.5</v>
      </c>
      <c r="G12" s="308">
        <f>FinFET_v97_QTUNN_FN_SCHENK_BBT_!R14</f>
        <v>36.966666666666669</v>
      </c>
      <c r="H12" s="308">
        <f>FinFET_v97_QTUNN_FN_SCHENK_BBT_!S14</f>
        <v>41.300000000000004</v>
      </c>
      <c r="I12" s="308">
        <f>FinFET_v97_QTUNN_FN_SCHENK_BBT_!T14</f>
        <v>44</v>
      </c>
      <c r="J12" s="308">
        <f>FinFET_v97_QTUNN_FN_SCHENK_BBT_!U14</f>
        <v>49.449999999999996</v>
      </c>
      <c r="K12" s="308">
        <f>FinFET_v97_QTUNN_FN_SCHENK_BBT_!V14</f>
        <v>50.800000000000004</v>
      </c>
      <c r="L12" s="308">
        <f>FinFET_v97_QTUNN_FN_SCHENK_BBT_!W14</f>
        <v>60</v>
      </c>
      <c r="M12" s="308">
        <f>FinFET_v97_QTUNN_FN_SCHENK_BBT_!X14</f>
        <v>69.5</v>
      </c>
      <c r="N12" s="308">
        <f>FinFET_v97_QTUNN_FN_SCHENK_BBT_!Y14</f>
        <v>83.333333333333329</v>
      </c>
    </row>
    <row r="13" spans="1:14">
      <c r="A13" s="308" t="s">
        <v>354</v>
      </c>
      <c r="B13" s="328">
        <f>FinFET_v98_HEI_HHI!M5</f>
        <v>1</v>
      </c>
      <c r="C13" s="328">
        <f>FinFET_v98_HEI_HHI!N5</f>
        <v>0.5</v>
      </c>
      <c r="D13" s="328">
        <f>FinFET_v98_HEI_HHI!O5</f>
        <v>0.5</v>
      </c>
      <c r="E13" s="328">
        <f>FinFET_v98_HEI_HHI!P5</f>
        <v>0</v>
      </c>
      <c r="F13" s="328">
        <f>FinFET_v98_HEI_HHI!Q5</f>
        <v>0</v>
      </c>
      <c r="G13" s="328">
        <f>FinFET_v98_HEI_HHI!R5</f>
        <v>1</v>
      </c>
      <c r="H13" s="328">
        <f>FinFET_v98_HEI_HHI!S5</f>
        <v>1</v>
      </c>
      <c r="I13" s="328">
        <f>FinFET_v98_HEI_HHI!T5</f>
        <v>0</v>
      </c>
      <c r="J13" s="328">
        <f>FinFET_v98_HEI_HHI!U5</f>
        <v>1.5</v>
      </c>
      <c r="K13" s="328">
        <f>FinFET_v98_HEI_HHI!V5</f>
        <v>1</v>
      </c>
      <c r="L13" s="328">
        <f>FinFET_v98_HEI_HHI!W5</f>
        <v>0</v>
      </c>
      <c r="M13" s="328">
        <f>FinFET_v98_HEI_HHI!X5</f>
        <v>0</v>
      </c>
      <c r="N13" s="328">
        <f>FinFET_v98_HEI_HHI!Y5</f>
        <v>0</v>
      </c>
    </row>
    <row r="14" spans="1:14">
      <c r="A14" s="308" t="s">
        <v>355</v>
      </c>
      <c r="B14" s="328">
        <f>FinFET_v98_HEI_HHI!M6</f>
        <v>1</v>
      </c>
      <c r="C14" s="328">
        <f>FinFET_v98_HEI_HHI!N6</f>
        <v>0.5</v>
      </c>
      <c r="D14" s="328">
        <f>FinFET_v98_HEI_HHI!O6</f>
        <v>0</v>
      </c>
      <c r="E14" s="328">
        <f>FinFET_v98_HEI_HHI!P6</f>
        <v>0.5</v>
      </c>
      <c r="F14" s="328">
        <f>FinFET_v98_HEI_HHI!Q6</f>
        <v>0.5</v>
      </c>
      <c r="G14" s="328">
        <f>FinFET_v98_HEI_HHI!R6</f>
        <v>1</v>
      </c>
      <c r="H14" s="328">
        <f>FinFET_v98_HEI_HHI!S6</f>
        <v>0</v>
      </c>
      <c r="I14" s="328">
        <f>FinFET_v98_HEI_HHI!T6</f>
        <v>1</v>
      </c>
      <c r="J14" s="328">
        <f>FinFET_v98_HEI_HHI!U6</f>
        <v>0</v>
      </c>
      <c r="K14" s="328">
        <f>FinFET_v98_HEI_HHI!V6</f>
        <v>0.5</v>
      </c>
      <c r="L14" s="328">
        <f>FinFET_v98_HEI_HHI!W6</f>
        <v>0</v>
      </c>
      <c r="M14" s="328">
        <f>FinFET_v98_HEI_HHI!X6</f>
        <v>0.5</v>
      </c>
      <c r="N14" s="328">
        <f>FinFET_v98_HEI_HHI!Y6</f>
        <v>0</v>
      </c>
    </row>
    <row r="15" spans="1:14">
      <c r="A15" s="308" t="s">
        <v>356</v>
      </c>
      <c r="B15" s="328">
        <f>FinFET_v98_HEI_HHI!M7</f>
        <v>1</v>
      </c>
      <c r="C15" s="328">
        <f>FinFET_v98_HEI_HHI!N7</f>
        <v>2</v>
      </c>
      <c r="D15" s="328">
        <f>FinFET_v98_HEI_HHI!O7</f>
        <v>2.5</v>
      </c>
      <c r="E15" s="328">
        <f>FinFET_v98_HEI_HHI!P7</f>
        <v>2.5</v>
      </c>
      <c r="F15" s="328">
        <f>FinFET_v98_HEI_HHI!Q7</f>
        <v>2</v>
      </c>
      <c r="G15" s="328">
        <f>FinFET_v98_HEI_HHI!R7</f>
        <v>0</v>
      </c>
      <c r="H15" s="328">
        <f>FinFET_v98_HEI_HHI!S7</f>
        <v>1</v>
      </c>
      <c r="I15" s="328">
        <f>FinFET_v98_HEI_HHI!T7</f>
        <v>1</v>
      </c>
      <c r="J15" s="328">
        <f>FinFET_v98_HEI_HHI!U7</f>
        <v>0</v>
      </c>
      <c r="K15" s="328">
        <f>FinFET_v98_HEI_HHI!V7</f>
        <v>0</v>
      </c>
      <c r="L15" s="328">
        <f>FinFET_v98_HEI_HHI!W7</f>
        <v>1.5</v>
      </c>
      <c r="M15" s="328">
        <f>FinFET_v98_HEI_HHI!X7</f>
        <v>0.5</v>
      </c>
      <c r="N15" s="328">
        <f>FinFET_v98_HEI_HHI!Y7</f>
        <v>0.5</v>
      </c>
    </row>
    <row r="16" spans="1:14">
      <c r="A16" s="308" t="s">
        <v>357</v>
      </c>
      <c r="B16" s="328">
        <f>FinFET_v98_HEI_HHI!M9</f>
        <v>0</v>
      </c>
      <c r="C16" s="328">
        <f>FinFET_v98_HEI_HHI!N9</f>
        <v>0</v>
      </c>
      <c r="D16" s="328">
        <f>FinFET_v98_HEI_HHI!O9</f>
        <v>0</v>
      </c>
      <c r="E16" s="328">
        <f>FinFET_v98_HEI_HHI!P9</f>
        <v>0</v>
      </c>
      <c r="F16" s="328">
        <f>FinFET_v98_HEI_HHI!Q9</f>
        <v>0.5</v>
      </c>
      <c r="G16" s="328">
        <f>FinFET_v98_HEI_HHI!R9</f>
        <v>1</v>
      </c>
      <c r="H16" s="328">
        <f>FinFET_v98_HEI_HHI!S9</f>
        <v>1</v>
      </c>
      <c r="I16" s="328">
        <f>FinFET_v98_HEI_HHI!T9</f>
        <v>1</v>
      </c>
      <c r="J16" s="328">
        <f>FinFET_v98_HEI_HHI!U9</f>
        <v>1.5</v>
      </c>
      <c r="K16" s="328">
        <f>FinFET_v98_HEI_HHI!V9</f>
        <v>1.5</v>
      </c>
      <c r="L16" s="328">
        <f>FinFET_v98_HEI_HHI!W9</f>
        <v>1.5</v>
      </c>
      <c r="M16" s="328">
        <f>FinFET_v98_HEI_HHI!X9</f>
        <v>2</v>
      </c>
      <c r="N16" s="328">
        <f>FinFET_v98_HEI_HHI!Y9</f>
        <v>2.5</v>
      </c>
    </row>
    <row r="17" spans="1:14">
      <c r="A17" s="308" t="s">
        <v>206</v>
      </c>
      <c r="B17" s="328">
        <f>SUM(B13:B16)</f>
        <v>3</v>
      </c>
      <c r="C17" s="328">
        <f t="shared" ref="C17:N17" si="0">SUM(C13:C16)</f>
        <v>3</v>
      </c>
      <c r="D17" s="328">
        <f t="shared" si="0"/>
        <v>3</v>
      </c>
      <c r="E17" s="328">
        <f t="shared" si="0"/>
        <v>3</v>
      </c>
      <c r="F17" s="328">
        <f t="shared" si="0"/>
        <v>3</v>
      </c>
      <c r="G17" s="328">
        <f t="shared" si="0"/>
        <v>3</v>
      </c>
      <c r="H17" s="328">
        <f t="shared" si="0"/>
        <v>3</v>
      </c>
      <c r="I17" s="328">
        <f t="shared" si="0"/>
        <v>3</v>
      </c>
      <c r="J17" s="328">
        <f t="shared" si="0"/>
        <v>3</v>
      </c>
      <c r="K17" s="328">
        <f t="shared" si="0"/>
        <v>3</v>
      </c>
      <c r="L17" s="328">
        <f t="shared" si="0"/>
        <v>3</v>
      </c>
      <c r="M17" s="328">
        <f t="shared" si="0"/>
        <v>3</v>
      </c>
      <c r="N17" s="328">
        <f t="shared" si="0"/>
        <v>3</v>
      </c>
    </row>
    <row r="18" spans="1:14">
      <c r="A18" s="308"/>
    </row>
    <row r="19" spans="1:14">
      <c r="A19" s="329" t="s">
        <v>359</v>
      </c>
      <c r="B19" s="331">
        <f>FinFET_v98_HEI_HHI!C18</f>
        <v>3.9</v>
      </c>
      <c r="C19" s="331">
        <f>B19</f>
        <v>3.9</v>
      </c>
      <c r="D19" s="331">
        <f>C19</f>
        <v>3.9</v>
      </c>
      <c r="E19" s="331">
        <f>B20</f>
        <v>12</v>
      </c>
      <c r="F19" s="331">
        <f>E19</f>
        <v>12</v>
      </c>
      <c r="G19" s="331">
        <f>D19</f>
        <v>3.9</v>
      </c>
      <c r="H19" s="331">
        <f>G19</f>
        <v>3.9</v>
      </c>
      <c r="I19" s="331">
        <f>E19</f>
        <v>12</v>
      </c>
      <c r="J19" s="331">
        <f>H19</f>
        <v>3.9</v>
      </c>
      <c r="K19" s="331">
        <f>H19</f>
        <v>3.9</v>
      </c>
      <c r="L19" s="331">
        <f>B21</f>
        <v>25</v>
      </c>
      <c r="M19" s="331">
        <f>E19</f>
        <v>12</v>
      </c>
      <c r="N19" s="331">
        <f>L19</f>
        <v>25</v>
      </c>
    </row>
    <row r="20" spans="1:14">
      <c r="A20" s="329" t="s">
        <v>360</v>
      </c>
      <c r="B20" s="331">
        <f>FinFET_v98_HEI_HHI!C21</f>
        <v>12</v>
      </c>
      <c r="C20" s="331">
        <f>B20</f>
        <v>12</v>
      </c>
      <c r="D20" s="331">
        <v>25</v>
      </c>
      <c r="E20" s="331">
        <f>D20</f>
        <v>25</v>
      </c>
      <c r="F20" s="331">
        <f>E20</f>
        <v>25</v>
      </c>
      <c r="G20" s="331">
        <f>C20</f>
        <v>12</v>
      </c>
      <c r="H20" s="331">
        <f>F20</f>
        <v>25</v>
      </c>
      <c r="I20" s="331">
        <f>H20</f>
        <v>25</v>
      </c>
      <c r="J20" s="331">
        <f>F21</f>
        <v>95</v>
      </c>
      <c r="K20" s="331">
        <f>C20</f>
        <v>12</v>
      </c>
      <c r="L20" s="331">
        <f>J20</f>
        <v>95</v>
      </c>
      <c r="M20" s="331">
        <f>I20</f>
        <v>25</v>
      </c>
      <c r="N20" s="331">
        <f>M21</f>
        <v>95</v>
      </c>
    </row>
    <row r="21" spans="1:14">
      <c r="A21" s="329" t="s">
        <v>361</v>
      </c>
      <c r="B21" s="331">
        <f>FinFET_v98_HEI_HHI!C22</f>
        <v>25</v>
      </c>
      <c r="C21" s="331">
        <f>B21</f>
        <v>25</v>
      </c>
      <c r="D21" s="331"/>
      <c r="E21" s="331"/>
      <c r="F21" s="331">
        <f>FinFET_v98_HEI_HHI!C24</f>
        <v>95</v>
      </c>
      <c r="G21" s="331">
        <f>F21</f>
        <v>95</v>
      </c>
      <c r="H21" s="331">
        <f>F21</f>
        <v>95</v>
      </c>
      <c r="I21" s="331">
        <f>H21</f>
        <v>95</v>
      </c>
      <c r="J21" s="331"/>
      <c r="K21" s="331">
        <f>I21</f>
        <v>95</v>
      </c>
      <c r="L21" s="331"/>
      <c r="M21" s="331">
        <f>K21</f>
        <v>95</v>
      </c>
      <c r="N21" s="331"/>
    </row>
    <row r="22" spans="1:14">
      <c r="A22" s="329" t="s">
        <v>364</v>
      </c>
      <c r="B22" s="331">
        <f>B13/(B13+B14)</f>
        <v>0.5</v>
      </c>
      <c r="C22" s="331">
        <f>C13/(C13+C14)</f>
        <v>0.5</v>
      </c>
      <c r="D22" s="331">
        <f>D13/(D13+D15)</f>
        <v>0.16666666666666666</v>
      </c>
      <c r="E22" s="331">
        <f>E14/(E14+E15)</f>
        <v>0.16666666666666666</v>
      </c>
      <c r="F22" s="331">
        <f>F14/(F14+F15)</f>
        <v>0.2</v>
      </c>
      <c r="G22" s="331">
        <f>G13/(G13+G14)</f>
        <v>0.5</v>
      </c>
      <c r="H22" s="331">
        <f>H13/(H13+H15)</f>
        <v>0.5</v>
      </c>
      <c r="I22" s="331">
        <f>I14/(I14+I15)</f>
        <v>0.5</v>
      </c>
      <c r="J22" s="331">
        <f>J13/(J13+J16)</f>
        <v>0.5</v>
      </c>
      <c r="K22" s="331">
        <f>K13/(K13+K14)</f>
        <v>0.66666666666666663</v>
      </c>
      <c r="L22" s="331">
        <f>L15/(L16+L15)</f>
        <v>0.5</v>
      </c>
      <c r="M22" s="331">
        <f>M14/(M14+M15)</f>
        <v>0.5</v>
      </c>
      <c r="N22" s="331">
        <f>N15/(N15+N16)</f>
        <v>0.16666666666666666</v>
      </c>
    </row>
    <row r="23" spans="1:14">
      <c r="A23" s="329" t="s">
        <v>365</v>
      </c>
      <c r="B23" s="331">
        <f>1-B22</f>
        <v>0.5</v>
      </c>
      <c r="C23" s="331">
        <f>1-C22</f>
        <v>0.5</v>
      </c>
      <c r="D23" s="331"/>
      <c r="E23" s="331"/>
      <c r="F23" s="331">
        <f t="shared" ref="F23:K23" si="1">1-F22</f>
        <v>0.8</v>
      </c>
      <c r="G23" s="331">
        <f t="shared" si="1"/>
        <v>0.5</v>
      </c>
      <c r="H23" s="331">
        <f t="shared" si="1"/>
        <v>0.5</v>
      </c>
      <c r="I23" s="331">
        <f t="shared" si="1"/>
        <v>0.5</v>
      </c>
      <c r="J23" s="331">
        <f t="shared" si="1"/>
        <v>0.5</v>
      </c>
      <c r="K23" s="331">
        <f t="shared" si="1"/>
        <v>0.33333333333333337</v>
      </c>
      <c r="L23" s="331"/>
      <c r="M23" s="331"/>
      <c r="N23" s="331"/>
    </row>
    <row r="24" spans="1:14">
      <c r="A24" s="329" t="s">
        <v>362</v>
      </c>
      <c r="B24" s="331">
        <f>(B13+B14)/(B13+B14+B15)</f>
        <v>0.66666666666666663</v>
      </c>
      <c r="C24" s="331">
        <f>(C13+C14)/(C13+C14+C15)</f>
        <v>0.33333333333333331</v>
      </c>
      <c r="D24" s="331">
        <f>(D13+D14)/(D13+D14+D15)</f>
        <v>0.16666666666666666</v>
      </c>
      <c r="E24" s="331">
        <f>(E13+E14)/(E13+E14+E15)</f>
        <v>0.16666666666666666</v>
      </c>
      <c r="F24" s="331">
        <f>(F14+F15)/(F17)</f>
        <v>0.83333333333333337</v>
      </c>
      <c r="G24" s="331">
        <f>(G13+G14)/(G13+G14+G16)</f>
        <v>0.66666666666666663</v>
      </c>
      <c r="H24" s="331">
        <f>(H13+H15)/(H13+H15+H16)</f>
        <v>0.66666666666666663</v>
      </c>
      <c r="I24" s="331">
        <f>(I13+I15)/(I13+I15+I16)</f>
        <v>0.5</v>
      </c>
      <c r="J24" s="331"/>
      <c r="K24" s="331">
        <f>(K13+K14)/(K13+K14+K16)</f>
        <v>0.5</v>
      </c>
      <c r="L24" s="331"/>
      <c r="M24" s="331">
        <f>(M14+M15)/(M14+M15+M16)</f>
        <v>0.33333333333333331</v>
      </c>
      <c r="N24" s="331">
        <f>(N14+N15)/(N14+N15+N16)</f>
        <v>0.16666666666666666</v>
      </c>
    </row>
    <row r="25" spans="1:14">
      <c r="A25" s="329" t="s">
        <v>363</v>
      </c>
      <c r="B25" s="331">
        <f t="shared" ref="B25:I25" si="2">1-B24</f>
        <v>0.33333333333333337</v>
      </c>
      <c r="C25" s="331">
        <f t="shared" si="2"/>
        <v>0.66666666666666674</v>
      </c>
      <c r="D25" s="331">
        <f t="shared" si="2"/>
        <v>0.83333333333333337</v>
      </c>
      <c r="E25" s="331">
        <f t="shared" si="2"/>
        <v>0.83333333333333337</v>
      </c>
      <c r="F25" s="331">
        <f t="shared" si="2"/>
        <v>0.16666666666666663</v>
      </c>
      <c r="G25" s="331">
        <f t="shared" si="2"/>
        <v>0.33333333333333337</v>
      </c>
      <c r="H25" s="331">
        <f t="shared" si="2"/>
        <v>0.33333333333333337</v>
      </c>
      <c r="I25" s="331">
        <f t="shared" si="2"/>
        <v>0.5</v>
      </c>
      <c r="J25" s="331"/>
      <c r="K25" s="331">
        <f>1-K24</f>
        <v>0.5</v>
      </c>
      <c r="L25" s="331"/>
      <c r="M25" s="331">
        <f>1-M24</f>
        <v>0.66666666666666674</v>
      </c>
      <c r="N25" s="331"/>
    </row>
    <row r="26" spans="1:14">
      <c r="A26" s="329" t="s">
        <v>358</v>
      </c>
      <c r="B26" s="332">
        <f t="shared" ref="B26:N26" si="3">B20*(B19+2*B20+2*(B22)*(B19-B20))/(B19+2*B20-2*(B22)*(B19-B20))</f>
        <v>6.5999999999999988</v>
      </c>
      <c r="C26" s="332">
        <f t="shared" si="3"/>
        <v>6.5999999999999988</v>
      </c>
      <c r="D26" s="332">
        <f t="shared" si="3"/>
        <v>19.228665207877462</v>
      </c>
      <c r="E26" s="332">
        <f t="shared" si="3"/>
        <v>21.73366834170854</v>
      </c>
      <c r="F26" s="332">
        <f t="shared" si="3"/>
        <v>21.13095238095238</v>
      </c>
      <c r="G26" s="332">
        <f t="shared" si="3"/>
        <v>6.5999999999999988</v>
      </c>
      <c r="H26" s="332">
        <f t="shared" si="3"/>
        <v>10.933333333333332</v>
      </c>
      <c r="I26" s="332">
        <f t="shared" si="3"/>
        <v>16.333333333333332</v>
      </c>
      <c r="J26" s="332">
        <f t="shared" si="3"/>
        <v>34.266666666666673</v>
      </c>
      <c r="K26" s="332">
        <f t="shared" si="3"/>
        <v>5.3023255813953503</v>
      </c>
      <c r="L26" s="332">
        <f t="shared" si="3"/>
        <v>48.333333333333336</v>
      </c>
      <c r="M26" s="332">
        <f t="shared" si="3"/>
        <v>16.333333333333332</v>
      </c>
      <c r="N26" s="332">
        <f t="shared" si="3"/>
        <v>76.398601398601386</v>
      </c>
    </row>
    <row r="27" spans="1:14">
      <c r="A27" s="329" t="s">
        <v>298</v>
      </c>
      <c r="B27" s="332">
        <f>B21*(B26+2*B21+2*(B24)*(B26-B21))/(B26+2*B21-2*(B24)*(B26-B21))</f>
        <v>9.8808545603944093</v>
      </c>
      <c r="C27" s="332">
        <f>C21*(C26+2*C21+2*(C24)*(C26-C21))/(C26+2*C21-2*(C24)*(C26-C21))</f>
        <v>16.093901258470474</v>
      </c>
      <c r="D27" s="332">
        <f>D26</f>
        <v>19.228665207877462</v>
      </c>
      <c r="E27" s="332">
        <f>E26</f>
        <v>21.73366834170854</v>
      </c>
      <c r="F27" s="332">
        <f>F21*(F26+2*F21+2*(F24)*(F26-F21))/(F26+2*F21-2*(F24)*(F26-F21))</f>
        <v>25.016027543630535</v>
      </c>
      <c r="G27" s="332">
        <f>G21*(G26+2*G21+2*(G24)*(G26-G21))/(G26+2*G21-2*(G24)*(G26-G21))</f>
        <v>23.785244859020558</v>
      </c>
      <c r="H27" s="332">
        <f>H21*(H26+2*H21+2*(H24)*(H26-H21))/(H26+2*H21-2*(H24)*(H26-H21))</f>
        <v>26.963651852903599</v>
      </c>
      <c r="I27" s="332">
        <f>I21*(I26+2*I21+2*(I24)*(I26-I21))/(I26+2*I21-2*(I24)*(I26-I21))</f>
        <v>42.555555555555557</v>
      </c>
      <c r="J27" s="331">
        <f>J26</f>
        <v>34.266666666666673</v>
      </c>
      <c r="K27" s="332">
        <f>K21*(K26+2*K21+2*(K24)*(K26-K21))/(K26+2*K21-2*(K24)*(K26-K21))</f>
        <v>35.201550387596896</v>
      </c>
      <c r="L27" s="331">
        <f>L26</f>
        <v>48.333333333333336</v>
      </c>
      <c r="M27" s="332">
        <f>M21*(M26+2*M21+2*(M24)*(M26-M21))/(M26+2*M21-2*(M24)*(M26-M21))</f>
        <v>56.494203520824399</v>
      </c>
      <c r="N27" s="331">
        <f>N26</f>
        <v>76.398601398601386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K15:S24"/>
  <sheetViews>
    <sheetView zoomScale="96" workbookViewId="0">
      <selection activeCell="T23" sqref="T23"/>
    </sheetView>
  </sheetViews>
  <sheetFormatPr defaultRowHeight="15"/>
  <cols>
    <col min="11" max="11" width="11.28515625" bestFit="1" customWidth="1"/>
  </cols>
  <sheetData>
    <row r="15" spans="11:19">
      <c r="M15" s="2" t="s">
        <v>251</v>
      </c>
      <c r="N15" s="2"/>
      <c r="O15" s="2"/>
      <c r="P15" s="2"/>
      <c r="Q15" s="2" t="s">
        <v>21</v>
      </c>
      <c r="R15" s="2" t="s">
        <v>23</v>
      </c>
      <c r="S15" s="2" t="s">
        <v>20</v>
      </c>
    </row>
    <row r="16" spans="11:19" ht="15.75" thickBot="1">
      <c r="K16" t="s">
        <v>24</v>
      </c>
      <c r="L16" s="235" t="s">
        <v>250</v>
      </c>
      <c r="M16" s="298">
        <f>1+(M17-1)/(1+(M18*2*3.141592/(M19*M20*O21))^2)</f>
        <v>11.573571432417724</v>
      </c>
      <c r="N16" t="s">
        <v>253</v>
      </c>
      <c r="Q16" s="44" t="e">
        <f>1+(Q17-1)/(1+(Q18*2*3.141592/(Q19*Q20*S21))^2)</f>
        <v>#DIV/0!</v>
      </c>
    </row>
    <row r="17" spans="11:17" ht="16.5" thickTop="1" thickBot="1">
      <c r="K17" t="s">
        <v>270</v>
      </c>
      <c r="L17" s="235" t="s">
        <v>250</v>
      </c>
      <c r="M17" s="299">
        <v>11.7</v>
      </c>
      <c r="N17" t="s">
        <v>253</v>
      </c>
      <c r="Q17">
        <v>22</v>
      </c>
    </row>
    <row r="18" spans="11:17" ht="16.5" thickTop="1" thickBot="1">
      <c r="K18" t="s">
        <v>244</v>
      </c>
      <c r="L18" t="s">
        <v>249</v>
      </c>
      <c r="M18" s="300">
        <v>12.6</v>
      </c>
      <c r="N18" t="s">
        <v>252</v>
      </c>
      <c r="Q18">
        <v>12.6</v>
      </c>
    </row>
    <row r="19" spans="11:17" ht="16.5" thickTop="1" thickBot="1">
      <c r="K19" t="s">
        <v>167</v>
      </c>
      <c r="L19" t="s">
        <v>248</v>
      </c>
      <c r="M19" s="300">
        <v>4</v>
      </c>
      <c r="N19" t="s">
        <v>252</v>
      </c>
      <c r="Q19">
        <v>5.6</v>
      </c>
    </row>
    <row r="20" spans="11:17" ht="16.5" thickTop="1" thickBot="1">
      <c r="K20" t="s">
        <v>245</v>
      </c>
      <c r="L20" t="s">
        <v>245</v>
      </c>
      <c r="M20" s="301">
        <v>18100000000</v>
      </c>
      <c r="N20" t="s">
        <v>254</v>
      </c>
      <c r="Q20" s="54">
        <v>18100000000</v>
      </c>
    </row>
    <row r="21" spans="11:17" ht="16.5" thickTop="1" thickBot="1">
      <c r="K21" t="s">
        <v>246</v>
      </c>
      <c r="L21" t="s">
        <v>247</v>
      </c>
      <c r="M21" s="299">
        <v>100</v>
      </c>
      <c r="N21" t="s">
        <v>66</v>
      </c>
      <c r="O21" s="54">
        <f>M21*0.0000000001</f>
        <v>1E-8</v>
      </c>
      <c r="Q21" s="297">
        <v>100</v>
      </c>
    </row>
    <row r="22" spans="11:17" ht="15.75" thickTop="1"/>
    <row r="23" spans="11:17">
      <c r="K23" t="s">
        <v>255</v>
      </c>
      <c r="L23" t="s">
        <v>256</v>
      </c>
      <c r="M23" s="302">
        <f>M18*2*3.141592/(M20*M21)</f>
        <v>4.3739291933701656E-11</v>
      </c>
      <c r="Q23" s="54">
        <f>Q18*2*3.141592/(Q20*Q21)</f>
        <v>4.3739291933701656E-11</v>
      </c>
    </row>
    <row r="24" spans="11:17">
      <c r="K24" t="s">
        <v>243</v>
      </c>
      <c r="L24" s="235" t="s">
        <v>250</v>
      </c>
      <c r="M24" s="298">
        <f>1+((M17-1)/(1+(M23/M19)^2))</f>
        <v>11.7</v>
      </c>
      <c r="Q24" s="44">
        <f>1+((Q17-1)/(1+(Q23/Q19)^2))</f>
        <v>22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56"/>
  <sheetViews>
    <sheetView topLeftCell="A4" zoomScale="74" workbookViewId="0">
      <selection activeCell="AA13" sqref="AA13"/>
    </sheetView>
  </sheetViews>
  <sheetFormatPr defaultRowHeight="15"/>
  <cols>
    <col min="1" max="1" width="8.85546875" style="2"/>
    <col min="2" max="2" width="13.5703125" bestFit="1" customWidth="1"/>
    <col min="4" max="4" width="9.7109375" bestFit="1" customWidth="1"/>
    <col min="6" max="6" width="8.85546875" customWidth="1"/>
    <col min="8" max="8" width="10.7109375" bestFit="1" customWidth="1"/>
    <col min="9" max="9" width="11.28515625" bestFit="1" customWidth="1"/>
    <col min="10" max="10" width="11" customWidth="1"/>
    <col min="11" max="11" width="9.7109375" customWidth="1"/>
  </cols>
  <sheetData>
    <row r="1" spans="1:14">
      <c r="A1" s="2" t="s">
        <v>194</v>
      </c>
    </row>
    <row r="2" spans="1:14">
      <c r="D2" s="1" t="s">
        <v>23</v>
      </c>
      <c r="E2" s="1" t="s">
        <v>195</v>
      </c>
      <c r="F2" s="1" t="s">
        <v>288</v>
      </c>
      <c r="G2" s="1" t="s">
        <v>26</v>
      </c>
      <c r="H2" s="1" t="s">
        <v>20</v>
      </c>
      <c r="I2" s="10"/>
      <c r="J2" s="10"/>
      <c r="K2" s="10"/>
      <c r="N2" s="1"/>
    </row>
    <row r="3" spans="1:14">
      <c r="D3" s="1">
        <v>3.9</v>
      </c>
      <c r="E3" s="1">
        <v>12</v>
      </c>
      <c r="F3" s="1">
        <v>22</v>
      </c>
      <c r="G3" s="1">
        <v>30</v>
      </c>
      <c r="H3" s="1">
        <v>80</v>
      </c>
      <c r="I3" s="10"/>
      <c r="J3" s="10" t="s">
        <v>274</v>
      </c>
      <c r="K3" s="10">
        <v>0</v>
      </c>
      <c r="N3" s="1"/>
    </row>
    <row r="4" spans="1:14">
      <c r="D4" s="10" t="s">
        <v>272</v>
      </c>
      <c r="E4" s="1"/>
      <c r="F4" s="1" t="s">
        <v>289</v>
      </c>
      <c r="G4" s="1"/>
      <c r="H4" s="10" t="s">
        <v>273</v>
      </c>
      <c r="I4" s="1"/>
      <c r="J4" s="1"/>
      <c r="K4" s="1"/>
      <c r="L4" s="1"/>
      <c r="M4" s="1"/>
      <c r="N4" s="1"/>
    </row>
    <row r="5" spans="1:14"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D6" s="1" t="s">
        <v>271</v>
      </c>
      <c r="E6" s="1">
        <f>$H$3*($F$3+2*$H$3+2*$K$3*($F$3-$H$3))/($F$3+2*$H$3-$K$3*($F$3-$H$3))</f>
        <v>80</v>
      </c>
      <c r="F6" s="1"/>
      <c r="G6" s="1"/>
      <c r="H6" s="1"/>
      <c r="I6" s="1"/>
      <c r="J6" s="1"/>
      <c r="K6" s="1"/>
      <c r="L6" s="1"/>
      <c r="M6" s="1"/>
      <c r="N6" s="1"/>
    </row>
    <row r="7" spans="1:14">
      <c r="D7" s="1"/>
      <c r="E7" s="1"/>
      <c r="F7" s="1"/>
      <c r="G7" s="1"/>
      <c r="H7" s="1"/>
      <c r="I7" s="1"/>
      <c r="J7" s="1"/>
      <c r="L7" s="1"/>
      <c r="M7" s="1"/>
      <c r="N7" s="1"/>
    </row>
    <row r="8" spans="1:14" ht="46.9" customHeight="1" thickBot="1">
      <c r="F8" s="279" t="s">
        <v>279</v>
      </c>
      <c r="G8" s="279" t="s">
        <v>281</v>
      </c>
      <c r="H8" s="280" t="s">
        <v>276</v>
      </c>
      <c r="I8" s="280" t="s">
        <v>277</v>
      </c>
      <c r="K8" s="279" t="s">
        <v>279</v>
      </c>
      <c r="L8" s="279" t="s">
        <v>281</v>
      </c>
      <c r="M8" s="280" t="s">
        <v>276</v>
      </c>
      <c r="N8" s="280" t="s">
        <v>277</v>
      </c>
    </row>
    <row r="9" spans="1:14" ht="15.75" thickTop="1">
      <c r="F9" s="1">
        <v>0</v>
      </c>
      <c r="G9" s="1">
        <f>1-F9</f>
        <v>1</v>
      </c>
      <c r="H9" s="69">
        <f t="shared" ref="H9:H22" si="0">$H$3*($D$3+2*$H$3+2*F9*($D$3-$H$3))/($D$3+2*$H$3-F9*($D$3-$H$3))</f>
        <v>80</v>
      </c>
      <c r="I9" s="69">
        <f t="shared" ref="I9:I22" si="1">$D$3*$H$3/(F9*$H$3+(1-F9)*$D$3)</f>
        <v>80</v>
      </c>
      <c r="K9" s="1">
        <v>0</v>
      </c>
      <c r="L9" s="1">
        <f>1-K9</f>
        <v>1</v>
      </c>
      <c r="M9" s="69">
        <f t="shared" ref="M9:M21" si="2">$H$3*($F$3+2*$H$3+2*K9*($F$3-$H$3))/($F$3+2*$H$3-K9*($F$3-$H$3))</f>
        <v>80</v>
      </c>
      <c r="N9" s="69">
        <f t="shared" ref="N9:N21" si="3">$F$3*$H$3/(K9*$H$3+(1-K9)*$F$3)</f>
        <v>80</v>
      </c>
    </row>
    <row r="10" spans="1:14">
      <c r="F10" s="1">
        <v>0.02</v>
      </c>
      <c r="G10" s="1">
        <f>1-F10</f>
        <v>0.98</v>
      </c>
      <c r="H10" s="69">
        <f t="shared" si="0"/>
        <v>77.791829381823462</v>
      </c>
      <c r="I10" s="69">
        <f t="shared" si="1"/>
        <v>57.543341940243444</v>
      </c>
      <c r="K10" s="1">
        <v>0.02</v>
      </c>
      <c r="L10" s="1">
        <f>1-K10</f>
        <v>0.98</v>
      </c>
      <c r="M10" s="69">
        <f t="shared" si="2"/>
        <v>78.480017471063562</v>
      </c>
      <c r="N10" s="69">
        <f t="shared" si="3"/>
        <v>75.993091537132983</v>
      </c>
    </row>
    <row r="11" spans="1:14">
      <c r="F11" s="1">
        <v>0.05</v>
      </c>
      <c r="G11" s="1">
        <f>1-F11</f>
        <v>0.95</v>
      </c>
      <c r="H11" s="69">
        <f t="shared" si="0"/>
        <v>74.554724069049811</v>
      </c>
      <c r="I11" s="69">
        <f t="shared" si="1"/>
        <v>40.493186242699544</v>
      </c>
      <c r="K11" s="1">
        <v>0.05</v>
      </c>
      <c r="L11" s="1">
        <f>1-K11</f>
        <v>0.95</v>
      </c>
      <c r="M11" s="69">
        <f t="shared" si="2"/>
        <v>76.235803136830711</v>
      </c>
      <c r="N11" s="69">
        <f t="shared" si="3"/>
        <v>70.682730923694777</v>
      </c>
    </row>
    <row r="12" spans="1:14">
      <c r="F12" s="1">
        <v>0.1</v>
      </c>
      <c r="G12" s="1">
        <f t="shared" ref="G12:G22" si="4">1-F12</f>
        <v>0.9</v>
      </c>
      <c r="H12" s="69">
        <f t="shared" si="0"/>
        <v>69.351058247332531</v>
      </c>
      <c r="I12" s="69">
        <f t="shared" si="1"/>
        <v>27.106863596872284</v>
      </c>
      <c r="K12" s="1">
        <v>0.1</v>
      </c>
      <c r="L12" s="1">
        <f t="shared" ref="L12:L22" si="5">1-K12</f>
        <v>0.9</v>
      </c>
      <c r="M12" s="69">
        <f t="shared" si="2"/>
        <v>72.587859424920126</v>
      </c>
      <c r="N12" s="69">
        <f t="shared" si="3"/>
        <v>63.309352517985609</v>
      </c>
    </row>
    <row r="13" spans="1:14">
      <c r="F13" s="1">
        <v>0.2</v>
      </c>
      <c r="G13" s="1">
        <f t="shared" si="4"/>
        <v>0.8</v>
      </c>
      <c r="H13" s="69">
        <f t="shared" si="0"/>
        <v>59.606967396159007</v>
      </c>
      <c r="I13" s="69">
        <f t="shared" si="1"/>
        <v>16.317991631799163</v>
      </c>
      <c r="K13" s="1">
        <v>0.2</v>
      </c>
      <c r="L13" s="1">
        <f t="shared" si="5"/>
        <v>0.8</v>
      </c>
      <c r="M13" s="69">
        <f t="shared" si="2"/>
        <v>65.619834710743802</v>
      </c>
      <c r="N13" s="69">
        <f t="shared" si="3"/>
        <v>52.38095238095238</v>
      </c>
    </row>
    <row r="14" spans="1:14">
      <c r="F14" s="1">
        <v>0.3</v>
      </c>
      <c r="G14" s="1">
        <f t="shared" si="4"/>
        <v>0.7</v>
      </c>
      <c r="H14" s="69">
        <f t="shared" si="0"/>
        <v>50.657098484442777</v>
      </c>
      <c r="I14" s="69">
        <f t="shared" si="1"/>
        <v>11.672278338945006</v>
      </c>
      <c r="K14" s="1">
        <v>0.3</v>
      </c>
      <c r="L14" s="1">
        <f t="shared" si="5"/>
        <v>0.7</v>
      </c>
      <c r="M14" s="69">
        <f t="shared" si="2"/>
        <v>59.057171514543626</v>
      </c>
      <c r="N14" s="69">
        <f t="shared" si="3"/>
        <v>44.670050761421322</v>
      </c>
    </row>
    <row r="15" spans="1:14">
      <c r="F15" s="1">
        <v>0.4</v>
      </c>
      <c r="G15" s="1">
        <f t="shared" si="4"/>
        <v>0.6</v>
      </c>
      <c r="H15" s="69">
        <f t="shared" si="0"/>
        <v>42.408150663785122</v>
      </c>
      <c r="I15" s="69">
        <f t="shared" si="1"/>
        <v>9.0856144437973203</v>
      </c>
      <c r="K15" s="1">
        <v>0.4</v>
      </c>
      <c r="L15" s="1">
        <f t="shared" si="5"/>
        <v>0.6</v>
      </c>
      <c r="M15" s="69">
        <f t="shared" si="2"/>
        <v>52.865497076023395</v>
      </c>
      <c r="N15" s="69">
        <f t="shared" si="3"/>
        <v>38.938053097345133</v>
      </c>
    </row>
    <row r="16" spans="1:14">
      <c r="F16" s="1">
        <v>0.5</v>
      </c>
      <c r="G16" s="1">
        <f t="shared" si="4"/>
        <v>0.5</v>
      </c>
      <c r="H16" s="69">
        <f t="shared" si="0"/>
        <v>34.780886358009411</v>
      </c>
      <c r="I16" s="69">
        <f t="shared" si="1"/>
        <v>7.4374255065554227</v>
      </c>
      <c r="K16" s="1">
        <v>0.5</v>
      </c>
      <c r="L16" s="1">
        <f t="shared" si="5"/>
        <v>0.5</v>
      </c>
      <c r="M16" s="69">
        <f t="shared" si="2"/>
        <v>47.014218009478675</v>
      </c>
      <c r="N16" s="69">
        <f t="shared" si="3"/>
        <v>34.509803921568626</v>
      </c>
    </row>
    <row r="17" spans="4:14">
      <c r="F17" s="1">
        <v>0.6</v>
      </c>
      <c r="G17" s="1">
        <f t="shared" si="4"/>
        <v>0.4</v>
      </c>
      <c r="H17" s="69">
        <f t="shared" si="0"/>
        <v>27.707577782019477</v>
      </c>
      <c r="I17" s="69">
        <f t="shared" si="1"/>
        <v>6.2953995157384988</v>
      </c>
      <c r="K17" s="1">
        <v>0.6</v>
      </c>
      <c r="L17" s="1">
        <f t="shared" si="5"/>
        <v>0.4</v>
      </c>
      <c r="M17" s="69">
        <f t="shared" si="2"/>
        <v>41.476014760147599</v>
      </c>
      <c r="N17" s="69">
        <f t="shared" si="3"/>
        <v>30.985915492957748</v>
      </c>
    </row>
    <row r="18" spans="4:14">
      <c r="F18" s="1">
        <v>0.7</v>
      </c>
      <c r="G18" s="1">
        <f t="shared" si="4"/>
        <v>0.30000000000000004</v>
      </c>
      <c r="H18" s="69">
        <f t="shared" si="0"/>
        <v>21.129990330156101</v>
      </c>
      <c r="I18" s="69">
        <f t="shared" si="1"/>
        <v>5.4574077313276188</v>
      </c>
      <c r="K18" s="1">
        <v>0.7</v>
      </c>
      <c r="L18" s="1">
        <f t="shared" si="5"/>
        <v>0.30000000000000004</v>
      </c>
      <c r="M18" s="69">
        <f t="shared" si="2"/>
        <v>36.226415094339629</v>
      </c>
      <c r="N18" s="69">
        <f t="shared" si="3"/>
        <v>28.115015974440894</v>
      </c>
    </row>
    <row r="19" spans="4:14">
      <c r="F19" s="1">
        <v>0.8</v>
      </c>
      <c r="G19" s="1">
        <f t="shared" si="4"/>
        <v>0.19999999999999996</v>
      </c>
      <c r="H19" s="69">
        <f t="shared" si="0"/>
        <v>14.997775602811643</v>
      </c>
      <c r="I19" s="69">
        <f t="shared" si="1"/>
        <v>4.8163013275702378</v>
      </c>
      <c r="K19" s="1">
        <v>0.8</v>
      </c>
      <c r="L19" s="1">
        <f t="shared" si="5"/>
        <v>0.19999999999999996</v>
      </c>
      <c r="M19" s="69">
        <f t="shared" si="2"/>
        <v>31.24343257443082</v>
      </c>
      <c r="N19" s="69">
        <f t="shared" si="3"/>
        <v>25.730994152046783</v>
      </c>
    </row>
    <row r="20" spans="4:14">
      <c r="F20" s="1">
        <v>0.9</v>
      </c>
      <c r="G20" s="1">
        <f t="shared" si="4"/>
        <v>9.9999999999999978E-2</v>
      </c>
      <c r="H20" s="69">
        <f t="shared" si="0"/>
        <v>9.2671801712638295</v>
      </c>
      <c r="I20" s="69">
        <f t="shared" si="1"/>
        <v>4.3099875673435557</v>
      </c>
      <c r="K20" s="1">
        <v>0.9</v>
      </c>
      <c r="L20" s="1">
        <f t="shared" si="5"/>
        <v>9.9999999999999978E-2</v>
      </c>
      <c r="M20" s="69">
        <f t="shared" si="2"/>
        <v>26.507258753202393</v>
      </c>
      <c r="N20" s="69">
        <f t="shared" si="3"/>
        <v>23.719676549865227</v>
      </c>
    </row>
    <row r="21" spans="4:14">
      <c r="F21" s="1">
        <v>0.95</v>
      </c>
      <c r="G21" s="1">
        <f t="shared" si="4"/>
        <v>5.0000000000000044E-2</v>
      </c>
      <c r="H21" s="69">
        <f t="shared" si="0"/>
        <v>6.540358602002593</v>
      </c>
      <c r="I21" s="69">
        <f t="shared" si="1"/>
        <v>4.0947568738106179</v>
      </c>
      <c r="K21" s="1">
        <v>0.95</v>
      </c>
      <c r="L21" s="1">
        <f t="shared" si="5"/>
        <v>5.0000000000000044E-2</v>
      </c>
      <c r="M21" s="69">
        <f t="shared" si="2"/>
        <v>24.226064951497264</v>
      </c>
      <c r="N21" s="69">
        <f t="shared" si="3"/>
        <v>22.827496757457848</v>
      </c>
    </row>
    <row r="22" spans="4:14" ht="15.75" thickBot="1">
      <c r="F22" s="281">
        <v>1</v>
      </c>
      <c r="G22" s="281">
        <f t="shared" si="4"/>
        <v>0</v>
      </c>
      <c r="H22" s="281">
        <f t="shared" si="0"/>
        <v>3.9000000000000057</v>
      </c>
      <c r="I22" s="281">
        <f t="shared" si="1"/>
        <v>3.9</v>
      </c>
      <c r="K22" s="281">
        <v>1</v>
      </c>
      <c r="L22" s="281">
        <f t="shared" si="5"/>
        <v>0</v>
      </c>
      <c r="M22" s="281">
        <f>$H$3*($F$3+2*$H$3+2*K22*($F$3-$H$3))/($F$3+2*$H$3-K22*($F$3-$H$3))</f>
        <v>22</v>
      </c>
      <c r="N22" s="281">
        <f>$F$3*$H$3/(K22*$H$3+(1-K22)*$F$3)</f>
        <v>22</v>
      </c>
    </row>
    <row r="23" spans="4:14" ht="15.75" thickTop="1"/>
    <row r="25" spans="4:14" ht="58.9" customHeight="1" thickBot="1">
      <c r="D25" s="2" t="s">
        <v>292</v>
      </c>
      <c r="E25" s="303" t="s">
        <v>283</v>
      </c>
      <c r="F25" s="279" t="s">
        <v>279</v>
      </c>
      <c r="G25" s="279" t="s">
        <v>281</v>
      </c>
      <c r="H25" s="279" t="s">
        <v>282</v>
      </c>
      <c r="I25" s="280" t="s">
        <v>284</v>
      </c>
      <c r="J25" s="280" t="s">
        <v>285</v>
      </c>
      <c r="K25" s="280" t="s">
        <v>286</v>
      </c>
      <c r="L25" s="280" t="s">
        <v>287</v>
      </c>
    </row>
    <row r="26" spans="4:14" ht="15.75" thickTop="1">
      <c r="D26" s="2">
        <v>3</v>
      </c>
      <c r="E26" s="2"/>
      <c r="F26" s="1">
        <v>0</v>
      </c>
      <c r="G26" s="1">
        <f>1-F26</f>
        <v>1</v>
      </c>
      <c r="H26" s="1">
        <f>1-F26-G26</f>
        <v>0</v>
      </c>
      <c r="I26" s="69">
        <f t="shared" ref="I26:I36" si="6">$H$3*($F$3+2*$H$3+2*F26*($F$3-$H$3))/($F$3+2*$H$3-F26*($F$3-$H$3))</f>
        <v>80</v>
      </c>
      <c r="J26" s="69">
        <f t="shared" ref="J26:J36" si="7">$F$3*$H$3/(F26*$H$3+(1-F26)*$F$3)</f>
        <v>80</v>
      </c>
      <c r="K26" s="69">
        <f t="shared" ref="K26:K36" si="8">$H$3*($F$3+2*$H$3+2*H26*($F$3-$H$3))/($F$3+2*$H$3-H26*($F$3-$H$3))</f>
        <v>80</v>
      </c>
      <c r="L26" s="69">
        <f t="shared" ref="L26:L36" si="9">$F$3*$H$3/(H26*$H$3+(1-H26)*$F$3)</f>
        <v>80</v>
      </c>
    </row>
    <row r="27" spans="4:14">
      <c r="D27" s="2">
        <v>3</v>
      </c>
      <c r="E27" s="2"/>
      <c r="F27" s="1">
        <v>0.1</v>
      </c>
      <c r="G27" s="1">
        <f t="shared" ref="G27:G36" si="10">1-F27</f>
        <v>0.9</v>
      </c>
      <c r="H27" s="1">
        <f t="shared" ref="H27:H36" si="11">1-F27-G27</f>
        <v>0</v>
      </c>
      <c r="I27" s="69">
        <f t="shared" si="6"/>
        <v>72.587859424920126</v>
      </c>
      <c r="J27" s="69">
        <f t="shared" si="7"/>
        <v>63.309352517985609</v>
      </c>
      <c r="K27" s="69">
        <f t="shared" si="8"/>
        <v>80</v>
      </c>
      <c r="L27" s="69">
        <f t="shared" si="9"/>
        <v>80</v>
      </c>
    </row>
    <row r="28" spans="4:14">
      <c r="D28" s="2">
        <v>3</v>
      </c>
      <c r="E28" s="2"/>
      <c r="F28" s="1">
        <v>0.2</v>
      </c>
      <c r="G28" s="1">
        <f t="shared" si="10"/>
        <v>0.8</v>
      </c>
      <c r="H28" s="1">
        <f t="shared" si="11"/>
        <v>0</v>
      </c>
      <c r="I28" s="69">
        <f t="shared" si="6"/>
        <v>65.619834710743802</v>
      </c>
      <c r="J28" s="69">
        <f t="shared" si="7"/>
        <v>52.38095238095238</v>
      </c>
      <c r="K28" s="69">
        <f t="shared" si="8"/>
        <v>80</v>
      </c>
      <c r="L28" s="69">
        <f t="shared" si="9"/>
        <v>80</v>
      </c>
    </row>
    <row r="29" spans="4:14">
      <c r="D29" s="2">
        <v>3</v>
      </c>
      <c r="E29" s="2"/>
      <c r="F29" s="1">
        <v>0.3</v>
      </c>
      <c r="G29" s="1">
        <f t="shared" si="10"/>
        <v>0.7</v>
      </c>
      <c r="H29" s="1">
        <f t="shared" si="11"/>
        <v>0</v>
      </c>
      <c r="I29" s="69">
        <f t="shared" si="6"/>
        <v>59.057171514543626</v>
      </c>
      <c r="J29" s="69">
        <f t="shared" si="7"/>
        <v>44.670050761421322</v>
      </c>
      <c r="K29" s="69">
        <f t="shared" si="8"/>
        <v>80</v>
      </c>
      <c r="L29" s="69">
        <f t="shared" si="9"/>
        <v>80</v>
      </c>
    </row>
    <row r="30" spans="4:14">
      <c r="D30" s="2">
        <v>3</v>
      </c>
      <c r="E30" s="2"/>
      <c r="F30" s="1">
        <v>0.4</v>
      </c>
      <c r="G30" s="1">
        <f t="shared" si="10"/>
        <v>0.6</v>
      </c>
      <c r="H30" s="1">
        <f t="shared" si="11"/>
        <v>0</v>
      </c>
      <c r="I30" s="69">
        <f t="shared" si="6"/>
        <v>52.865497076023395</v>
      </c>
      <c r="J30" s="69">
        <f t="shared" si="7"/>
        <v>38.938053097345133</v>
      </c>
      <c r="K30" s="69">
        <f t="shared" si="8"/>
        <v>80</v>
      </c>
      <c r="L30" s="69">
        <f t="shared" si="9"/>
        <v>80</v>
      </c>
    </row>
    <row r="31" spans="4:14">
      <c r="D31" s="2">
        <v>3</v>
      </c>
      <c r="E31" s="2" t="s">
        <v>293</v>
      </c>
      <c r="F31" s="10">
        <v>0.5</v>
      </c>
      <c r="G31" s="10">
        <f t="shared" si="10"/>
        <v>0.5</v>
      </c>
      <c r="H31" s="1">
        <f t="shared" si="11"/>
        <v>0</v>
      </c>
      <c r="I31" s="69">
        <f t="shared" si="6"/>
        <v>47.014218009478675</v>
      </c>
      <c r="J31" s="69">
        <f t="shared" si="7"/>
        <v>34.509803921568626</v>
      </c>
      <c r="K31" s="69">
        <f t="shared" si="8"/>
        <v>80</v>
      </c>
      <c r="L31" s="69">
        <f t="shared" si="9"/>
        <v>80</v>
      </c>
    </row>
    <row r="32" spans="4:14">
      <c r="D32" s="2">
        <v>3</v>
      </c>
      <c r="E32" s="2"/>
      <c r="F32" s="1">
        <v>0.6</v>
      </c>
      <c r="G32" s="1">
        <f t="shared" si="10"/>
        <v>0.4</v>
      </c>
      <c r="H32" s="1">
        <f t="shared" si="11"/>
        <v>0</v>
      </c>
      <c r="I32" s="69">
        <f t="shared" si="6"/>
        <v>41.476014760147599</v>
      </c>
      <c r="J32" s="69">
        <f t="shared" si="7"/>
        <v>30.985915492957748</v>
      </c>
      <c r="K32" s="69">
        <f t="shared" si="8"/>
        <v>80</v>
      </c>
      <c r="L32" s="69">
        <f t="shared" si="9"/>
        <v>80</v>
      </c>
    </row>
    <row r="33" spans="1:21">
      <c r="D33" s="2">
        <v>3</v>
      </c>
      <c r="E33" s="2"/>
      <c r="F33" s="1">
        <v>0.7</v>
      </c>
      <c r="G33" s="1">
        <f t="shared" si="10"/>
        <v>0.30000000000000004</v>
      </c>
      <c r="H33" s="1">
        <f t="shared" si="11"/>
        <v>0</v>
      </c>
      <c r="I33" s="69">
        <f t="shared" si="6"/>
        <v>36.226415094339629</v>
      </c>
      <c r="J33" s="69">
        <f t="shared" si="7"/>
        <v>28.115015974440894</v>
      </c>
      <c r="K33" s="69">
        <f t="shared" si="8"/>
        <v>80</v>
      </c>
      <c r="L33" s="69">
        <f t="shared" si="9"/>
        <v>80</v>
      </c>
    </row>
    <row r="34" spans="1:21">
      <c r="D34" s="2">
        <v>3</v>
      </c>
      <c r="E34" s="2"/>
      <c r="F34" s="1">
        <v>0.8</v>
      </c>
      <c r="G34" s="1">
        <f t="shared" si="10"/>
        <v>0.19999999999999996</v>
      </c>
      <c r="H34" s="1">
        <f t="shared" si="11"/>
        <v>0</v>
      </c>
      <c r="I34" s="69">
        <f t="shared" si="6"/>
        <v>31.24343257443082</v>
      </c>
      <c r="J34" s="69">
        <f t="shared" si="7"/>
        <v>25.730994152046783</v>
      </c>
      <c r="K34" s="69">
        <f t="shared" si="8"/>
        <v>80</v>
      </c>
      <c r="L34" s="69">
        <f t="shared" si="9"/>
        <v>80</v>
      </c>
    </row>
    <row r="35" spans="1:21">
      <c r="D35" s="2">
        <v>3</v>
      </c>
      <c r="E35" s="2"/>
      <c r="F35" s="1">
        <v>0.9</v>
      </c>
      <c r="G35" s="1">
        <f t="shared" si="10"/>
        <v>9.9999999999999978E-2</v>
      </c>
      <c r="H35" s="1">
        <f t="shared" si="11"/>
        <v>0</v>
      </c>
      <c r="I35" s="69">
        <f t="shared" si="6"/>
        <v>26.507258753202393</v>
      </c>
      <c r="J35" s="69">
        <f t="shared" si="7"/>
        <v>23.719676549865227</v>
      </c>
      <c r="K35" s="69">
        <f t="shared" si="8"/>
        <v>80</v>
      </c>
      <c r="L35" s="69">
        <f t="shared" si="9"/>
        <v>80</v>
      </c>
    </row>
    <row r="36" spans="1:21" ht="15.75" thickBot="1">
      <c r="D36" s="2"/>
      <c r="E36" s="2"/>
      <c r="F36" s="281">
        <v>1</v>
      </c>
      <c r="G36" s="281">
        <f t="shared" si="10"/>
        <v>0</v>
      </c>
      <c r="H36" s="281">
        <f t="shared" si="11"/>
        <v>0</v>
      </c>
      <c r="I36" s="282">
        <f t="shared" si="6"/>
        <v>22</v>
      </c>
      <c r="J36" s="282">
        <f t="shared" si="7"/>
        <v>22</v>
      </c>
      <c r="K36" s="282">
        <f t="shared" si="8"/>
        <v>80</v>
      </c>
      <c r="L36" s="282">
        <f t="shared" si="9"/>
        <v>80</v>
      </c>
    </row>
    <row r="37" spans="1:21" ht="15.75" thickTop="1"/>
    <row r="39" spans="1:21" ht="15.75" thickBot="1">
      <c r="A39" s="2" t="s">
        <v>168</v>
      </c>
      <c r="B39" s="261"/>
      <c r="C39" s="288">
        <f>C67</f>
        <v>0</v>
      </c>
      <c r="D39" s="288">
        <f t="shared" ref="D39:U39" si="12">D67</f>
        <v>0</v>
      </c>
      <c r="E39" s="288">
        <f t="shared" si="12"/>
        <v>0</v>
      </c>
      <c r="F39" s="288">
        <f t="shared" si="12"/>
        <v>0</v>
      </c>
      <c r="G39" s="288">
        <f t="shared" si="12"/>
        <v>0</v>
      </c>
      <c r="H39" s="288">
        <f t="shared" si="12"/>
        <v>0</v>
      </c>
      <c r="I39" s="263">
        <f t="shared" si="12"/>
        <v>0</v>
      </c>
      <c r="J39" s="263">
        <f t="shared" si="12"/>
        <v>0</v>
      </c>
      <c r="K39" s="263">
        <f t="shared" si="12"/>
        <v>0</v>
      </c>
      <c r="L39" s="263">
        <f t="shared" si="12"/>
        <v>0</v>
      </c>
      <c r="M39" s="263">
        <f t="shared" si="12"/>
        <v>0</v>
      </c>
      <c r="N39" s="263">
        <f t="shared" si="12"/>
        <v>0</v>
      </c>
      <c r="O39" s="263">
        <f t="shared" si="12"/>
        <v>0</v>
      </c>
      <c r="P39" s="263">
        <f t="shared" si="12"/>
        <v>0</v>
      </c>
      <c r="Q39" s="263">
        <f t="shared" si="12"/>
        <v>0</v>
      </c>
      <c r="R39" s="263">
        <f t="shared" si="12"/>
        <v>0</v>
      </c>
      <c r="S39" s="263">
        <f t="shared" si="12"/>
        <v>0</v>
      </c>
      <c r="T39" s="263">
        <f t="shared" si="12"/>
        <v>0</v>
      </c>
      <c r="U39" s="263">
        <f t="shared" si="12"/>
        <v>0</v>
      </c>
    </row>
    <row r="40" spans="1:21" ht="15.75" thickTop="1">
      <c r="A40" s="2">
        <v>3.9</v>
      </c>
      <c r="B40" s="264" t="s">
        <v>13</v>
      </c>
      <c r="C40" s="265">
        <v>3</v>
      </c>
      <c r="D40" s="265">
        <v>0</v>
      </c>
      <c r="E40" s="265">
        <v>0</v>
      </c>
      <c r="F40" s="265">
        <v>0</v>
      </c>
      <c r="G40" s="265">
        <v>0</v>
      </c>
      <c r="H40" s="265">
        <v>3</v>
      </c>
      <c r="I40" s="265">
        <v>1.5</v>
      </c>
      <c r="J40" s="265">
        <v>1</v>
      </c>
      <c r="K40" s="265">
        <v>1</v>
      </c>
      <c r="L40" s="265">
        <v>1</v>
      </c>
      <c r="M40" s="265">
        <v>1</v>
      </c>
      <c r="N40" s="265">
        <v>0.5</v>
      </c>
      <c r="O40" s="265">
        <v>0.5</v>
      </c>
      <c r="P40" s="265">
        <v>0</v>
      </c>
      <c r="Q40" s="265">
        <v>0</v>
      </c>
      <c r="R40" s="265">
        <v>0</v>
      </c>
      <c r="S40" s="265">
        <v>0</v>
      </c>
      <c r="T40" s="265">
        <v>0</v>
      </c>
      <c r="U40" s="265">
        <v>0</v>
      </c>
    </row>
    <row r="41" spans="1:21">
      <c r="A41" s="2">
        <v>12</v>
      </c>
      <c r="B41" s="264" t="s">
        <v>269</v>
      </c>
      <c r="C41" s="265">
        <v>0</v>
      </c>
      <c r="D41" s="265">
        <v>3</v>
      </c>
      <c r="E41" s="265">
        <v>0</v>
      </c>
      <c r="F41" s="265">
        <v>0</v>
      </c>
      <c r="G41" s="265">
        <v>0</v>
      </c>
      <c r="H41" s="265">
        <v>0</v>
      </c>
      <c r="I41" s="265">
        <v>0</v>
      </c>
      <c r="J41" s="265">
        <v>1</v>
      </c>
      <c r="K41" s="265">
        <v>1</v>
      </c>
      <c r="L41" s="265">
        <v>0.5</v>
      </c>
      <c r="M41" s="265">
        <v>0</v>
      </c>
      <c r="N41" s="265">
        <v>0.5</v>
      </c>
      <c r="O41" s="265">
        <v>0</v>
      </c>
      <c r="P41" s="265">
        <v>0.5</v>
      </c>
      <c r="Q41" s="265">
        <v>1</v>
      </c>
      <c r="R41" s="265">
        <v>0.5</v>
      </c>
      <c r="S41" s="265">
        <v>0.5</v>
      </c>
      <c r="T41" s="265">
        <v>0</v>
      </c>
      <c r="U41" s="265">
        <v>0</v>
      </c>
    </row>
    <row r="42" spans="1:21">
      <c r="A42" s="2">
        <v>22</v>
      </c>
      <c r="B42" s="264" t="s">
        <v>14</v>
      </c>
      <c r="C42" s="265">
        <v>0</v>
      </c>
      <c r="D42" s="265">
        <v>0</v>
      </c>
      <c r="E42" s="265">
        <v>3</v>
      </c>
      <c r="F42" s="265">
        <v>0</v>
      </c>
      <c r="G42" s="265">
        <v>0</v>
      </c>
      <c r="H42" s="265">
        <v>0</v>
      </c>
      <c r="I42" s="265">
        <v>0</v>
      </c>
      <c r="J42" s="265">
        <v>1</v>
      </c>
      <c r="K42" s="265">
        <v>0</v>
      </c>
      <c r="L42" s="265">
        <v>0</v>
      </c>
      <c r="M42" s="265">
        <v>1</v>
      </c>
      <c r="N42" s="265">
        <v>2</v>
      </c>
      <c r="O42" s="265">
        <v>2.5</v>
      </c>
      <c r="P42" s="265">
        <v>2.5</v>
      </c>
      <c r="Q42" s="265">
        <v>1</v>
      </c>
      <c r="R42" s="265">
        <v>2</v>
      </c>
      <c r="S42" s="265">
        <v>0.5</v>
      </c>
      <c r="T42" s="265">
        <v>1.5</v>
      </c>
      <c r="U42" s="265">
        <v>0.5</v>
      </c>
    </row>
    <row r="43" spans="1:21">
      <c r="A43" s="2">
        <v>30</v>
      </c>
      <c r="B43" s="264" t="s">
        <v>196</v>
      </c>
      <c r="C43" s="265">
        <v>0</v>
      </c>
      <c r="D43" s="265">
        <v>0</v>
      </c>
      <c r="E43" s="265">
        <v>0</v>
      </c>
      <c r="F43" s="265">
        <v>3</v>
      </c>
      <c r="G43" s="265">
        <v>0</v>
      </c>
      <c r="H43" s="265">
        <v>0</v>
      </c>
      <c r="I43" s="265">
        <v>0</v>
      </c>
      <c r="J43" s="265">
        <v>0</v>
      </c>
      <c r="K43" s="265">
        <v>0</v>
      </c>
      <c r="L43" s="265">
        <v>0</v>
      </c>
      <c r="M43" s="265">
        <v>0</v>
      </c>
      <c r="N43" s="265">
        <v>0</v>
      </c>
      <c r="O43" s="265">
        <v>0</v>
      </c>
      <c r="P43" s="265">
        <v>0</v>
      </c>
      <c r="Q43" s="265">
        <v>0</v>
      </c>
      <c r="R43" s="265">
        <v>0</v>
      </c>
      <c r="S43" s="265">
        <v>0</v>
      </c>
      <c r="T43" s="265">
        <v>0</v>
      </c>
      <c r="U43" s="265">
        <v>0</v>
      </c>
    </row>
    <row r="44" spans="1:21">
      <c r="A44" s="2">
        <v>80</v>
      </c>
      <c r="B44" s="264" t="s">
        <v>34</v>
      </c>
      <c r="C44" s="265">
        <v>0</v>
      </c>
      <c r="D44" s="265">
        <v>0</v>
      </c>
      <c r="E44" s="265">
        <v>0</v>
      </c>
      <c r="F44" s="265">
        <v>0</v>
      </c>
      <c r="G44" s="265">
        <v>3</v>
      </c>
      <c r="H44" s="265">
        <v>0</v>
      </c>
      <c r="I44" s="265">
        <v>1.5</v>
      </c>
      <c r="J44" s="265">
        <v>0</v>
      </c>
      <c r="K44" s="265">
        <v>1</v>
      </c>
      <c r="L44" s="265">
        <v>1.5</v>
      </c>
      <c r="M44" s="265">
        <v>1</v>
      </c>
      <c r="N44" s="265">
        <v>0</v>
      </c>
      <c r="O44" s="265">
        <v>0</v>
      </c>
      <c r="P44" s="265">
        <v>0</v>
      </c>
      <c r="Q44" s="265">
        <v>1</v>
      </c>
      <c r="R44" s="265">
        <v>0.5</v>
      </c>
      <c r="S44" s="265">
        <v>2</v>
      </c>
      <c r="T44" s="265">
        <v>1.5</v>
      </c>
      <c r="U44" s="265">
        <v>2.5</v>
      </c>
    </row>
    <row r="45" spans="1:21">
      <c r="B45" s="264" t="s">
        <v>151</v>
      </c>
      <c r="C45" s="265">
        <f>SUM(C40:C44)</f>
        <v>3</v>
      </c>
      <c r="D45" s="265">
        <f>SUM(D40:D44)</f>
        <v>3</v>
      </c>
      <c r="E45" s="265">
        <f t="shared" ref="E45:N45" si="13">SUM(E40:E44)</f>
        <v>3</v>
      </c>
      <c r="F45" s="265">
        <f t="shared" si="13"/>
        <v>3</v>
      </c>
      <c r="G45" s="265">
        <f t="shared" si="13"/>
        <v>3</v>
      </c>
      <c r="H45" s="265">
        <f t="shared" si="13"/>
        <v>3</v>
      </c>
      <c r="I45" s="265">
        <f>SUM(I40:I44)</f>
        <v>3</v>
      </c>
      <c r="J45" s="265">
        <f t="shared" si="13"/>
        <v>3</v>
      </c>
      <c r="K45" s="265">
        <f>SUM(K40:K44)</f>
        <v>3</v>
      </c>
      <c r="L45" s="265">
        <f>SUM(L40:L44)</f>
        <v>3</v>
      </c>
      <c r="M45" s="265">
        <f>SUM(M40:M44)</f>
        <v>3</v>
      </c>
      <c r="N45" s="265">
        <f t="shared" si="13"/>
        <v>3</v>
      </c>
      <c r="O45" s="265">
        <f>SUM(O40:O44)</f>
        <v>3</v>
      </c>
      <c r="P45" s="265">
        <f>SUM(P40:P44)</f>
        <v>3</v>
      </c>
      <c r="Q45" s="265">
        <f>SUM(Q40:Q44)</f>
        <v>3</v>
      </c>
      <c r="R45" s="265">
        <v>3</v>
      </c>
      <c r="S45" s="265">
        <f>SUM(S40:S44)</f>
        <v>3</v>
      </c>
      <c r="T45" s="265">
        <f>SUM(T40:T44)</f>
        <v>3</v>
      </c>
      <c r="U45" s="265">
        <v>3</v>
      </c>
    </row>
    <row r="46" spans="1:21">
      <c r="B46" s="264" t="s">
        <v>278</v>
      </c>
      <c r="C46" s="2">
        <f>C40/$C$45</f>
        <v>1</v>
      </c>
      <c r="D46" s="2">
        <f t="shared" ref="D46:U46" si="14">D40/$C$45</f>
        <v>0</v>
      </c>
      <c r="E46" s="2">
        <f t="shared" si="14"/>
        <v>0</v>
      </c>
      <c r="F46" s="2">
        <f t="shared" si="14"/>
        <v>0</v>
      </c>
      <c r="G46" s="2">
        <f t="shared" si="14"/>
        <v>0</v>
      </c>
      <c r="H46" s="2">
        <f t="shared" si="14"/>
        <v>1</v>
      </c>
      <c r="I46" s="2">
        <f t="shared" si="14"/>
        <v>0.5</v>
      </c>
      <c r="J46" s="2">
        <f t="shared" si="14"/>
        <v>0.33333333333333331</v>
      </c>
      <c r="K46" s="2">
        <f t="shared" si="14"/>
        <v>0.33333333333333331</v>
      </c>
      <c r="L46" s="2">
        <f t="shared" si="14"/>
        <v>0.33333333333333331</v>
      </c>
      <c r="M46" s="2">
        <f t="shared" si="14"/>
        <v>0.33333333333333331</v>
      </c>
      <c r="N46" s="2">
        <f t="shared" si="14"/>
        <v>0.16666666666666666</v>
      </c>
      <c r="O46" s="2">
        <f t="shared" si="14"/>
        <v>0.16666666666666666</v>
      </c>
      <c r="P46" s="2">
        <f t="shared" si="14"/>
        <v>0</v>
      </c>
      <c r="Q46" s="2">
        <f t="shared" si="14"/>
        <v>0</v>
      </c>
      <c r="R46" s="2">
        <f t="shared" si="14"/>
        <v>0</v>
      </c>
      <c r="S46" s="2">
        <f t="shared" si="14"/>
        <v>0</v>
      </c>
      <c r="T46" s="2">
        <f t="shared" si="14"/>
        <v>0</v>
      </c>
      <c r="U46" s="2">
        <f t="shared" si="14"/>
        <v>0</v>
      </c>
    </row>
    <row r="47" spans="1:21">
      <c r="B47" s="264" t="s">
        <v>280</v>
      </c>
      <c r="C47" s="2">
        <f>C41/$C$45</f>
        <v>0</v>
      </c>
      <c r="D47" s="2">
        <f t="shared" ref="D47:U47" si="15">D41/$C$45</f>
        <v>1</v>
      </c>
      <c r="E47" s="2">
        <f t="shared" si="15"/>
        <v>0</v>
      </c>
      <c r="F47" s="2">
        <f t="shared" si="15"/>
        <v>0</v>
      </c>
      <c r="G47" s="2">
        <f t="shared" si="15"/>
        <v>0</v>
      </c>
      <c r="H47" s="2">
        <f t="shared" si="15"/>
        <v>0</v>
      </c>
      <c r="I47" s="2">
        <f t="shared" si="15"/>
        <v>0</v>
      </c>
      <c r="J47" s="2">
        <f t="shared" si="15"/>
        <v>0.33333333333333331</v>
      </c>
      <c r="K47" s="2">
        <f t="shared" si="15"/>
        <v>0.33333333333333331</v>
      </c>
      <c r="L47" s="2">
        <f t="shared" si="15"/>
        <v>0.16666666666666666</v>
      </c>
      <c r="M47" s="2">
        <f t="shared" si="15"/>
        <v>0</v>
      </c>
      <c r="N47" s="2">
        <f t="shared" si="15"/>
        <v>0.16666666666666666</v>
      </c>
      <c r="O47" s="2">
        <f t="shared" si="15"/>
        <v>0</v>
      </c>
      <c r="P47" s="2">
        <f t="shared" si="15"/>
        <v>0.16666666666666666</v>
      </c>
      <c r="Q47" s="2">
        <f t="shared" si="15"/>
        <v>0.33333333333333331</v>
      </c>
      <c r="R47" s="2">
        <f t="shared" si="15"/>
        <v>0.16666666666666666</v>
      </c>
      <c r="S47" s="2">
        <f t="shared" si="15"/>
        <v>0.16666666666666666</v>
      </c>
      <c r="T47" s="2">
        <f t="shared" si="15"/>
        <v>0</v>
      </c>
      <c r="U47" s="2">
        <f t="shared" si="15"/>
        <v>0</v>
      </c>
    </row>
    <row r="48" spans="1:21">
      <c r="B48" s="264" t="s">
        <v>294</v>
      </c>
      <c r="C48" s="2">
        <f>C42/$C$45</f>
        <v>0</v>
      </c>
      <c r="D48" s="2">
        <f t="shared" ref="D48:U48" si="16">D42/$C$45</f>
        <v>0</v>
      </c>
      <c r="E48" s="2">
        <f t="shared" si="16"/>
        <v>1</v>
      </c>
      <c r="F48" s="2">
        <f t="shared" si="16"/>
        <v>0</v>
      </c>
      <c r="G48" s="2">
        <f t="shared" si="16"/>
        <v>0</v>
      </c>
      <c r="H48" s="2">
        <f t="shared" si="16"/>
        <v>0</v>
      </c>
      <c r="I48" s="2">
        <f t="shared" si="16"/>
        <v>0</v>
      </c>
      <c r="J48" s="2">
        <f t="shared" si="16"/>
        <v>0.33333333333333331</v>
      </c>
      <c r="K48" s="2">
        <f t="shared" si="16"/>
        <v>0</v>
      </c>
      <c r="L48" s="2">
        <f t="shared" si="16"/>
        <v>0</v>
      </c>
      <c r="M48" s="2">
        <f t="shared" si="16"/>
        <v>0.33333333333333331</v>
      </c>
      <c r="N48" s="2">
        <f t="shared" si="16"/>
        <v>0.66666666666666663</v>
      </c>
      <c r="O48" s="2">
        <f t="shared" si="16"/>
        <v>0.83333333333333337</v>
      </c>
      <c r="P48" s="2">
        <f t="shared" si="16"/>
        <v>0.83333333333333337</v>
      </c>
      <c r="Q48" s="2">
        <f t="shared" si="16"/>
        <v>0.33333333333333331</v>
      </c>
      <c r="R48" s="2">
        <f t="shared" si="16"/>
        <v>0.66666666666666663</v>
      </c>
      <c r="S48" s="2">
        <f t="shared" si="16"/>
        <v>0.16666666666666666</v>
      </c>
      <c r="T48" s="2">
        <f t="shared" si="16"/>
        <v>0.5</v>
      </c>
      <c r="U48" s="2">
        <f t="shared" si="16"/>
        <v>0.16666666666666666</v>
      </c>
    </row>
    <row r="49" spans="1:21">
      <c r="B49" s="264" t="s">
        <v>295</v>
      </c>
      <c r="C49" s="2">
        <f>C43/$C$45</f>
        <v>0</v>
      </c>
      <c r="D49" s="2">
        <f t="shared" ref="D49:U49" si="17">D43/$C$45</f>
        <v>0</v>
      </c>
      <c r="E49" s="2">
        <f t="shared" si="17"/>
        <v>0</v>
      </c>
      <c r="F49" s="2">
        <f t="shared" si="17"/>
        <v>1</v>
      </c>
      <c r="G49" s="2">
        <f t="shared" si="17"/>
        <v>0</v>
      </c>
      <c r="H49" s="2">
        <f t="shared" si="17"/>
        <v>0</v>
      </c>
      <c r="I49" s="2">
        <f t="shared" si="17"/>
        <v>0</v>
      </c>
      <c r="J49" s="2">
        <f t="shared" si="17"/>
        <v>0</v>
      </c>
      <c r="K49" s="2">
        <f t="shared" si="17"/>
        <v>0</v>
      </c>
      <c r="L49" s="2">
        <f t="shared" si="17"/>
        <v>0</v>
      </c>
      <c r="M49" s="2">
        <f t="shared" si="17"/>
        <v>0</v>
      </c>
      <c r="N49" s="2">
        <f t="shared" si="17"/>
        <v>0</v>
      </c>
      <c r="O49" s="2">
        <f t="shared" si="17"/>
        <v>0</v>
      </c>
      <c r="P49" s="2">
        <f t="shared" si="17"/>
        <v>0</v>
      </c>
      <c r="Q49" s="2">
        <f t="shared" si="17"/>
        <v>0</v>
      </c>
      <c r="R49" s="2">
        <f t="shared" si="17"/>
        <v>0</v>
      </c>
      <c r="S49" s="2">
        <f t="shared" si="17"/>
        <v>0</v>
      </c>
      <c r="T49" s="2">
        <f t="shared" si="17"/>
        <v>0</v>
      </c>
      <c r="U49" s="2">
        <f t="shared" si="17"/>
        <v>0</v>
      </c>
    </row>
    <row r="50" spans="1:21">
      <c r="B50" s="264" t="s">
        <v>296</v>
      </c>
      <c r="C50" s="2">
        <f>C44/$C$45</f>
        <v>0</v>
      </c>
      <c r="D50" s="2">
        <f t="shared" ref="D50:U50" si="18">D44/$C$45</f>
        <v>0</v>
      </c>
      <c r="E50" s="2">
        <f t="shared" si="18"/>
        <v>0</v>
      </c>
      <c r="F50" s="2">
        <f t="shared" si="18"/>
        <v>0</v>
      </c>
      <c r="G50" s="2">
        <f t="shared" si="18"/>
        <v>1</v>
      </c>
      <c r="H50" s="2">
        <f t="shared" si="18"/>
        <v>0</v>
      </c>
      <c r="I50" s="2">
        <f t="shared" si="18"/>
        <v>0.5</v>
      </c>
      <c r="J50" s="2">
        <f t="shared" si="18"/>
        <v>0</v>
      </c>
      <c r="K50" s="2">
        <f t="shared" si="18"/>
        <v>0.33333333333333331</v>
      </c>
      <c r="L50" s="2">
        <f t="shared" si="18"/>
        <v>0.5</v>
      </c>
      <c r="M50" s="2">
        <f t="shared" si="18"/>
        <v>0.33333333333333331</v>
      </c>
      <c r="N50" s="2">
        <f t="shared" si="18"/>
        <v>0</v>
      </c>
      <c r="O50" s="2">
        <f t="shared" si="18"/>
        <v>0</v>
      </c>
      <c r="P50" s="2">
        <f t="shared" si="18"/>
        <v>0</v>
      </c>
      <c r="Q50" s="2">
        <f t="shared" si="18"/>
        <v>0.33333333333333331</v>
      </c>
      <c r="R50" s="2">
        <f t="shared" si="18"/>
        <v>0.16666666666666666</v>
      </c>
      <c r="S50" s="2">
        <f t="shared" si="18"/>
        <v>0.66666666666666663</v>
      </c>
      <c r="T50" s="2">
        <f t="shared" si="18"/>
        <v>0.5</v>
      </c>
      <c r="U50" s="2">
        <f t="shared" si="18"/>
        <v>0.83333333333333337</v>
      </c>
    </row>
    <row r="51" spans="1:21" s="291" customFormat="1">
      <c r="A51" s="6"/>
      <c r="B51" s="290"/>
      <c r="C51" s="6"/>
      <c r="D51" s="6"/>
      <c r="E51" s="6"/>
      <c r="F51" s="6"/>
      <c r="G51" s="6"/>
      <c r="H51" s="6"/>
      <c r="I51" s="6"/>
      <c r="J51" s="6">
        <f>J47+J46</f>
        <v>0.66666666666666663</v>
      </c>
      <c r="K51" s="6">
        <f>K47+K46</f>
        <v>0.66666666666666663</v>
      </c>
      <c r="L51" s="6">
        <f>L47+L46</f>
        <v>0.5</v>
      </c>
      <c r="M51" s="6">
        <f>M46+M48</f>
        <v>0.66666666666666663</v>
      </c>
      <c r="N51" s="6">
        <f>N46+N47</f>
        <v>0.33333333333333331</v>
      </c>
      <c r="O51" s="6"/>
      <c r="P51" s="6"/>
      <c r="Q51" s="6">
        <f>Q47+Q48</f>
        <v>0.66666666666666663</v>
      </c>
      <c r="R51" s="6">
        <f>R47+R48</f>
        <v>0.83333333333333326</v>
      </c>
      <c r="S51" s="6">
        <f>S47+S48</f>
        <v>0.33333333333333331</v>
      </c>
      <c r="T51" s="6"/>
      <c r="U51" s="6"/>
    </row>
    <row r="52" spans="1:21" s="291" customFormat="1">
      <c r="A52" s="6"/>
      <c r="B52" s="290"/>
      <c r="C52" s="6"/>
      <c r="D52" s="6"/>
      <c r="E52" s="6"/>
      <c r="F52" s="6"/>
      <c r="G52" s="6"/>
      <c r="H52" s="6"/>
      <c r="I52" s="6"/>
      <c r="J52" s="6">
        <f>J48</f>
        <v>0.33333333333333331</v>
      </c>
      <c r="K52" s="6">
        <f>K50</f>
        <v>0.33333333333333331</v>
      </c>
      <c r="L52" s="6">
        <v>0.5</v>
      </c>
      <c r="M52" s="6">
        <f>M50</f>
        <v>0.33333333333333331</v>
      </c>
      <c r="N52" s="6">
        <f>N48</f>
        <v>0.66666666666666663</v>
      </c>
      <c r="O52" s="6"/>
      <c r="P52" s="6"/>
      <c r="Q52" s="6">
        <f>Q50</f>
        <v>0.33333333333333331</v>
      </c>
      <c r="R52" s="6">
        <f>R50</f>
        <v>0.16666666666666666</v>
      </c>
      <c r="S52" s="6">
        <f>S50</f>
        <v>0.66666666666666663</v>
      </c>
      <c r="T52" s="6"/>
      <c r="U52" s="6"/>
    </row>
    <row r="53" spans="1:21" s="294" customFormat="1">
      <c r="A53" s="293"/>
      <c r="B53" s="292" t="s">
        <v>299</v>
      </c>
      <c r="C53" s="293"/>
      <c r="D53" s="293"/>
      <c r="E53" s="293"/>
      <c r="F53" s="293"/>
      <c r="G53" s="293"/>
      <c r="H53" s="293"/>
      <c r="I53" s="293"/>
      <c r="J53" s="295">
        <f>J46/J51</f>
        <v>0.5</v>
      </c>
      <c r="K53" s="295">
        <f>K46/K51</f>
        <v>0.5</v>
      </c>
      <c r="L53" s="295">
        <f>L46/L50</f>
        <v>0.66666666666666663</v>
      </c>
      <c r="M53" s="295">
        <f>M46/M51</f>
        <v>0.5</v>
      </c>
      <c r="N53" s="295">
        <f>N46/N51</f>
        <v>0.5</v>
      </c>
      <c r="O53" s="295"/>
      <c r="P53" s="295"/>
      <c r="Q53" s="295">
        <f>Q47/Q51</f>
        <v>0.5</v>
      </c>
      <c r="R53" s="295">
        <f>R47/R51</f>
        <v>0.2</v>
      </c>
      <c r="S53" s="295">
        <f>S47/S51</f>
        <v>0.5</v>
      </c>
      <c r="T53" s="293"/>
      <c r="U53" s="293"/>
    </row>
    <row r="54" spans="1:21" s="294" customFormat="1">
      <c r="A54" s="293"/>
      <c r="B54" s="292" t="s">
        <v>300</v>
      </c>
      <c r="C54" s="293"/>
      <c r="D54" s="293"/>
      <c r="E54" s="293"/>
      <c r="F54" s="293"/>
      <c r="G54" s="293"/>
      <c r="H54" s="293"/>
      <c r="I54" s="293"/>
      <c r="J54" s="295">
        <f>J51</f>
        <v>0.66666666666666663</v>
      </c>
      <c r="K54" s="295">
        <f>K51</f>
        <v>0.66666666666666663</v>
      </c>
      <c r="L54" s="295">
        <v>0.5</v>
      </c>
      <c r="M54" s="295">
        <f>M51</f>
        <v>0.66666666666666663</v>
      </c>
      <c r="N54" s="295">
        <f>N51</f>
        <v>0.33333333333333331</v>
      </c>
      <c r="O54" s="295"/>
      <c r="P54" s="295"/>
      <c r="Q54" s="295">
        <f>Q51</f>
        <v>0.66666666666666663</v>
      </c>
      <c r="R54" s="295">
        <f>R51</f>
        <v>0.83333333333333326</v>
      </c>
      <c r="S54" s="295">
        <f>S51</f>
        <v>0.33333333333333331</v>
      </c>
      <c r="T54" s="293"/>
      <c r="U54" s="293"/>
    </row>
    <row r="55" spans="1:21">
      <c r="B55" s="264" t="s">
        <v>297</v>
      </c>
      <c r="C55" s="289">
        <f>$A$44*($A$40+2*$A$44+2*C46*($A$40-$A$44))/($A$40+2*$H$3-C46*($A$40-$H$3))</f>
        <v>3.9000000000000057</v>
      </c>
      <c r="D55" s="289">
        <f>$A$44*($A$41+2*$A$44+2*D47*($A$41-$A$44))/($A$41+2*$H$3-D47*($A$41-$H$3))</f>
        <v>12</v>
      </c>
      <c r="E55" s="289">
        <f>$A$44*($A$42+2*$A$44+2*E48*($A$42-$A$44))/($A$42+2*$H$3-E48*($A$42-$H$3))</f>
        <v>22</v>
      </c>
      <c r="F55" s="289">
        <f>$A$44*($A$43+2*$A$44+2*F49*($A$43-$A$44))/($A$43+2*$H$3-F49*($A$43-$H$3))</f>
        <v>30</v>
      </c>
      <c r="G55" s="289">
        <f>$A$44*($A$44+2*$A$44+2*G50*($A$44-$A$44))/($A$44+2*$H$3-G50*($A$44-$H$3))</f>
        <v>80</v>
      </c>
      <c r="H55" s="289">
        <f>$A$44*($A$40+2*$A$44+2*H46*($A$40-$A$44))/($A$40+2*$H$3-H46*($A$40-$H$3))</f>
        <v>3.9000000000000057</v>
      </c>
      <c r="J55" s="289"/>
      <c r="K55" s="289"/>
      <c r="L55" s="289"/>
      <c r="M55" s="289"/>
    </row>
    <row r="56" spans="1:21">
      <c r="B56" s="264" t="s">
        <v>298</v>
      </c>
      <c r="I56" s="289">
        <f>$A$44*($A$40+2*$A$44+2*I46*($A$40-$A$44))/($A$40+2*$H$3-I46*($A$40-$H$3))</f>
        <v>34.780886358009411</v>
      </c>
      <c r="J56" s="289">
        <f>$A$41*($A$40+2*$A$41+2*J53*($A$40-$A$41))/($A$40+2*$H$3-J53*($A$40-$H$3))</f>
        <v>1.1765288437732111</v>
      </c>
      <c r="K56" s="2"/>
      <c r="L56" s="2"/>
      <c r="M56" s="2"/>
      <c r="N56" s="2"/>
      <c r="O56" s="289">
        <f>$A$42*($A$40+2*$A$42+2*O46*($A$40-$A$42))/($A$40+2*$A$42-O46*($A$40-$A$42))</f>
        <v>18.089689034369886</v>
      </c>
      <c r="P56" s="289">
        <f>$A$42*($A$41+2*$A$42+2*P47*($A$41-$A$42))/($A$41+2*$A$42-P47*($A$41-$A$42))</f>
        <v>20.092485549132945</v>
      </c>
      <c r="Q56" s="2"/>
      <c r="R56" s="2"/>
      <c r="S56" s="289"/>
      <c r="T56" s="289">
        <f>$A$44*($A$42+2*$A$44+2*T48*($A$42-$A$44))/($A$42+2*$A$44-T48*($A$42-$A$44))</f>
        <v>47.014218009478675</v>
      </c>
      <c r="U56" s="289">
        <f>$A$44*($A$42+2*$A$44+2*U48*($A$42-$A$44))/($A$42+2*$A$44-U48*($A$42-$A$44))</f>
        <v>67.895652173913035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D344-1CE7-494C-8068-1C0CB1E7A23E}">
  <dimension ref="B3:Y33"/>
  <sheetViews>
    <sheetView topLeftCell="I13" zoomScale="220" zoomScaleNormal="220" workbookViewId="0">
      <selection activeCell="N27" sqref="N27"/>
    </sheetView>
  </sheetViews>
  <sheetFormatPr defaultRowHeight="15"/>
  <cols>
    <col min="1" max="1" width="2.42578125" customWidth="1"/>
    <col min="2" max="2" width="19" customWidth="1"/>
    <col min="3" max="3" width="15.85546875" customWidth="1"/>
    <col min="4" max="4" width="19" customWidth="1"/>
  </cols>
  <sheetData>
    <row r="3" spans="2:17">
      <c r="B3" s="351" t="s">
        <v>150</v>
      </c>
      <c r="C3" s="351">
        <v>3.35</v>
      </c>
      <c r="D3" s="351">
        <v>9.9</v>
      </c>
      <c r="E3" s="351">
        <v>20.43</v>
      </c>
      <c r="F3" s="351">
        <v>24.48</v>
      </c>
      <c r="G3" s="351">
        <v>77.09</v>
      </c>
    </row>
    <row r="4" spans="2:17">
      <c r="B4" s="135" t="s">
        <v>262</v>
      </c>
      <c r="C4" s="351">
        <v>19.3</v>
      </c>
      <c r="D4" s="351">
        <v>13.13</v>
      </c>
      <c r="E4" s="351">
        <v>8.8699999999999992</v>
      </c>
      <c r="F4" s="351">
        <v>7.57</v>
      </c>
      <c r="G4" s="351">
        <v>5.04</v>
      </c>
    </row>
    <row r="7" spans="2:17">
      <c r="B7" s="351" t="s">
        <v>150</v>
      </c>
      <c r="C7" s="351">
        <v>3.35</v>
      </c>
      <c r="D7" s="351">
        <v>4.2590000000000003</v>
      </c>
      <c r="E7" s="351">
        <v>9.4</v>
      </c>
      <c r="F7" s="351">
        <v>9.57</v>
      </c>
      <c r="G7" s="351">
        <v>10.57</v>
      </c>
      <c r="H7" s="351">
        <v>12.3</v>
      </c>
      <c r="I7" s="351">
        <v>14.16</v>
      </c>
      <c r="J7" s="351">
        <v>14.55</v>
      </c>
      <c r="K7" s="351">
        <v>16.388000000000002</v>
      </c>
      <c r="L7" s="351">
        <v>18.981999999999999</v>
      </c>
      <c r="M7" s="351">
        <v>19.28</v>
      </c>
      <c r="N7" s="351">
        <v>27.016999999999999</v>
      </c>
      <c r="O7" s="351">
        <v>33.869999999999997</v>
      </c>
      <c r="P7" s="351">
        <v>52.93</v>
      </c>
      <c r="Q7" s="351">
        <v>77.09</v>
      </c>
    </row>
    <row r="8" spans="2:17">
      <c r="B8" s="109" t="s">
        <v>261</v>
      </c>
      <c r="C8" s="351">
        <v>19.3</v>
      </c>
      <c r="D8" s="351">
        <v>15.22</v>
      </c>
      <c r="E8" s="351">
        <v>12.52</v>
      </c>
      <c r="F8" s="351">
        <v>9.3000000000000007</v>
      </c>
      <c r="G8" s="351">
        <v>9.48</v>
      </c>
      <c r="H8" s="351">
        <v>8.6999999999999993</v>
      </c>
      <c r="I8" s="351">
        <v>8.43</v>
      </c>
      <c r="J8" s="351">
        <v>9.83</v>
      </c>
      <c r="K8" s="351">
        <v>8.8699999999999992</v>
      </c>
      <c r="L8" s="351">
        <v>9.74</v>
      </c>
      <c r="M8" s="351">
        <v>12.7</v>
      </c>
      <c r="N8" s="351">
        <v>6.17</v>
      </c>
      <c r="O8" s="351">
        <v>6.43</v>
      </c>
      <c r="P8" s="351">
        <v>5.48</v>
      </c>
      <c r="Q8" s="351">
        <v>5.04</v>
      </c>
    </row>
    <row r="13" spans="2:17">
      <c r="C13" t="s">
        <v>150</v>
      </c>
      <c r="D13" s="135" t="s">
        <v>262</v>
      </c>
      <c r="F13" t="s">
        <v>150</v>
      </c>
      <c r="G13" s="109" t="s">
        <v>261</v>
      </c>
    </row>
    <row r="14" spans="2:17">
      <c r="C14">
        <v>3.35</v>
      </c>
      <c r="D14">
        <v>19.3</v>
      </c>
      <c r="F14">
        <v>3.35</v>
      </c>
      <c r="G14">
        <v>19.3</v>
      </c>
    </row>
    <row r="15" spans="2:17">
      <c r="C15">
        <v>9.9</v>
      </c>
      <c r="D15">
        <v>13.13</v>
      </c>
      <c r="F15">
        <v>4.2590000000000003</v>
      </c>
      <c r="G15">
        <v>15.22</v>
      </c>
    </row>
    <row r="16" spans="2:17">
      <c r="C16">
        <v>20.43</v>
      </c>
      <c r="D16">
        <v>8.8699999999999992</v>
      </c>
      <c r="F16">
        <v>9.4</v>
      </c>
      <c r="G16">
        <v>12.52</v>
      </c>
    </row>
    <row r="17" spans="3:25">
      <c r="C17">
        <v>24.48</v>
      </c>
      <c r="D17">
        <v>7.57</v>
      </c>
      <c r="F17">
        <v>9.57</v>
      </c>
      <c r="G17">
        <v>9.3000000000000007</v>
      </c>
    </row>
    <row r="18" spans="3:25">
      <c r="C18">
        <v>77.09</v>
      </c>
      <c r="D18">
        <v>5.04</v>
      </c>
      <c r="F18">
        <v>10.57</v>
      </c>
      <c r="G18">
        <v>9.48</v>
      </c>
    </row>
    <row r="19" spans="3:25">
      <c r="F19">
        <v>12.3</v>
      </c>
      <c r="G19">
        <v>8.6999999999999993</v>
      </c>
    </row>
    <row r="20" spans="3:25">
      <c r="F20">
        <v>14.16</v>
      </c>
      <c r="G20">
        <v>8.43</v>
      </c>
    </row>
    <row r="21" spans="3:25">
      <c r="F21">
        <v>14.55</v>
      </c>
      <c r="G21">
        <v>9.83</v>
      </c>
    </row>
    <row r="22" spans="3:25">
      <c r="F22">
        <v>16.388000000000002</v>
      </c>
      <c r="G22">
        <v>8.8699999999999992</v>
      </c>
    </row>
    <row r="23" spans="3:25">
      <c r="F23">
        <v>18.981999999999999</v>
      </c>
      <c r="G23">
        <v>9.74</v>
      </c>
    </row>
    <row r="24" spans="3:25">
      <c r="F24">
        <v>19.28</v>
      </c>
      <c r="G24">
        <v>12.7</v>
      </c>
    </row>
    <row r="25" spans="3:25">
      <c r="F25">
        <v>27.016999999999999</v>
      </c>
      <c r="G25">
        <v>6.17</v>
      </c>
    </row>
    <row r="26" spans="3:25">
      <c r="F26">
        <v>33.869999999999997</v>
      </c>
      <c r="G26">
        <v>6.43</v>
      </c>
    </row>
    <row r="27" spans="3:25">
      <c r="F27">
        <v>52.93</v>
      </c>
      <c r="G27">
        <v>5.48</v>
      </c>
      <c r="J27" s="351"/>
    </row>
    <row r="28" spans="3:25">
      <c r="F28">
        <v>77.09</v>
      </c>
      <c r="G28">
        <v>5.04</v>
      </c>
    </row>
    <row r="29" spans="3:25">
      <c r="J29" s="359" t="s">
        <v>31</v>
      </c>
      <c r="K29" s="352">
        <v>0</v>
      </c>
      <c r="L29" s="352" t="s">
        <v>66</v>
      </c>
      <c r="M29" s="352" t="s">
        <v>67</v>
      </c>
      <c r="N29" s="352" t="s">
        <v>68</v>
      </c>
      <c r="O29" s="352" t="s">
        <v>69</v>
      </c>
      <c r="P29" s="352" t="s">
        <v>70</v>
      </c>
      <c r="Q29" s="352" t="s">
        <v>71</v>
      </c>
      <c r="R29" s="352" t="s">
        <v>72</v>
      </c>
      <c r="S29" s="352" t="s">
        <v>154</v>
      </c>
      <c r="T29" s="352" t="s">
        <v>155</v>
      </c>
      <c r="U29" s="352" t="s">
        <v>156</v>
      </c>
      <c r="V29" s="352" t="s">
        <v>192</v>
      </c>
      <c r="W29" s="352" t="s">
        <v>194</v>
      </c>
      <c r="X29" s="352" t="s">
        <v>240</v>
      </c>
      <c r="Y29" s="351"/>
    </row>
    <row r="30" spans="3:25">
      <c r="J30" s="359"/>
      <c r="K30" s="352">
        <v>19.3</v>
      </c>
      <c r="L30" s="352">
        <v>15.22</v>
      </c>
      <c r="M30" s="352">
        <v>12.52</v>
      </c>
      <c r="N30" s="352">
        <v>9.3000000000000007</v>
      </c>
      <c r="O30" s="352">
        <v>9.48</v>
      </c>
      <c r="P30" s="352">
        <v>8.6999999999999993</v>
      </c>
      <c r="Q30" s="352">
        <v>8.43</v>
      </c>
      <c r="R30" s="352">
        <v>9.83</v>
      </c>
      <c r="S30" s="352">
        <v>8.8699999999999992</v>
      </c>
      <c r="T30" s="352">
        <v>9.74</v>
      </c>
      <c r="U30" s="352">
        <v>12.7</v>
      </c>
      <c r="V30" s="352">
        <v>6.17</v>
      </c>
      <c r="W30" s="352">
        <v>6.43</v>
      </c>
      <c r="X30" s="352">
        <v>5.48</v>
      </c>
      <c r="Y30" s="351">
        <v>5.04</v>
      </c>
    </row>
    <row r="31" spans="3: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3:25">
      <c r="J32" s="359" t="s">
        <v>380</v>
      </c>
      <c r="K32" s="352" t="s">
        <v>23</v>
      </c>
      <c r="L32" s="352" t="s">
        <v>195</v>
      </c>
      <c r="M32" s="352" t="s">
        <v>21</v>
      </c>
      <c r="N32" s="352" t="s">
        <v>26</v>
      </c>
      <c r="O32" s="352" t="s">
        <v>20</v>
      </c>
      <c r="P32" s="2"/>
      <c r="Q32" s="2"/>
      <c r="R32" s="2"/>
      <c r="S32" s="2"/>
      <c r="T32" s="2"/>
      <c r="U32" s="2"/>
      <c r="V32" s="2"/>
      <c r="W32" s="2"/>
      <c r="X32" s="2"/>
    </row>
    <row r="33" spans="10:24">
      <c r="J33" s="359"/>
      <c r="K33" s="352">
        <v>19.3</v>
      </c>
      <c r="L33" s="352">
        <v>13.13</v>
      </c>
      <c r="M33" s="352">
        <v>8.8699999999999992</v>
      </c>
      <c r="N33" s="352">
        <v>7.57</v>
      </c>
      <c r="O33" s="352">
        <v>5.04</v>
      </c>
      <c r="P33" s="2"/>
      <c r="Q33" s="2"/>
      <c r="R33" s="2"/>
      <c r="S33" s="2"/>
      <c r="T33" s="2"/>
      <c r="U33" s="2"/>
      <c r="V33" s="2"/>
      <c r="W33" s="2"/>
      <c r="X33" s="2"/>
    </row>
  </sheetData>
  <mergeCells count="2">
    <mergeCell ref="J29:J30"/>
    <mergeCell ref="J32:J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4"/>
  <sheetViews>
    <sheetView zoomScale="70" zoomScaleNormal="70" workbookViewId="0">
      <selection activeCell="AA26" sqref="AA26"/>
    </sheetView>
  </sheetViews>
  <sheetFormatPr defaultRowHeight="15"/>
  <cols>
    <col min="1" max="1" width="7.42578125" bestFit="1" customWidth="1"/>
    <col min="2" max="2" width="10.140625" bestFit="1" customWidth="1"/>
    <col min="3" max="3" width="9.7109375" bestFit="1" customWidth="1"/>
    <col min="4" max="4" width="7.42578125" bestFit="1" customWidth="1"/>
    <col min="5" max="5" width="6.85546875" bestFit="1" customWidth="1"/>
    <col min="6" max="6" width="11.28515625" bestFit="1" customWidth="1"/>
    <col min="7" max="7" width="11.7109375" bestFit="1" customWidth="1"/>
    <col min="8" max="8" width="11.85546875" bestFit="1" customWidth="1"/>
    <col min="9" max="10" width="8.7109375" bestFit="1" customWidth="1"/>
    <col min="11" max="11" width="9" bestFit="1" customWidth="1"/>
    <col min="12" max="12" width="13.140625" bestFit="1" customWidth="1"/>
    <col min="13" max="13" width="9.7109375" bestFit="1" customWidth="1"/>
    <col min="14" max="14" width="14.28515625" bestFit="1" customWidth="1"/>
    <col min="16" max="16" width="54.140625" bestFit="1" customWidth="1"/>
  </cols>
  <sheetData>
    <row r="1" spans="2:16">
      <c r="F1" s="5" t="s">
        <v>10</v>
      </c>
    </row>
    <row r="2" spans="2:16" s="6" customFormat="1">
      <c r="B2" s="6" t="s">
        <v>14</v>
      </c>
      <c r="C2" s="6" t="s">
        <v>13</v>
      </c>
      <c r="D2" s="6" t="s">
        <v>8</v>
      </c>
      <c r="E2" s="6" t="s">
        <v>9</v>
      </c>
      <c r="F2" s="6" t="s">
        <v>19</v>
      </c>
      <c r="G2" s="6" t="s">
        <v>16</v>
      </c>
      <c r="H2" s="6" t="s">
        <v>15</v>
      </c>
      <c r="I2" s="6" t="s">
        <v>12</v>
      </c>
      <c r="J2" s="6" t="s">
        <v>3</v>
      </c>
      <c r="K2" s="6" t="s">
        <v>4</v>
      </c>
      <c r="L2" s="6" t="s">
        <v>17</v>
      </c>
      <c r="M2" s="6" t="s">
        <v>18</v>
      </c>
      <c r="N2" s="6" t="s">
        <v>7</v>
      </c>
    </row>
    <row r="3" spans="2:16" s="2" customFormat="1">
      <c r="B3" s="2">
        <v>2</v>
      </c>
      <c r="C3" s="2">
        <v>0</v>
      </c>
      <c r="D3" s="2">
        <v>100</v>
      </c>
      <c r="E3" s="2">
        <v>0</v>
      </c>
      <c r="F3" s="6">
        <v>0.95809999999999995</v>
      </c>
      <c r="G3" s="6">
        <v>59.8</v>
      </c>
      <c r="H3" s="6">
        <v>25.91</v>
      </c>
      <c r="I3" s="9">
        <v>9.9999999999999991E-22</v>
      </c>
      <c r="J3" s="8">
        <v>9.9999999999999995E-8</v>
      </c>
      <c r="K3" s="9">
        <v>100000000000000</v>
      </c>
      <c r="L3" s="9">
        <v>2.4E-22</v>
      </c>
      <c r="M3" s="9">
        <v>8.9099999999999994E-6</v>
      </c>
      <c r="N3" s="9">
        <v>3.7E+16</v>
      </c>
    </row>
    <row r="4" spans="2:16" s="1" customFormat="1">
      <c r="B4" s="1">
        <v>1.5</v>
      </c>
      <c r="C4" s="1">
        <v>0.5</v>
      </c>
      <c r="D4" s="1">
        <v>75</v>
      </c>
      <c r="E4" s="1">
        <v>25</v>
      </c>
      <c r="F4" s="1">
        <v>0.88539999999999996</v>
      </c>
      <c r="G4" s="1">
        <v>59.6</v>
      </c>
      <c r="H4" s="1">
        <v>21.57</v>
      </c>
      <c r="I4" s="4">
        <v>9.9999999999999995E-21</v>
      </c>
      <c r="J4" s="4">
        <v>9.9999999999999995E-8</v>
      </c>
      <c r="K4" s="4">
        <v>10000000000000</v>
      </c>
      <c r="L4" s="4">
        <v>4.6415999999999996E-22</v>
      </c>
      <c r="M4" s="4">
        <v>9.1500000000000005E-6</v>
      </c>
      <c r="N4" s="4">
        <v>1.9718E+16</v>
      </c>
    </row>
    <row r="5" spans="2:16" s="2" customFormat="1">
      <c r="B5" s="2">
        <v>1</v>
      </c>
      <c r="C5" s="2">
        <v>1</v>
      </c>
      <c r="D5" s="6">
        <v>50</v>
      </c>
      <c r="E5" s="6">
        <v>50</v>
      </c>
      <c r="F5" s="6">
        <v>0.80500000000000005</v>
      </c>
      <c r="G5" s="6">
        <v>61.1</v>
      </c>
      <c r="H5" s="6">
        <v>30</v>
      </c>
      <c r="I5" s="9">
        <v>9.9999999999999998E-20</v>
      </c>
      <c r="J5" s="8">
        <v>9.9999999999999995E-8</v>
      </c>
      <c r="K5" s="9">
        <v>1000000000000</v>
      </c>
      <c r="L5" s="9">
        <v>4.267E-20</v>
      </c>
      <c r="M5" s="9">
        <v>1.5099999999999999E-5</v>
      </c>
      <c r="N5" s="9">
        <v>353800000000000</v>
      </c>
    </row>
    <row r="6" spans="2:16" s="2" customFormat="1">
      <c r="B6" s="2">
        <v>0.5</v>
      </c>
      <c r="C6" s="2">
        <v>1.5</v>
      </c>
      <c r="D6" s="2">
        <v>25</v>
      </c>
      <c r="E6" s="2">
        <v>75</v>
      </c>
      <c r="F6" s="6">
        <v>0.73399999999999999</v>
      </c>
      <c r="G6" s="6">
        <v>62.5</v>
      </c>
      <c r="H6" s="6">
        <v>37.909999999999997</v>
      </c>
      <c r="I6" s="9">
        <v>1.0000000000000001E-17</v>
      </c>
      <c r="J6" s="8">
        <v>9.9999999999999995E-8</v>
      </c>
      <c r="K6" s="9">
        <v>10000000000</v>
      </c>
      <c r="L6" s="9">
        <v>1.0170000000000001E-18</v>
      </c>
      <c r="M6" s="9">
        <v>7.6750000000000002E-6</v>
      </c>
      <c r="N6" s="9">
        <v>7546000000000</v>
      </c>
    </row>
    <row r="7" spans="2:16" s="1" customFormat="1" ht="28.5">
      <c r="B7" s="1">
        <v>0</v>
      </c>
      <c r="C7" s="1">
        <v>2</v>
      </c>
      <c r="D7" s="1">
        <v>0</v>
      </c>
      <c r="E7" s="1">
        <v>100</v>
      </c>
      <c r="F7" s="10">
        <v>0.66200000000000003</v>
      </c>
      <c r="G7" s="10">
        <v>63.8</v>
      </c>
      <c r="H7" s="10">
        <v>45.04</v>
      </c>
      <c r="I7" s="8">
        <v>9.9999999999999998E-17</v>
      </c>
      <c r="J7" s="8">
        <v>9.9999999999999995E-8</v>
      </c>
      <c r="K7" s="8">
        <v>1000000000</v>
      </c>
      <c r="L7" s="8">
        <v>3.33E-18</v>
      </c>
      <c r="M7" s="8">
        <v>1.0900000000000001E-5</v>
      </c>
      <c r="N7" s="8">
        <v>3290000000000</v>
      </c>
      <c r="P7" s="7" t="s">
        <v>30</v>
      </c>
    </row>
    <row r="8" spans="2:16" s="2" customFormat="1"/>
    <row r="9" spans="2:16" s="2" customFormat="1">
      <c r="G9" s="3"/>
      <c r="H9" s="3"/>
      <c r="I9" s="3"/>
      <c r="J9" s="3"/>
    </row>
    <row r="10" spans="2:16" s="1" customFormat="1">
      <c r="G10" s="4"/>
      <c r="H10" s="4"/>
      <c r="I10" s="4"/>
      <c r="J10" s="4"/>
      <c r="K10" s="4"/>
    </row>
    <row r="11" spans="2:16" s="2" customFormat="1"/>
    <row r="12" spans="2:16" s="2" customFormat="1">
      <c r="G12" s="3"/>
      <c r="H12" s="3"/>
      <c r="I12" s="3"/>
      <c r="J12" s="3"/>
    </row>
    <row r="13" spans="2:16" s="1" customFormat="1">
      <c r="G13" s="4"/>
      <c r="H13" s="4"/>
      <c r="I13" s="4"/>
      <c r="J13" s="4"/>
      <c r="K13" s="4"/>
    </row>
    <row r="14" spans="2:16" s="2" customFormat="1"/>
    <row r="15" spans="2:16" s="2" customFormat="1">
      <c r="G15" s="3"/>
      <c r="H15" s="3"/>
      <c r="I15" s="3"/>
      <c r="J15" s="3"/>
    </row>
    <row r="16" spans="2:16" s="1" customFormat="1">
      <c r="G16" s="4"/>
      <c r="H16" s="4"/>
      <c r="I16" s="4"/>
      <c r="J16" s="4"/>
      <c r="K16" s="4"/>
    </row>
    <row r="17" spans="7:11" s="2" customFormat="1"/>
    <row r="18" spans="7:11" s="2" customFormat="1">
      <c r="G18" s="3"/>
      <c r="H18" s="3"/>
      <c r="I18" s="3"/>
      <c r="J18" s="3"/>
    </row>
    <row r="19" spans="7:11" s="1" customFormat="1">
      <c r="G19" s="4"/>
      <c r="H19" s="4"/>
      <c r="I19" s="4"/>
      <c r="J19" s="4"/>
      <c r="K19" s="4"/>
    </row>
    <row r="20" spans="7:11" s="2" customFormat="1"/>
    <row r="21" spans="7:11" s="2" customFormat="1">
      <c r="G21" s="3"/>
      <c r="H21" s="3"/>
      <c r="I21" s="3"/>
      <c r="J21" s="3"/>
    </row>
    <row r="22" spans="7:11" s="1" customFormat="1">
      <c r="G22" s="4"/>
      <c r="H22" s="4"/>
      <c r="I22" s="4"/>
      <c r="J22" s="4"/>
      <c r="K22" s="4"/>
    </row>
    <row r="23" spans="7:11" s="2" customFormat="1"/>
    <row r="24" spans="7:11" s="2" customFormat="1">
      <c r="G24" s="3"/>
      <c r="H24" s="3"/>
      <c r="I24" s="3"/>
      <c r="J24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E63C-CA06-4E02-A206-9188807D588C}">
  <dimension ref="B3:Y33"/>
  <sheetViews>
    <sheetView topLeftCell="H7" zoomScale="190" zoomScaleNormal="190" workbookViewId="0">
      <selection activeCell="S12" sqref="S12"/>
    </sheetView>
  </sheetViews>
  <sheetFormatPr defaultRowHeight="15"/>
  <cols>
    <col min="1" max="1" width="2.42578125" customWidth="1"/>
    <col min="2" max="2" width="13.140625" customWidth="1"/>
    <col min="3" max="3" width="14" customWidth="1"/>
    <col min="4" max="4" width="16.42578125" customWidth="1"/>
  </cols>
  <sheetData>
    <row r="3" spans="2:17">
      <c r="B3" s="351" t="s">
        <v>150</v>
      </c>
      <c r="C3" s="351">
        <v>3.35</v>
      </c>
      <c r="D3" s="351">
        <v>9.9</v>
      </c>
      <c r="E3" s="351">
        <v>20.43</v>
      </c>
      <c r="F3" s="351">
        <v>24.48</v>
      </c>
      <c r="G3" s="351">
        <v>77.09</v>
      </c>
    </row>
    <row r="4" spans="2:17">
      <c r="B4" s="135" t="s">
        <v>381</v>
      </c>
      <c r="C4" s="351">
        <v>3.5499100140000001E-14</v>
      </c>
      <c r="D4" s="351">
        <v>4.2756333009999998E-16</v>
      </c>
      <c r="E4" s="351">
        <v>7.4843940040000001E-16</v>
      </c>
      <c r="F4" s="351">
        <v>1.4999248239999999E-15</v>
      </c>
      <c r="G4" s="351">
        <v>1.483032294E-14</v>
      </c>
    </row>
    <row r="7" spans="2:17">
      <c r="B7" s="351" t="s">
        <v>150</v>
      </c>
      <c r="C7" s="351">
        <v>3.35</v>
      </c>
      <c r="D7" s="351">
        <v>4.2590000000000003</v>
      </c>
      <c r="E7" s="351">
        <v>9.4</v>
      </c>
      <c r="F7" s="351">
        <v>9.57</v>
      </c>
      <c r="G7" s="351">
        <v>10.57</v>
      </c>
      <c r="H7" s="351">
        <v>12.3</v>
      </c>
      <c r="I7" s="351">
        <v>14.16</v>
      </c>
      <c r="J7" s="351">
        <v>14.55</v>
      </c>
      <c r="K7" s="351">
        <v>16.388000000000002</v>
      </c>
      <c r="L7" s="351">
        <v>18.981999999999999</v>
      </c>
      <c r="M7" s="351">
        <v>19.28</v>
      </c>
      <c r="N7" s="351">
        <v>27.016999999999999</v>
      </c>
      <c r="O7" s="351">
        <v>33.869999999999997</v>
      </c>
      <c r="P7" s="351">
        <v>52.93</v>
      </c>
      <c r="Q7" s="351">
        <v>77.09</v>
      </c>
    </row>
    <row r="8" spans="2:17">
      <c r="B8" s="135" t="s">
        <v>382</v>
      </c>
      <c r="C8" s="351">
        <v>3.5499100140000001E-14</v>
      </c>
      <c r="D8" s="351">
        <v>3.2803418760000001E-16</v>
      </c>
      <c r="E8" s="351">
        <v>3.716788569E-17</v>
      </c>
      <c r="F8" s="351">
        <v>2.2342132890000001E-17</v>
      </c>
      <c r="G8" s="351">
        <v>1.9312871429999999E-16</v>
      </c>
      <c r="H8" s="351">
        <v>1.0119630439999999E-15</v>
      </c>
      <c r="I8" s="351">
        <v>1.3535978149999999E-16</v>
      </c>
      <c r="J8" s="351">
        <v>7.4776230850000004E-16</v>
      </c>
      <c r="K8" s="351">
        <v>1.2531103650000001E-15</v>
      </c>
      <c r="L8" s="351">
        <v>2.2839110080000001E-16</v>
      </c>
      <c r="M8" s="351">
        <v>4.7144181870000002E-17</v>
      </c>
      <c r="N8" s="351">
        <v>4.2920780240000002E-15</v>
      </c>
      <c r="O8" s="351">
        <v>3.9813840200000001E-15</v>
      </c>
      <c r="P8" s="351">
        <v>3.3363251519999998E-15</v>
      </c>
      <c r="Q8" s="351">
        <v>1.483032294E-14</v>
      </c>
    </row>
    <row r="13" spans="2:17">
      <c r="C13" t="s">
        <v>150</v>
      </c>
      <c r="D13" s="135" t="s">
        <v>263</v>
      </c>
      <c r="F13" t="s">
        <v>150</v>
      </c>
      <c r="G13" s="135" t="s">
        <v>264</v>
      </c>
    </row>
    <row r="14" spans="2:17">
      <c r="C14">
        <v>3.35</v>
      </c>
      <c r="D14" s="351">
        <v>3.5499100140000001E-14</v>
      </c>
      <c r="F14">
        <v>3.35</v>
      </c>
      <c r="G14" s="351">
        <v>3.5499100140000001E-14</v>
      </c>
    </row>
    <row r="15" spans="2:17">
      <c r="C15">
        <v>9.9</v>
      </c>
      <c r="D15" s="351">
        <v>4.2756333009999998E-16</v>
      </c>
      <c r="F15">
        <v>4.2590000000000003</v>
      </c>
      <c r="G15" s="351">
        <v>3.2803418760000001E-16</v>
      </c>
      <c r="H15" t="s">
        <v>66</v>
      </c>
    </row>
    <row r="16" spans="2:17">
      <c r="C16">
        <v>20.43</v>
      </c>
      <c r="D16" s="351">
        <v>7.4843940040000001E-16</v>
      </c>
      <c r="F16">
        <v>9.4</v>
      </c>
      <c r="G16" s="351">
        <v>3.716788569E-17</v>
      </c>
      <c r="H16" t="s">
        <v>67</v>
      </c>
    </row>
    <row r="17" spans="3:25">
      <c r="C17">
        <v>24.48</v>
      </c>
      <c r="D17" s="351">
        <v>1.4999248239999999E-15</v>
      </c>
      <c r="F17">
        <v>9.57</v>
      </c>
      <c r="G17" s="351">
        <v>2.2342132890000001E-17</v>
      </c>
      <c r="H17" t="s">
        <v>68</v>
      </c>
    </row>
    <row r="18" spans="3:25">
      <c r="C18">
        <v>77.09</v>
      </c>
      <c r="D18" s="351">
        <v>1.483032294E-14</v>
      </c>
      <c r="F18">
        <v>10.57</v>
      </c>
      <c r="G18" s="351">
        <v>1.9312871429999999E-16</v>
      </c>
      <c r="H18" t="s">
        <v>69</v>
      </c>
    </row>
    <row r="19" spans="3:25">
      <c r="F19">
        <v>12.3</v>
      </c>
      <c r="G19" s="351">
        <v>1.0119630439999999E-15</v>
      </c>
      <c r="H19" t="s">
        <v>70</v>
      </c>
    </row>
    <row r="20" spans="3:25">
      <c r="F20">
        <v>14.16</v>
      </c>
      <c r="G20" s="351">
        <v>1.3535978149999999E-16</v>
      </c>
      <c r="H20" t="s">
        <v>71</v>
      </c>
    </row>
    <row r="21" spans="3:25">
      <c r="F21">
        <v>14.55</v>
      </c>
      <c r="G21" s="351">
        <v>7.4776230850000004E-16</v>
      </c>
      <c r="H21" t="s">
        <v>72</v>
      </c>
    </row>
    <row r="22" spans="3:25">
      <c r="F22">
        <v>16.388000000000002</v>
      </c>
      <c r="G22" s="351">
        <v>1.2531103650000001E-15</v>
      </c>
      <c r="H22" t="s">
        <v>154</v>
      </c>
    </row>
    <row r="23" spans="3:25">
      <c r="F23">
        <v>18.981999999999999</v>
      </c>
      <c r="G23" s="351">
        <v>2.2839110080000001E-16</v>
      </c>
      <c r="H23" t="s">
        <v>155</v>
      </c>
    </row>
    <row r="24" spans="3:25">
      <c r="F24">
        <v>19.28</v>
      </c>
      <c r="G24" s="351">
        <v>4.7144181870000002E-17</v>
      </c>
      <c r="H24" t="s">
        <v>156</v>
      </c>
    </row>
    <row r="25" spans="3:25">
      <c r="F25">
        <v>27.016999999999999</v>
      </c>
      <c r="G25" s="353">
        <v>4.2920780240000002E-15</v>
      </c>
      <c r="H25" t="s">
        <v>192</v>
      </c>
    </row>
    <row r="26" spans="3:25">
      <c r="F26">
        <v>33.869999999999997</v>
      </c>
      <c r="G26" s="351">
        <v>3.9813840200000001E-15</v>
      </c>
      <c r="H26" t="s">
        <v>194</v>
      </c>
    </row>
    <row r="27" spans="3:25">
      <c r="F27">
        <v>52.93</v>
      </c>
      <c r="G27" s="351">
        <v>3.3363251519999998E-15</v>
      </c>
      <c r="H27" t="s">
        <v>240</v>
      </c>
      <c r="J27" s="351"/>
    </row>
    <row r="28" spans="3:25">
      <c r="F28">
        <v>77.09</v>
      </c>
      <c r="G28" s="351">
        <v>1.483032294E-14</v>
      </c>
    </row>
    <row r="29" spans="3:25">
      <c r="J29" s="359" t="s">
        <v>31</v>
      </c>
      <c r="K29" s="352">
        <v>0</v>
      </c>
      <c r="L29" s="352" t="s">
        <v>66</v>
      </c>
      <c r="M29" s="352" t="s">
        <v>67</v>
      </c>
      <c r="N29" s="352" t="s">
        <v>68</v>
      </c>
      <c r="O29" s="352" t="s">
        <v>69</v>
      </c>
      <c r="P29" s="352" t="s">
        <v>70</v>
      </c>
      <c r="Q29" s="352" t="s">
        <v>71</v>
      </c>
      <c r="R29" s="352" t="s">
        <v>72</v>
      </c>
      <c r="S29" s="352" t="s">
        <v>154</v>
      </c>
      <c r="T29" s="352" t="s">
        <v>155</v>
      </c>
      <c r="U29" s="352" t="s">
        <v>156</v>
      </c>
      <c r="V29" s="352" t="s">
        <v>192</v>
      </c>
      <c r="W29" s="352" t="s">
        <v>194</v>
      </c>
      <c r="X29" s="352" t="s">
        <v>240</v>
      </c>
      <c r="Y29" s="351"/>
    </row>
    <row r="30" spans="3:25">
      <c r="J30" s="359"/>
      <c r="K30" s="352">
        <v>19.3</v>
      </c>
      <c r="L30" s="352">
        <v>15.22</v>
      </c>
      <c r="M30" s="352">
        <v>12.52</v>
      </c>
      <c r="N30" s="352">
        <v>9.3000000000000007</v>
      </c>
      <c r="O30" s="352">
        <v>9.48</v>
      </c>
      <c r="P30" s="352">
        <v>8.6999999999999993</v>
      </c>
      <c r="Q30" s="352">
        <v>8.43</v>
      </c>
      <c r="R30" s="352">
        <v>9.83</v>
      </c>
      <c r="S30" s="352">
        <v>8.8699999999999992</v>
      </c>
      <c r="T30" s="352">
        <v>9.74</v>
      </c>
      <c r="U30" s="352">
        <v>12.7</v>
      </c>
      <c r="V30" s="352">
        <v>6.17</v>
      </c>
      <c r="W30" s="352">
        <v>6.43</v>
      </c>
      <c r="X30" s="352">
        <v>5.48</v>
      </c>
      <c r="Y30" s="351">
        <v>5.04</v>
      </c>
    </row>
    <row r="31" spans="3: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3:25">
      <c r="J32" s="359" t="s">
        <v>380</v>
      </c>
      <c r="K32" s="352" t="s">
        <v>23</v>
      </c>
      <c r="L32" s="352" t="s">
        <v>195</v>
      </c>
      <c r="M32" s="352" t="s">
        <v>21</v>
      </c>
      <c r="N32" s="352" t="s">
        <v>26</v>
      </c>
      <c r="O32" s="352" t="s">
        <v>20</v>
      </c>
      <c r="P32" s="2"/>
      <c r="Q32" s="2"/>
      <c r="R32" s="2"/>
      <c r="S32" s="2"/>
      <c r="T32" s="2"/>
      <c r="U32" s="2"/>
      <c r="V32" s="2"/>
      <c r="W32" s="2"/>
      <c r="X32" s="2"/>
    </row>
    <row r="33" spans="10:24">
      <c r="J33" s="359"/>
      <c r="K33" s="352">
        <v>19.3</v>
      </c>
      <c r="L33" s="352">
        <v>13.13</v>
      </c>
      <c r="M33" s="352">
        <v>8.8699999999999992</v>
      </c>
      <c r="N33" s="352">
        <v>7.57</v>
      </c>
      <c r="O33" s="352">
        <v>5.04</v>
      </c>
      <c r="P33" s="2"/>
      <c r="Q33" s="2"/>
      <c r="R33" s="2"/>
      <c r="S33" s="2"/>
      <c r="T33" s="2"/>
      <c r="U33" s="2"/>
      <c r="V33" s="2"/>
      <c r="W33" s="2"/>
      <c r="X33" s="2"/>
    </row>
  </sheetData>
  <mergeCells count="2">
    <mergeCell ref="J29:J30"/>
    <mergeCell ref="J32:J3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8D64-680B-48FE-93A0-389B9BA467F3}">
  <dimension ref="B3:Y33"/>
  <sheetViews>
    <sheetView topLeftCell="I12" zoomScale="220" zoomScaleNormal="220" workbookViewId="0">
      <selection activeCell="N28" sqref="N28"/>
    </sheetView>
  </sheetViews>
  <sheetFormatPr defaultRowHeight="15"/>
  <cols>
    <col min="1" max="1" width="2.42578125" customWidth="1"/>
    <col min="2" max="2" width="19" customWidth="1"/>
    <col min="3" max="3" width="15.85546875" customWidth="1"/>
    <col min="4" max="4" width="19" customWidth="1"/>
  </cols>
  <sheetData>
    <row r="3" spans="2:17">
      <c r="B3" s="351" t="s">
        <v>150</v>
      </c>
      <c r="C3" s="351">
        <v>3.35</v>
      </c>
      <c r="D3" s="351">
        <v>9.9</v>
      </c>
      <c r="E3" s="351">
        <v>20.43</v>
      </c>
      <c r="F3" s="351">
        <v>24.48</v>
      </c>
      <c r="G3" s="351">
        <v>77.09</v>
      </c>
    </row>
    <row r="4" spans="2:17">
      <c r="B4" s="135" t="s">
        <v>260</v>
      </c>
      <c r="C4" s="351">
        <v>89.6</v>
      </c>
      <c r="D4" s="351">
        <v>87.8</v>
      </c>
      <c r="E4" s="351">
        <v>82.5</v>
      </c>
      <c r="F4" s="351">
        <v>81.8</v>
      </c>
      <c r="G4" s="351">
        <v>76.2</v>
      </c>
    </row>
    <row r="7" spans="2:17">
      <c r="B7" s="351" t="s">
        <v>150</v>
      </c>
      <c r="C7" s="351">
        <v>3.35</v>
      </c>
      <c r="D7" s="351">
        <v>4.2590000000000003</v>
      </c>
      <c r="E7" s="351">
        <v>9.4</v>
      </c>
      <c r="F7" s="351">
        <v>9.57</v>
      </c>
      <c r="G7" s="351">
        <v>10.57</v>
      </c>
      <c r="H7" s="351">
        <v>12.3</v>
      </c>
      <c r="I7" s="351">
        <v>14.16</v>
      </c>
      <c r="J7" s="351">
        <v>14.55</v>
      </c>
      <c r="K7" s="351">
        <v>16.388000000000002</v>
      </c>
      <c r="L7" s="351">
        <v>18.981999999999999</v>
      </c>
      <c r="M7" s="351">
        <v>19.28</v>
      </c>
      <c r="N7" s="351">
        <v>27.016999999999999</v>
      </c>
      <c r="O7" s="351">
        <v>33.869999999999997</v>
      </c>
      <c r="P7" s="351">
        <v>52.93</v>
      </c>
      <c r="Q7" s="351">
        <v>77.09</v>
      </c>
    </row>
    <row r="8" spans="2:17">
      <c r="B8" s="135" t="s">
        <v>259</v>
      </c>
      <c r="C8" s="351">
        <v>89.6</v>
      </c>
      <c r="D8" s="351">
        <v>82.6</v>
      </c>
      <c r="E8" s="351">
        <v>78.900000000000006</v>
      </c>
      <c r="F8" s="351">
        <v>81.099999999999994</v>
      </c>
      <c r="G8" s="351">
        <v>76.8</v>
      </c>
      <c r="H8" s="351">
        <v>80.3</v>
      </c>
      <c r="I8" s="351">
        <v>81.7</v>
      </c>
      <c r="J8" s="351">
        <v>82</v>
      </c>
      <c r="K8" s="351">
        <v>79</v>
      </c>
      <c r="L8" s="351">
        <v>76.2</v>
      </c>
      <c r="M8" s="351">
        <v>77.099999999999994</v>
      </c>
      <c r="N8" s="351">
        <v>79.8</v>
      </c>
      <c r="O8" s="351">
        <v>78.3</v>
      </c>
      <c r="P8" s="351">
        <v>77</v>
      </c>
      <c r="Q8" s="351">
        <v>76.2</v>
      </c>
    </row>
    <row r="13" spans="2:17">
      <c r="C13" t="s">
        <v>150</v>
      </c>
      <c r="D13" s="135" t="s">
        <v>260</v>
      </c>
      <c r="F13" t="s">
        <v>150</v>
      </c>
      <c r="G13" s="135" t="s">
        <v>259</v>
      </c>
    </row>
    <row r="14" spans="2:17">
      <c r="C14">
        <v>3.35</v>
      </c>
      <c r="D14" s="351">
        <v>89.6</v>
      </c>
      <c r="F14">
        <v>3.35</v>
      </c>
      <c r="G14" s="351">
        <v>89.6</v>
      </c>
    </row>
    <row r="15" spans="2:17">
      <c r="C15">
        <v>9.9</v>
      </c>
      <c r="D15" s="351">
        <v>87.8</v>
      </c>
      <c r="F15">
        <v>4.2590000000000003</v>
      </c>
      <c r="G15" s="351">
        <v>82.6</v>
      </c>
    </row>
    <row r="16" spans="2:17">
      <c r="C16">
        <v>20.43</v>
      </c>
      <c r="D16" s="351">
        <v>82.5</v>
      </c>
      <c r="F16">
        <v>9.4</v>
      </c>
      <c r="G16" s="351">
        <v>78.900000000000006</v>
      </c>
    </row>
    <row r="17" spans="3:25">
      <c r="C17">
        <v>24.48</v>
      </c>
      <c r="D17" s="351">
        <v>81.8</v>
      </c>
      <c r="F17">
        <v>9.57</v>
      </c>
      <c r="G17" s="351">
        <v>81.099999999999994</v>
      </c>
    </row>
    <row r="18" spans="3:25">
      <c r="C18">
        <v>77.09</v>
      </c>
      <c r="D18" s="351">
        <v>76.2</v>
      </c>
      <c r="F18">
        <v>10.57</v>
      </c>
      <c r="G18" s="351">
        <v>76.8</v>
      </c>
    </row>
    <row r="19" spans="3:25">
      <c r="F19">
        <v>12.3</v>
      </c>
      <c r="G19" s="351">
        <v>80.3</v>
      </c>
    </row>
    <row r="20" spans="3:25">
      <c r="F20">
        <v>14.16</v>
      </c>
      <c r="G20" s="351">
        <v>81.7</v>
      </c>
    </row>
    <row r="21" spans="3:25">
      <c r="F21">
        <v>14.55</v>
      </c>
      <c r="G21" s="351">
        <v>82</v>
      </c>
    </row>
    <row r="22" spans="3:25">
      <c r="F22">
        <v>16.388000000000002</v>
      </c>
      <c r="G22" s="351">
        <v>79</v>
      </c>
    </row>
    <row r="23" spans="3:25">
      <c r="F23">
        <v>18.981999999999999</v>
      </c>
      <c r="G23" s="351">
        <v>76.2</v>
      </c>
    </row>
    <row r="24" spans="3:25">
      <c r="F24">
        <v>19.28</v>
      </c>
      <c r="G24" s="351">
        <v>77.099999999999994</v>
      </c>
    </row>
    <row r="25" spans="3:25">
      <c r="F25">
        <v>27.016999999999999</v>
      </c>
      <c r="G25" s="351">
        <v>79.8</v>
      </c>
    </row>
    <row r="26" spans="3:25">
      <c r="F26">
        <v>33.869999999999997</v>
      </c>
      <c r="G26" s="351">
        <v>78.3</v>
      </c>
    </row>
    <row r="27" spans="3:25">
      <c r="F27">
        <v>52.93</v>
      </c>
      <c r="G27" s="351">
        <v>77</v>
      </c>
      <c r="J27" s="351"/>
    </row>
    <row r="28" spans="3:25">
      <c r="F28">
        <v>77.09</v>
      </c>
      <c r="G28" s="351">
        <v>76.2</v>
      </c>
    </row>
    <row r="29" spans="3:25">
      <c r="J29" s="359" t="s">
        <v>31</v>
      </c>
      <c r="K29" s="352">
        <v>0</v>
      </c>
      <c r="L29" s="352" t="s">
        <v>66</v>
      </c>
      <c r="M29" s="352" t="s">
        <v>67</v>
      </c>
      <c r="N29" s="352" t="s">
        <v>68</v>
      </c>
      <c r="O29" s="352" t="s">
        <v>69</v>
      </c>
      <c r="P29" s="352" t="s">
        <v>70</v>
      </c>
      <c r="Q29" s="352" t="s">
        <v>71</v>
      </c>
      <c r="R29" s="352" t="s">
        <v>72</v>
      </c>
      <c r="S29" s="352" t="s">
        <v>154</v>
      </c>
      <c r="T29" s="352" t="s">
        <v>155</v>
      </c>
      <c r="U29" s="352" t="s">
        <v>156</v>
      </c>
      <c r="V29" s="352" t="s">
        <v>192</v>
      </c>
      <c r="W29" s="352" t="s">
        <v>194</v>
      </c>
      <c r="X29" s="352" t="s">
        <v>240</v>
      </c>
      <c r="Y29" s="351"/>
    </row>
    <row r="30" spans="3:25">
      <c r="J30" s="359"/>
      <c r="K30" s="352">
        <v>19.3</v>
      </c>
      <c r="L30" s="352">
        <v>15.22</v>
      </c>
      <c r="M30" s="352">
        <v>12.52</v>
      </c>
      <c r="N30" s="352">
        <v>9.3000000000000007</v>
      </c>
      <c r="O30" s="352">
        <v>9.48</v>
      </c>
      <c r="P30" s="352">
        <v>8.6999999999999993</v>
      </c>
      <c r="Q30" s="352">
        <v>8.43</v>
      </c>
      <c r="R30" s="352">
        <v>9.83</v>
      </c>
      <c r="S30" s="352">
        <v>8.8699999999999992</v>
      </c>
      <c r="T30" s="352">
        <v>9.74</v>
      </c>
      <c r="U30" s="352">
        <v>12.7</v>
      </c>
      <c r="V30" s="352">
        <v>6.17</v>
      </c>
      <c r="W30" s="352">
        <v>6.43</v>
      </c>
      <c r="X30" s="352">
        <v>5.48</v>
      </c>
      <c r="Y30" s="351">
        <v>5.04</v>
      </c>
    </row>
    <row r="31" spans="3: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3:25">
      <c r="J32" s="359" t="s">
        <v>380</v>
      </c>
      <c r="K32" s="352" t="s">
        <v>23</v>
      </c>
      <c r="L32" s="352" t="s">
        <v>195</v>
      </c>
      <c r="M32" s="352" t="s">
        <v>21</v>
      </c>
      <c r="N32" s="352" t="s">
        <v>26</v>
      </c>
      <c r="O32" s="352" t="s">
        <v>20</v>
      </c>
      <c r="P32" s="2"/>
      <c r="Q32" s="2"/>
      <c r="R32" s="2"/>
      <c r="S32" s="2"/>
      <c r="T32" s="2"/>
      <c r="U32" s="2"/>
      <c r="V32" s="2"/>
      <c r="W32" s="2"/>
      <c r="X32" s="2"/>
    </row>
    <row r="33" spans="10:24">
      <c r="J33" s="359"/>
      <c r="K33" s="352">
        <v>19.3</v>
      </c>
      <c r="L33" s="352">
        <v>13.13</v>
      </c>
      <c r="M33" s="352">
        <v>8.8699999999999992</v>
      </c>
      <c r="N33" s="352">
        <v>7.57</v>
      </c>
      <c r="O33" s="352">
        <v>5.04</v>
      </c>
      <c r="P33" s="2"/>
      <c r="Q33" s="2"/>
      <c r="R33" s="2"/>
      <c r="S33" s="2"/>
      <c r="T33" s="2"/>
      <c r="U33" s="2"/>
      <c r="V33" s="2"/>
      <c r="W33" s="2"/>
      <c r="X33" s="2"/>
    </row>
  </sheetData>
  <mergeCells count="2">
    <mergeCell ref="J29:J30"/>
    <mergeCell ref="J32:J33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258-7ABB-49DC-B159-A613C098E29A}">
  <dimension ref="B3:Y33"/>
  <sheetViews>
    <sheetView topLeftCell="I8" zoomScale="175" zoomScaleNormal="175" workbookViewId="0">
      <selection activeCell="L28" sqref="L28"/>
    </sheetView>
  </sheetViews>
  <sheetFormatPr defaultRowHeight="15"/>
  <cols>
    <col min="1" max="1" width="2.42578125" customWidth="1"/>
    <col min="2" max="2" width="19" customWidth="1"/>
    <col min="3" max="3" width="15.85546875" customWidth="1"/>
    <col min="4" max="4" width="19" customWidth="1"/>
  </cols>
  <sheetData>
    <row r="3" spans="2:17">
      <c r="B3" s="351" t="s">
        <v>150</v>
      </c>
      <c r="C3" s="351">
        <v>3.35</v>
      </c>
      <c r="D3" s="351">
        <v>9.9</v>
      </c>
      <c r="E3" s="351">
        <v>20.43</v>
      </c>
      <c r="F3" s="351">
        <v>24.48</v>
      </c>
      <c r="G3" s="351">
        <v>77.09</v>
      </c>
    </row>
    <row r="4" spans="2:17">
      <c r="B4" s="135" t="s">
        <v>266</v>
      </c>
      <c r="C4" s="351">
        <v>2.0045235509999999E-5</v>
      </c>
      <c r="D4" s="351">
        <v>1.870040223E-5</v>
      </c>
      <c r="E4" s="351">
        <v>1.1713095980000001E-5</v>
      </c>
      <c r="F4" s="351">
        <v>1.423963863E-5</v>
      </c>
      <c r="G4" s="351">
        <v>1.372821104E-5</v>
      </c>
    </row>
    <row r="7" spans="2:17">
      <c r="B7" s="351" t="s">
        <v>150</v>
      </c>
      <c r="C7" s="351">
        <v>3.35</v>
      </c>
      <c r="D7" s="351">
        <v>4.2590000000000003</v>
      </c>
      <c r="E7" s="351">
        <v>9.4</v>
      </c>
      <c r="F7" s="351">
        <v>9.57</v>
      </c>
      <c r="G7" s="351">
        <v>10.57</v>
      </c>
      <c r="H7" s="351">
        <v>12.3</v>
      </c>
      <c r="I7" s="351">
        <v>14.16</v>
      </c>
      <c r="J7" s="351">
        <v>14.55</v>
      </c>
      <c r="K7" s="351">
        <v>16.388000000000002</v>
      </c>
      <c r="L7" s="351">
        <v>18.981999999999999</v>
      </c>
      <c r="M7" s="351">
        <v>19.28</v>
      </c>
      <c r="N7" s="351">
        <v>27.016999999999999</v>
      </c>
      <c r="O7" s="351">
        <v>33.869999999999997</v>
      </c>
      <c r="P7" s="351">
        <v>52.93</v>
      </c>
      <c r="Q7" s="351">
        <v>77.09</v>
      </c>
    </row>
    <row r="8" spans="2:17">
      <c r="B8" s="135" t="s">
        <v>265</v>
      </c>
      <c r="C8" s="351">
        <v>2.0045235509999999E-5</v>
      </c>
      <c r="D8" s="351">
        <v>1.9071899419999999E-5</v>
      </c>
      <c r="E8" s="351">
        <v>1.085889421E-5</v>
      </c>
      <c r="F8" s="351">
        <v>1.632321543E-5</v>
      </c>
      <c r="G8" s="351">
        <v>1.786813879E-5</v>
      </c>
      <c r="H8" s="351">
        <v>1.5619603890000002E-5</v>
      </c>
      <c r="I8" s="351">
        <v>1.8835130689999999E-5</v>
      </c>
      <c r="J8" s="351">
        <v>1.425507866E-5</v>
      </c>
      <c r="K8" s="351">
        <v>1.231310583E-5</v>
      </c>
      <c r="L8" s="351">
        <v>1.7931580230000001E-5</v>
      </c>
      <c r="M8" s="351">
        <v>1.9268158390000001E-5</v>
      </c>
      <c r="N8" s="351">
        <v>1.4197163190000001E-5</v>
      </c>
      <c r="O8" s="351">
        <v>1.590327458E-5</v>
      </c>
      <c r="P8" s="351">
        <v>1.4735582659999999E-5</v>
      </c>
      <c r="Q8" s="351">
        <v>1.372821104E-5</v>
      </c>
    </row>
    <row r="13" spans="2:17">
      <c r="C13" t="s">
        <v>150</v>
      </c>
      <c r="D13" s="135" t="s">
        <v>266</v>
      </c>
      <c r="F13" t="s">
        <v>150</v>
      </c>
      <c r="G13" s="135" t="s">
        <v>265</v>
      </c>
    </row>
    <row r="14" spans="2:17">
      <c r="C14">
        <v>3.35</v>
      </c>
      <c r="D14" s="353">
        <v>2.0045235509999999E-5</v>
      </c>
      <c r="F14">
        <v>3.35</v>
      </c>
      <c r="G14" s="351">
        <v>2.0045235509999999E-5</v>
      </c>
    </row>
    <row r="15" spans="2:17">
      <c r="C15">
        <v>9.9</v>
      </c>
      <c r="D15" s="353">
        <v>1.870040223E-5</v>
      </c>
      <c r="F15">
        <v>4.2590000000000003</v>
      </c>
      <c r="G15" s="351">
        <v>1.9071899419999999E-5</v>
      </c>
    </row>
    <row r="16" spans="2:17">
      <c r="C16">
        <v>20.43</v>
      </c>
      <c r="D16" s="353">
        <v>1.1713095980000001E-5</v>
      </c>
      <c r="F16">
        <v>9.4</v>
      </c>
      <c r="G16" s="351">
        <v>1.085889421E-5</v>
      </c>
    </row>
    <row r="17" spans="3:25">
      <c r="C17">
        <v>24.48</v>
      </c>
      <c r="D17" s="353">
        <v>1.423963863E-5</v>
      </c>
      <c r="F17">
        <v>9.57</v>
      </c>
      <c r="G17" s="351">
        <v>1.632321543E-5</v>
      </c>
    </row>
    <row r="18" spans="3:25">
      <c r="C18">
        <v>77.09</v>
      </c>
      <c r="D18" s="353">
        <v>1.372821104E-5</v>
      </c>
      <c r="F18">
        <v>10.57</v>
      </c>
      <c r="G18" s="351">
        <v>1.786813879E-5</v>
      </c>
    </row>
    <row r="19" spans="3:25">
      <c r="F19">
        <v>12.3</v>
      </c>
      <c r="G19" s="351">
        <v>1.5619603890000002E-5</v>
      </c>
    </row>
    <row r="20" spans="3:25">
      <c r="F20">
        <v>14.16</v>
      </c>
      <c r="G20" s="351">
        <v>1.8835130689999999E-5</v>
      </c>
    </row>
    <row r="21" spans="3:25">
      <c r="F21">
        <v>14.55</v>
      </c>
      <c r="G21" s="351">
        <v>1.425507866E-5</v>
      </c>
    </row>
    <row r="22" spans="3:25">
      <c r="F22">
        <v>16.388000000000002</v>
      </c>
      <c r="G22" s="351">
        <v>1.231310583E-5</v>
      </c>
    </row>
    <row r="23" spans="3:25">
      <c r="F23">
        <v>18.981999999999999</v>
      </c>
      <c r="G23" s="351">
        <v>1.7931580230000001E-5</v>
      </c>
    </row>
    <row r="24" spans="3:25">
      <c r="F24">
        <v>19.28</v>
      </c>
      <c r="G24" s="351">
        <v>1.9268158390000001E-5</v>
      </c>
    </row>
    <row r="25" spans="3:25">
      <c r="F25">
        <v>27.016999999999999</v>
      </c>
      <c r="G25" s="351">
        <v>1.4197163190000001E-5</v>
      </c>
    </row>
    <row r="26" spans="3:25">
      <c r="F26">
        <v>33.869999999999997</v>
      </c>
      <c r="G26" s="351">
        <v>1.590327458E-5</v>
      </c>
    </row>
    <row r="27" spans="3:25">
      <c r="F27">
        <v>52.93</v>
      </c>
      <c r="G27" s="351">
        <v>1.4735582659999999E-5</v>
      </c>
      <c r="J27" s="351"/>
    </row>
    <row r="28" spans="3:25">
      <c r="F28">
        <v>77.09</v>
      </c>
      <c r="G28" s="351">
        <v>1.372821104E-5</v>
      </c>
    </row>
    <row r="29" spans="3:25">
      <c r="J29" s="359" t="s">
        <v>31</v>
      </c>
      <c r="K29" s="352">
        <v>0</v>
      </c>
      <c r="L29" s="352" t="s">
        <v>66</v>
      </c>
      <c r="M29" s="352" t="s">
        <v>67</v>
      </c>
      <c r="N29" s="352" t="s">
        <v>68</v>
      </c>
      <c r="O29" s="352" t="s">
        <v>69</v>
      </c>
      <c r="P29" s="352" t="s">
        <v>70</v>
      </c>
      <c r="Q29" s="352" t="s">
        <v>71</v>
      </c>
      <c r="R29" s="352" t="s">
        <v>72</v>
      </c>
      <c r="S29" s="352" t="s">
        <v>154</v>
      </c>
      <c r="T29" s="352" t="s">
        <v>155</v>
      </c>
      <c r="U29" s="352" t="s">
        <v>156</v>
      </c>
      <c r="V29" s="352" t="s">
        <v>192</v>
      </c>
      <c r="W29" s="352" t="s">
        <v>194</v>
      </c>
      <c r="X29" s="352" t="s">
        <v>240</v>
      </c>
      <c r="Y29" s="351"/>
    </row>
    <row r="30" spans="3:25">
      <c r="J30" s="359"/>
      <c r="K30" s="352">
        <v>19.3</v>
      </c>
      <c r="L30" s="352">
        <v>15.22</v>
      </c>
      <c r="M30" s="352">
        <v>12.52</v>
      </c>
      <c r="N30" s="352">
        <v>9.3000000000000007</v>
      </c>
      <c r="O30" s="352">
        <v>9.48</v>
      </c>
      <c r="P30" s="352">
        <v>8.6999999999999993</v>
      </c>
      <c r="Q30" s="352">
        <v>8.43</v>
      </c>
      <c r="R30" s="352">
        <v>9.83</v>
      </c>
      <c r="S30" s="352">
        <v>8.8699999999999992</v>
      </c>
      <c r="T30" s="352">
        <v>9.74</v>
      </c>
      <c r="U30" s="352">
        <v>12.7</v>
      </c>
      <c r="V30" s="352">
        <v>6.17</v>
      </c>
      <c r="W30" s="352">
        <v>6.43</v>
      </c>
      <c r="X30" s="352">
        <v>5.48</v>
      </c>
      <c r="Y30" s="351">
        <v>5.04</v>
      </c>
    </row>
    <row r="31" spans="3: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3:25">
      <c r="J32" s="359" t="s">
        <v>380</v>
      </c>
      <c r="K32" s="352" t="s">
        <v>23</v>
      </c>
      <c r="L32" s="352" t="s">
        <v>195</v>
      </c>
      <c r="M32" s="352" t="s">
        <v>21</v>
      </c>
      <c r="N32" s="352" t="s">
        <v>26</v>
      </c>
      <c r="O32" s="352" t="s">
        <v>20</v>
      </c>
      <c r="P32" s="2"/>
      <c r="Q32" s="2"/>
      <c r="R32" s="2"/>
      <c r="S32" s="2"/>
      <c r="T32" s="2"/>
      <c r="U32" s="2"/>
      <c r="V32" s="2"/>
      <c r="W32" s="2"/>
      <c r="X32" s="2"/>
    </row>
    <row r="33" spans="10:24">
      <c r="J33" s="359"/>
      <c r="K33" s="352">
        <v>19.3</v>
      </c>
      <c r="L33" s="352">
        <v>13.13</v>
      </c>
      <c r="M33" s="352">
        <v>8.8699999999999992</v>
      </c>
      <c r="N33" s="352">
        <v>7.57</v>
      </c>
      <c r="O33" s="352">
        <v>5.04</v>
      </c>
      <c r="P33" s="2"/>
      <c r="Q33" s="2"/>
      <c r="R33" s="2"/>
      <c r="S33" s="2"/>
      <c r="T33" s="2"/>
      <c r="U33" s="2"/>
      <c r="V33" s="2"/>
      <c r="W33" s="2"/>
      <c r="X33" s="2"/>
    </row>
  </sheetData>
  <mergeCells count="2">
    <mergeCell ref="J29:J30"/>
    <mergeCell ref="J32:J3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341-653F-4C4F-9162-9BF8E429AFD9}">
  <dimension ref="B3:Y33"/>
  <sheetViews>
    <sheetView topLeftCell="I8" zoomScale="175" zoomScaleNormal="175" workbookViewId="0">
      <selection activeCell="S8" sqref="S8"/>
    </sheetView>
  </sheetViews>
  <sheetFormatPr defaultRowHeight="15"/>
  <cols>
    <col min="1" max="1" width="2.42578125" customWidth="1"/>
    <col min="2" max="2" width="19" customWidth="1"/>
    <col min="3" max="3" width="15.85546875" customWidth="1"/>
    <col min="4" max="4" width="19" customWidth="1"/>
  </cols>
  <sheetData>
    <row r="3" spans="2:17">
      <c r="B3" s="351" t="s">
        <v>150</v>
      </c>
      <c r="C3" s="351">
        <v>3.35</v>
      </c>
      <c r="D3" s="351">
        <v>9.9</v>
      </c>
      <c r="E3" s="351">
        <v>20.43</v>
      </c>
      <c r="F3" s="351">
        <v>24.48</v>
      </c>
      <c r="G3" s="351">
        <v>77.09</v>
      </c>
    </row>
    <row r="4" spans="2:17">
      <c r="B4" s="135" t="s">
        <v>268</v>
      </c>
      <c r="C4" s="351">
        <v>564668800</v>
      </c>
      <c r="D4" s="351">
        <v>43737150000</v>
      </c>
      <c r="E4" s="351">
        <v>15650025872.154766</v>
      </c>
      <c r="F4" s="351">
        <v>9493568212.3226204</v>
      </c>
      <c r="G4" s="351">
        <v>925685239.32628536</v>
      </c>
    </row>
    <row r="7" spans="2:17">
      <c r="B7" s="351" t="s">
        <v>150</v>
      </c>
      <c r="C7" s="351">
        <v>3.35</v>
      </c>
      <c r="D7" s="351">
        <v>4.2590000000000003</v>
      </c>
      <c r="E7" s="351">
        <v>9.4</v>
      </c>
      <c r="F7" s="351">
        <v>9.57</v>
      </c>
      <c r="G7" s="351">
        <v>10.57</v>
      </c>
      <c r="H7" s="351">
        <v>12.3</v>
      </c>
      <c r="I7" s="351">
        <v>14.16</v>
      </c>
      <c r="J7" s="351">
        <v>14.55</v>
      </c>
      <c r="K7" s="351">
        <v>16.388000000000002</v>
      </c>
      <c r="L7" s="351">
        <v>18.981999999999999</v>
      </c>
      <c r="M7" s="351">
        <v>19.28</v>
      </c>
      <c r="N7" s="351">
        <v>27.016999999999999</v>
      </c>
      <c r="O7" s="351">
        <v>33.869999999999997</v>
      </c>
      <c r="P7" s="351">
        <v>52.93</v>
      </c>
      <c r="Q7" s="351">
        <v>77.09</v>
      </c>
    </row>
    <row r="8" spans="2:17">
      <c r="B8" s="135" t="s">
        <v>267</v>
      </c>
      <c r="C8" s="351">
        <v>564668834.72951043</v>
      </c>
      <c r="D8" s="351">
        <v>58139974859.132637</v>
      </c>
      <c r="E8" s="351">
        <v>292157974778.79083</v>
      </c>
      <c r="F8" s="351">
        <v>730602378491.17896</v>
      </c>
      <c r="G8" s="351">
        <v>92519327614.039841</v>
      </c>
      <c r="H8" s="351">
        <v>15434954846.038828</v>
      </c>
      <c r="I8" s="351">
        <v>139148648743.94025</v>
      </c>
      <c r="J8" s="351">
        <v>19063649635.66494</v>
      </c>
      <c r="K8" s="351">
        <v>9826034620.661684</v>
      </c>
      <c r="L8" s="351">
        <v>78512604769.581284</v>
      </c>
      <c r="M8" s="351">
        <v>408707026524.11945</v>
      </c>
      <c r="N8" s="351">
        <v>3307759810.1930499</v>
      </c>
      <c r="O8" s="351">
        <v>3994408602.6647587</v>
      </c>
      <c r="P8" s="351">
        <v>4416710598.8355417</v>
      </c>
      <c r="Q8" s="351">
        <v>925685239.32628536</v>
      </c>
    </row>
    <row r="13" spans="2:17">
      <c r="C13" t="s">
        <v>150</v>
      </c>
      <c r="D13" s="135" t="s">
        <v>268</v>
      </c>
      <c r="F13" t="s">
        <v>150</v>
      </c>
      <c r="G13" s="135" t="s">
        <v>267</v>
      </c>
    </row>
    <row r="14" spans="2:17">
      <c r="C14">
        <v>3.35</v>
      </c>
      <c r="D14" s="353">
        <v>564668800</v>
      </c>
      <c r="F14">
        <v>3.35</v>
      </c>
      <c r="G14" s="351">
        <v>564668834.72951043</v>
      </c>
    </row>
    <row r="15" spans="2:17">
      <c r="C15">
        <v>9.9</v>
      </c>
      <c r="D15" s="353">
        <v>43737150000</v>
      </c>
      <c r="F15">
        <v>4.2590000000000003</v>
      </c>
      <c r="G15" s="351">
        <v>58139974859.132637</v>
      </c>
    </row>
    <row r="16" spans="2:17">
      <c r="C16">
        <v>20.43</v>
      </c>
      <c r="D16" s="353">
        <v>15650025872.154766</v>
      </c>
      <c r="F16">
        <v>9.4</v>
      </c>
      <c r="G16" s="351">
        <v>292157974778.79083</v>
      </c>
    </row>
    <row r="17" spans="3:25">
      <c r="C17">
        <v>24.48</v>
      </c>
      <c r="D17" s="353">
        <v>9493568212.3226204</v>
      </c>
      <c r="F17">
        <v>9.57</v>
      </c>
      <c r="G17" s="351">
        <v>730602378491.17896</v>
      </c>
    </row>
    <row r="18" spans="3:25">
      <c r="C18">
        <v>77.09</v>
      </c>
      <c r="D18" s="353">
        <v>925685239.32628536</v>
      </c>
      <c r="F18">
        <v>10.57</v>
      </c>
      <c r="G18" s="351">
        <v>92519327614.039841</v>
      </c>
    </row>
    <row r="19" spans="3:25">
      <c r="F19">
        <v>12.3</v>
      </c>
      <c r="G19" s="351">
        <v>15434954846.038828</v>
      </c>
    </row>
    <row r="20" spans="3:25">
      <c r="F20">
        <v>14.16</v>
      </c>
      <c r="G20" s="351">
        <v>139148648743.94025</v>
      </c>
    </row>
    <row r="21" spans="3:25">
      <c r="F21">
        <v>14.55</v>
      </c>
      <c r="G21" s="351">
        <v>19063649635.66494</v>
      </c>
    </row>
    <row r="22" spans="3:25">
      <c r="F22">
        <v>16.388000000000002</v>
      </c>
      <c r="G22" s="351">
        <v>9826034620.661684</v>
      </c>
    </row>
    <row r="23" spans="3:25">
      <c r="F23">
        <v>18.981999999999999</v>
      </c>
      <c r="G23" s="351">
        <v>78512604769.581284</v>
      </c>
    </row>
    <row r="24" spans="3:25">
      <c r="F24">
        <v>19.28</v>
      </c>
      <c r="G24" s="351">
        <v>408707026524.11945</v>
      </c>
    </row>
    <row r="25" spans="3:25">
      <c r="F25">
        <v>27.016999999999999</v>
      </c>
      <c r="G25" s="351">
        <v>3307759810.1930499</v>
      </c>
    </row>
    <row r="26" spans="3:25">
      <c r="F26">
        <v>33.869999999999997</v>
      </c>
      <c r="G26" s="351">
        <v>3994408602.6647587</v>
      </c>
    </row>
    <row r="27" spans="3:25">
      <c r="F27">
        <v>52.93</v>
      </c>
      <c r="G27" s="351">
        <v>4416710598.8355417</v>
      </c>
      <c r="J27" s="351"/>
    </row>
    <row r="28" spans="3:25">
      <c r="F28">
        <v>77.09</v>
      </c>
      <c r="G28" s="351">
        <v>925685239.32628536</v>
      </c>
    </row>
    <row r="29" spans="3:25">
      <c r="J29" s="359" t="s">
        <v>31</v>
      </c>
      <c r="K29" s="352">
        <v>0</v>
      </c>
      <c r="L29" s="352" t="s">
        <v>66</v>
      </c>
      <c r="M29" s="352" t="s">
        <v>67</v>
      </c>
      <c r="N29" s="352" t="s">
        <v>68</v>
      </c>
      <c r="O29" s="352" t="s">
        <v>69</v>
      </c>
      <c r="P29" s="352" t="s">
        <v>70</v>
      </c>
      <c r="Q29" s="352" t="s">
        <v>71</v>
      </c>
      <c r="R29" s="352" t="s">
        <v>72</v>
      </c>
      <c r="S29" s="352" t="s">
        <v>154</v>
      </c>
      <c r="T29" s="352" t="s">
        <v>155</v>
      </c>
      <c r="U29" s="352" t="s">
        <v>156</v>
      </c>
      <c r="V29" s="352" t="s">
        <v>192</v>
      </c>
      <c r="W29" s="352" t="s">
        <v>194</v>
      </c>
      <c r="X29" s="352" t="s">
        <v>240</v>
      </c>
      <c r="Y29" s="351"/>
    </row>
    <row r="30" spans="3:25">
      <c r="J30" s="359"/>
      <c r="K30" s="352">
        <v>19.3</v>
      </c>
      <c r="L30" s="352">
        <v>15.22</v>
      </c>
      <c r="M30" s="352">
        <v>12.52</v>
      </c>
      <c r="N30" s="352">
        <v>9.3000000000000007</v>
      </c>
      <c r="O30" s="352">
        <v>9.48</v>
      </c>
      <c r="P30" s="352">
        <v>8.6999999999999993</v>
      </c>
      <c r="Q30" s="352">
        <v>8.43</v>
      </c>
      <c r="R30" s="352">
        <v>9.83</v>
      </c>
      <c r="S30" s="352">
        <v>8.8699999999999992</v>
      </c>
      <c r="T30" s="352">
        <v>9.74</v>
      </c>
      <c r="U30" s="352">
        <v>12.7</v>
      </c>
      <c r="V30" s="352">
        <v>6.17</v>
      </c>
      <c r="W30" s="352">
        <v>6.43</v>
      </c>
      <c r="X30" s="352">
        <v>5.48</v>
      </c>
      <c r="Y30" s="351">
        <v>5.04</v>
      </c>
    </row>
    <row r="31" spans="3: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3:25">
      <c r="J32" s="359" t="s">
        <v>380</v>
      </c>
      <c r="K32" s="352" t="s">
        <v>23</v>
      </c>
      <c r="L32" s="352" t="s">
        <v>195</v>
      </c>
      <c r="M32" s="352" t="s">
        <v>21</v>
      </c>
      <c r="N32" s="352" t="s">
        <v>26</v>
      </c>
      <c r="O32" s="352" t="s">
        <v>20</v>
      </c>
      <c r="P32" s="2"/>
      <c r="Q32" s="2"/>
      <c r="R32" s="2"/>
      <c r="S32" s="2"/>
      <c r="T32" s="2"/>
      <c r="U32" s="2"/>
      <c r="V32" s="2"/>
      <c r="W32" s="2"/>
      <c r="X32" s="2"/>
    </row>
    <row r="33" spans="10:24">
      <c r="J33" s="359"/>
      <c r="K33" s="352">
        <v>19.3</v>
      </c>
      <c r="L33" s="352">
        <v>13.13</v>
      </c>
      <c r="M33" s="352">
        <v>8.8699999999999992</v>
      </c>
      <c r="N33" s="352">
        <v>7.57</v>
      </c>
      <c r="O33" s="352">
        <v>5.04</v>
      </c>
      <c r="P33" s="2"/>
      <c r="Q33" s="2"/>
      <c r="R33" s="2"/>
      <c r="S33" s="2"/>
      <c r="T33" s="2"/>
      <c r="U33" s="2"/>
      <c r="V33" s="2"/>
      <c r="W33" s="2"/>
      <c r="X33" s="2"/>
    </row>
  </sheetData>
  <mergeCells count="2">
    <mergeCell ref="J29:J30"/>
    <mergeCell ref="J32:J3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5E01-767B-4937-B527-FBC49D44180E}">
  <dimension ref="B3:Y33"/>
  <sheetViews>
    <sheetView topLeftCell="K12" zoomScale="235" zoomScaleNormal="235" workbookViewId="0">
      <selection activeCell="S14" sqref="S14"/>
    </sheetView>
  </sheetViews>
  <sheetFormatPr defaultRowHeight="15"/>
  <cols>
    <col min="1" max="1" width="2.42578125" customWidth="1"/>
    <col min="2" max="2" width="19" customWidth="1"/>
    <col min="3" max="3" width="15.85546875" customWidth="1"/>
    <col min="4" max="4" width="22.5703125" customWidth="1"/>
  </cols>
  <sheetData>
    <row r="3" spans="2:17">
      <c r="B3" s="351" t="s">
        <v>150</v>
      </c>
      <c r="C3" s="351">
        <v>3.35</v>
      </c>
      <c r="D3" s="351">
        <v>9.9</v>
      </c>
      <c r="E3" s="351">
        <v>20.43</v>
      </c>
      <c r="F3" s="351">
        <v>24.48</v>
      </c>
      <c r="G3" s="351">
        <v>77.09</v>
      </c>
    </row>
    <row r="4" spans="2:17">
      <c r="B4" s="135" t="s">
        <v>383</v>
      </c>
      <c r="C4" s="351">
        <v>0.53180000000000005</v>
      </c>
      <c r="D4" s="351">
        <v>0.75160000000000005</v>
      </c>
      <c r="E4" s="351">
        <v>0.86729999999999996</v>
      </c>
      <c r="F4" s="351">
        <v>0.88529999999999998</v>
      </c>
      <c r="G4" s="351">
        <v>0.94210000000000005</v>
      </c>
    </row>
    <row r="7" spans="2:17">
      <c r="B7" s="351" t="s">
        <v>150</v>
      </c>
      <c r="C7" s="351">
        <v>3.35</v>
      </c>
      <c r="D7" s="351">
        <v>4.2590000000000003</v>
      </c>
      <c r="E7" s="351">
        <v>9.4</v>
      </c>
      <c r="F7" s="351">
        <v>9.57</v>
      </c>
      <c r="G7" s="351">
        <v>10.57</v>
      </c>
      <c r="H7" s="351">
        <v>12.3</v>
      </c>
      <c r="I7" s="351">
        <v>14.16</v>
      </c>
      <c r="J7" s="351">
        <v>14.55</v>
      </c>
      <c r="K7" s="351">
        <v>16.388000000000002</v>
      </c>
      <c r="L7" s="351">
        <v>18.981999999999999</v>
      </c>
      <c r="M7" s="351">
        <v>19.28</v>
      </c>
      <c r="N7" s="351">
        <v>27.016999999999999</v>
      </c>
      <c r="O7" s="351">
        <v>33.869999999999997</v>
      </c>
      <c r="P7" s="351">
        <v>52.93</v>
      </c>
      <c r="Q7" s="351">
        <v>77.09</v>
      </c>
    </row>
    <row r="8" spans="2:17">
      <c r="B8" s="135" t="s">
        <v>384</v>
      </c>
      <c r="C8" s="351">
        <v>0.53180000000000005</v>
      </c>
      <c r="D8" s="351">
        <v>0.70120000000000005</v>
      </c>
      <c r="E8" s="351">
        <v>0.73119999999999996</v>
      </c>
      <c r="F8" s="351">
        <v>0.78169999999999995</v>
      </c>
      <c r="G8" s="351">
        <v>0.76880000000000004</v>
      </c>
      <c r="H8" s="351">
        <v>0.85799999999999998</v>
      </c>
      <c r="I8" s="351">
        <v>0.80010000000000003</v>
      </c>
      <c r="J8" s="351">
        <v>0.84470000000000001</v>
      </c>
      <c r="K8" s="351">
        <v>0.84970000000000001</v>
      </c>
      <c r="L8" s="351">
        <v>0.7631</v>
      </c>
      <c r="M8" s="351">
        <v>0.72519999999999996</v>
      </c>
      <c r="N8" s="351">
        <v>0.90269999999999995</v>
      </c>
      <c r="O8" s="351">
        <v>0.8952</v>
      </c>
      <c r="P8" s="351">
        <v>0.92789999999999995</v>
      </c>
      <c r="Q8" s="351">
        <v>0.94210000000000005</v>
      </c>
    </row>
    <row r="13" spans="2:17">
      <c r="C13" t="s">
        <v>150</v>
      </c>
      <c r="D13" s="135" t="s">
        <v>383</v>
      </c>
      <c r="F13" t="s">
        <v>150</v>
      </c>
      <c r="G13" s="135" t="s">
        <v>384</v>
      </c>
    </row>
    <row r="14" spans="2:17">
      <c r="C14">
        <v>3.35</v>
      </c>
      <c r="D14" s="351">
        <v>0.53180000000000005</v>
      </c>
      <c r="F14">
        <v>3.35</v>
      </c>
      <c r="G14" s="351">
        <v>0.53180000000000005</v>
      </c>
    </row>
    <row r="15" spans="2:17">
      <c r="C15">
        <v>9.9</v>
      </c>
      <c r="D15" s="351">
        <v>0.75160000000000005</v>
      </c>
      <c r="F15">
        <v>4.2590000000000003</v>
      </c>
      <c r="G15" s="351">
        <v>0.70120000000000005</v>
      </c>
    </row>
    <row r="16" spans="2:17">
      <c r="C16">
        <v>20.43</v>
      </c>
      <c r="D16" s="351">
        <v>0.86729999999999996</v>
      </c>
      <c r="F16">
        <v>9.4</v>
      </c>
      <c r="G16" s="351">
        <v>0.73119999999999996</v>
      </c>
    </row>
    <row r="17" spans="3:25">
      <c r="C17">
        <v>24.48</v>
      </c>
      <c r="D17" s="351">
        <v>0.88529999999999998</v>
      </c>
      <c r="F17">
        <v>9.57</v>
      </c>
      <c r="G17" s="351">
        <v>0.78169999999999995</v>
      </c>
    </row>
    <row r="18" spans="3:25">
      <c r="C18">
        <v>77.09</v>
      </c>
      <c r="D18" s="351">
        <v>0.94210000000000005</v>
      </c>
      <c r="F18">
        <v>10.57</v>
      </c>
      <c r="G18" s="351">
        <v>0.76880000000000004</v>
      </c>
    </row>
    <row r="19" spans="3:25">
      <c r="F19">
        <v>12.3</v>
      </c>
      <c r="G19" s="351">
        <v>0.85799999999999998</v>
      </c>
    </row>
    <row r="20" spans="3:25">
      <c r="F20">
        <v>14.16</v>
      </c>
      <c r="G20" s="351">
        <v>0.80010000000000003</v>
      </c>
    </row>
    <row r="21" spans="3:25">
      <c r="F21">
        <v>14.55</v>
      </c>
      <c r="G21" s="351">
        <v>0.84470000000000001</v>
      </c>
    </row>
    <row r="22" spans="3:25">
      <c r="F22">
        <v>16.388000000000002</v>
      </c>
      <c r="G22" s="351">
        <v>0.84970000000000001</v>
      </c>
    </row>
    <row r="23" spans="3:25">
      <c r="F23">
        <v>18.981999999999999</v>
      </c>
      <c r="G23" s="351">
        <v>0.7631</v>
      </c>
    </row>
    <row r="24" spans="3:25">
      <c r="F24">
        <v>19.28</v>
      </c>
      <c r="G24" s="351">
        <v>0.72519999999999996</v>
      </c>
    </row>
    <row r="25" spans="3:25">
      <c r="F25">
        <v>27.016999999999999</v>
      </c>
      <c r="G25" s="351">
        <v>0.90269999999999995</v>
      </c>
    </row>
    <row r="26" spans="3:25">
      <c r="F26">
        <v>33.869999999999997</v>
      </c>
      <c r="G26" s="351">
        <v>0.8952</v>
      </c>
    </row>
    <row r="27" spans="3:25">
      <c r="F27">
        <v>52.93</v>
      </c>
      <c r="G27" s="351">
        <v>0.92789999999999995</v>
      </c>
      <c r="J27" s="351"/>
    </row>
    <row r="28" spans="3:25">
      <c r="F28">
        <v>77.09</v>
      </c>
      <c r="G28" s="351">
        <v>0.94210000000000005</v>
      </c>
    </row>
    <row r="29" spans="3:25">
      <c r="J29" s="359" t="s">
        <v>31</v>
      </c>
      <c r="K29" s="352">
        <v>0</v>
      </c>
      <c r="L29" s="352" t="s">
        <v>66</v>
      </c>
      <c r="M29" s="352" t="s">
        <v>67</v>
      </c>
      <c r="N29" s="352" t="s">
        <v>68</v>
      </c>
      <c r="O29" s="352" t="s">
        <v>69</v>
      </c>
      <c r="P29" s="352" t="s">
        <v>70</v>
      </c>
      <c r="Q29" s="352" t="s">
        <v>71</v>
      </c>
      <c r="R29" s="352" t="s">
        <v>72</v>
      </c>
      <c r="S29" s="352" t="s">
        <v>154</v>
      </c>
      <c r="T29" s="352" t="s">
        <v>155</v>
      </c>
      <c r="U29" s="352" t="s">
        <v>156</v>
      </c>
      <c r="V29" s="352" t="s">
        <v>192</v>
      </c>
      <c r="W29" s="352" t="s">
        <v>194</v>
      </c>
      <c r="X29" s="352" t="s">
        <v>240</v>
      </c>
      <c r="Y29" s="351"/>
    </row>
    <row r="30" spans="3:25">
      <c r="J30" s="359"/>
      <c r="K30" s="352">
        <v>19.3</v>
      </c>
      <c r="L30" s="352">
        <v>15.22</v>
      </c>
      <c r="M30" s="352">
        <v>12.52</v>
      </c>
      <c r="N30" s="352">
        <v>9.3000000000000007</v>
      </c>
      <c r="O30" s="352">
        <v>9.48</v>
      </c>
      <c r="P30" s="352">
        <v>8.6999999999999993</v>
      </c>
      <c r="Q30" s="352">
        <v>8.43</v>
      </c>
      <c r="R30" s="352">
        <v>9.83</v>
      </c>
      <c r="S30" s="352">
        <v>8.8699999999999992</v>
      </c>
      <c r="T30" s="352">
        <v>9.74</v>
      </c>
      <c r="U30" s="352">
        <v>12.7</v>
      </c>
      <c r="V30" s="352">
        <v>6.17</v>
      </c>
      <c r="W30" s="352">
        <v>6.43</v>
      </c>
      <c r="X30" s="352">
        <v>5.48</v>
      </c>
      <c r="Y30" s="351">
        <v>5.04</v>
      </c>
    </row>
    <row r="31" spans="3: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3:25">
      <c r="J32" s="359" t="s">
        <v>380</v>
      </c>
      <c r="K32" s="352" t="s">
        <v>23</v>
      </c>
      <c r="L32" s="352" t="s">
        <v>195</v>
      </c>
      <c r="M32" s="352" t="s">
        <v>21</v>
      </c>
      <c r="N32" s="352" t="s">
        <v>26</v>
      </c>
      <c r="O32" s="352" t="s">
        <v>20</v>
      </c>
      <c r="P32" s="2"/>
      <c r="Q32" s="2"/>
      <c r="R32" s="2"/>
      <c r="S32" s="2"/>
      <c r="T32" s="2"/>
      <c r="U32" s="2"/>
      <c r="V32" s="2"/>
      <c r="W32" s="2"/>
      <c r="X32" s="2"/>
    </row>
    <row r="33" spans="10:24">
      <c r="J33" s="359"/>
      <c r="K33" s="352">
        <v>19.3</v>
      </c>
      <c r="L33" s="352">
        <v>13.13</v>
      </c>
      <c r="M33" s="352">
        <v>8.8699999999999992</v>
      </c>
      <c r="N33" s="352">
        <v>7.57</v>
      </c>
      <c r="O33" s="352">
        <v>5.04</v>
      </c>
      <c r="P33" s="2"/>
      <c r="Q33" s="2"/>
      <c r="R33" s="2"/>
      <c r="S33" s="2"/>
      <c r="T33" s="2"/>
      <c r="U33" s="2"/>
      <c r="V33" s="2"/>
      <c r="W33" s="2"/>
      <c r="X33" s="2"/>
    </row>
  </sheetData>
  <mergeCells count="2">
    <mergeCell ref="J29:J30"/>
    <mergeCell ref="J32:J33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81A3-AA98-4C67-A561-F8A9703191B0}">
  <dimension ref="B3:Y33"/>
  <sheetViews>
    <sheetView topLeftCell="H13" zoomScale="205" zoomScaleNormal="205" workbookViewId="0">
      <selection activeCell="J24" sqref="J24"/>
    </sheetView>
  </sheetViews>
  <sheetFormatPr defaultRowHeight="15"/>
  <cols>
    <col min="1" max="1" width="2.42578125" customWidth="1"/>
    <col min="2" max="2" width="19" customWidth="1"/>
    <col min="3" max="3" width="15.85546875" customWidth="1"/>
    <col min="4" max="4" width="19" customWidth="1"/>
  </cols>
  <sheetData>
    <row r="3" spans="2:17">
      <c r="B3" s="351" t="s">
        <v>150</v>
      </c>
      <c r="C3" s="351">
        <v>3.35</v>
      </c>
      <c r="D3" s="351">
        <v>9.9</v>
      </c>
      <c r="E3" s="351">
        <v>20.43</v>
      </c>
      <c r="F3" s="351">
        <v>24.48</v>
      </c>
      <c r="G3" s="351">
        <v>77.09</v>
      </c>
    </row>
    <row r="4" spans="2:17">
      <c r="B4" s="135" t="s">
        <v>339</v>
      </c>
      <c r="C4" s="351">
        <v>1.0000000000000001E-9</v>
      </c>
      <c r="D4" s="351">
        <v>3.9999999999999998E-11</v>
      </c>
      <c r="E4" s="351">
        <v>7.9999999999999998E-12</v>
      </c>
      <c r="F4" s="351">
        <v>4.9999999999999997E-12</v>
      </c>
      <c r="G4" s="351">
        <v>9E-13</v>
      </c>
    </row>
    <row r="7" spans="2:17">
      <c r="B7" s="351" t="s">
        <v>150</v>
      </c>
      <c r="C7" s="351">
        <v>3.35</v>
      </c>
      <c r="D7" s="351">
        <v>4.2590000000000003</v>
      </c>
      <c r="E7" s="351">
        <v>9.4</v>
      </c>
      <c r="F7" s="351">
        <v>9.57</v>
      </c>
      <c r="G7" s="351">
        <v>10.57</v>
      </c>
      <c r="H7" s="351">
        <v>12.3</v>
      </c>
      <c r="I7" s="351">
        <v>14.16</v>
      </c>
      <c r="J7" s="351">
        <v>14.55</v>
      </c>
      <c r="K7" s="351">
        <v>16.388000000000002</v>
      </c>
      <c r="L7" s="351">
        <v>18.981999999999999</v>
      </c>
      <c r="M7" s="351">
        <v>19.28</v>
      </c>
      <c r="N7" s="351">
        <v>27.016999999999999</v>
      </c>
      <c r="O7" s="351">
        <v>33.869999999999997</v>
      </c>
      <c r="P7" s="351">
        <v>52.93</v>
      </c>
      <c r="Q7" s="351">
        <v>77.09</v>
      </c>
    </row>
    <row r="8" spans="2:17">
      <c r="B8" s="135" t="s">
        <v>339</v>
      </c>
      <c r="C8" s="351">
        <v>1.0000000000000001E-9</v>
      </c>
      <c r="D8" s="351">
        <v>5.4000000000000001E-11</v>
      </c>
      <c r="E8" s="351">
        <v>1.6999999999999999E-11</v>
      </c>
      <c r="F8" s="351">
        <v>4.9999999999999997E-12</v>
      </c>
      <c r="G8" s="351">
        <v>6.0000000000000003E-12</v>
      </c>
      <c r="H8" s="351">
        <v>1.1999999999999999E-12</v>
      </c>
      <c r="I8" s="351">
        <v>2.4999999999999998E-12</v>
      </c>
      <c r="J8" s="351">
        <v>9.9999999999999998E-13</v>
      </c>
      <c r="K8" s="351">
        <v>1.7E-12</v>
      </c>
      <c r="L8" s="351">
        <v>5.5000000000000004E-12</v>
      </c>
      <c r="M8" s="351">
        <v>1.6999999999999999E-11</v>
      </c>
      <c r="N8" s="351">
        <v>9E-13</v>
      </c>
      <c r="O8" s="351">
        <v>4.9999999999999999E-13</v>
      </c>
      <c r="P8" s="351">
        <v>1.4999999999999999E-13</v>
      </c>
      <c r="Q8" s="351">
        <v>9E-13</v>
      </c>
    </row>
    <row r="13" spans="2:17" ht="72.75">
      <c r="C13" t="s">
        <v>150</v>
      </c>
      <c r="D13" s="135" t="s">
        <v>339</v>
      </c>
      <c r="F13" t="s">
        <v>150</v>
      </c>
      <c r="G13" s="360" t="s">
        <v>385</v>
      </c>
    </row>
    <row r="14" spans="2:17">
      <c r="C14">
        <v>3.35</v>
      </c>
      <c r="D14" s="351">
        <v>1.0000000000000001E-9</v>
      </c>
      <c r="F14">
        <v>3.35</v>
      </c>
      <c r="G14" s="351">
        <v>1.0000000000000001E-9</v>
      </c>
    </row>
    <row r="15" spans="2:17">
      <c r="C15">
        <v>9.9</v>
      </c>
      <c r="D15" s="351">
        <v>3.9999999999999998E-11</v>
      </c>
      <c r="F15">
        <v>4.2590000000000003</v>
      </c>
      <c r="G15" s="351">
        <v>5.4000000000000001E-11</v>
      </c>
    </row>
    <row r="16" spans="2:17">
      <c r="C16">
        <v>20.43</v>
      </c>
      <c r="D16" s="351">
        <v>7.9999999999999998E-12</v>
      </c>
      <c r="F16">
        <v>9.4</v>
      </c>
      <c r="G16" s="351">
        <v>1.6999999999999999E-11</v>
      </c>
    </row>
    <row r="17" spans="3:25">
      <c r="C17">
        <v>24.48</v>
      </c>
      <c r="D17" s="351">
        <v>4.9999999999999997E-12</v>
      </c>
      <c r="F17">
        <v>9.57</v>
      </c>
      <c r="G17" s="351">
        <v>4.9999999999999997E-12</v>
      </c>
    </row>
    <row r="18" spans="3:25">
      <c r="C18">
        <v>77.09</v>
      </c>
      <c r="D18" s="351">
        <v>9E-13</v>
      </c>
      <c r="F18">
        <v>10.57</v>
      </c>
      <c r="G18" s="351">
        <v>6.0000000000000003E-12</v>
      </c>
    </row>
    <row r="19" spans="3:25">
      <c r="F19">
        <v>12.3</v>
      </c>
      <c r="G19" s="351">
        <v>1.1999999999999999E-12</v>
      </c>
    </row>
    <row r="20" spans="3:25">
      <c r="F20">
        <v>14.16</v>
      </c>
      <c r="G20" s="351">
        <v>2.4999999999999998E-12</v>
      </c>
    </row>
    <row r="21" spans="3:25">
      <c r="F21">
        <v>14.55</v>
      </c>
      <c r="G21" s="351">
        <v>9.9999999999999998E-13</v>
      </c>
    </row>
    <row r="22" spans="3:25">
      <c r="F22">
        <v>16.388000000000002</v>
      </c>
      <c r="G22" s="351">
        <v>1.7E-12</v>
      </c>
    </row>
    <row r="23" spans="3:25">
      <c r="F23">
        <v>18.981999999999999</v>
      </c>
      <c r="G23" s="351">
        <v>5.5000000000000004E-12</v>
      </c>
    </row>
    <row r="24" spans="3:25">
      <c r="F24">
        <v>19.28</v>
      </c>
      <c r="G24" s="351">
        <v>1.6999999999999999E-11</v>
      </c>
    </row>
    <row r="25" spans="3:25">
      <c r="F25">
        <v>27.016999999999999</v>
      </c>
      <c r="G25" s="351">
        <v>9E-13</v>
      </c>
    </row>
    <row r="26" spans="3:25">
      <c r="F26">
        <v>33.869999999999997</v>
      </c>
      <c r="G26" s="351">
        <v>4.9999999999999999E-13</v>
      </c>
    </row>
    <row r="27" spans="3:25">
      <c r="F27">
        <v>52.93</v>
      </c>
      <c r="G27" s="351">
        <v>1.4999999999999999E-13</v>
      </c>
      <c r="J27" s="351"/>
    </row>
    <row r="28" spans="3:25">
      <c r="F28">
        <v>77.09</v>
      </c>
      <c r="G28" s="351">
        <v>9E-13</v>
      </c>
    </row>
    <row r="29" spans="3:25">
      <c r="J29" s="359" t="s">
        <v>31</v>
      </c>
      <c r="K29" s="352">
        <v>0</v>
      </c>
      <c r="L29" s="352" t="s">
        <v>66</v>
      </c>
      <c r="M29" s="352" t="s">
        <v>67</v>
      </c>
      <c r="N29" s="352" t="s">
        <v>68</v>
      </c>
      <c r="O29" s="352" t="s">
        <v>69</v>
      </c>
      <c r="P29" s="352" t="s">
        <v>70</v>
      </c>
      <c r="Q29" s="352" t="s">
        <v>71</v>
      </c>
      <c r="R29" s="352" t="s">
        <v>72</v>
      </c>
      <c r="S29" s="352" t="s">
        <v>154</v>
      </c>
      <c r="T29" s="352" t="s">
        <v>155</v>
      </c>
      <c r="U29" s="352" t="s">
        <v>156</v>
      </c>
      <c r="V29" s="352" t="s">
        <v>192</v>
      </c>
      <c r="W29" s="352" t="s">
        <v>194</v>
      </c>
      <c r="X29" s="352" t="s">
        <v>240</v>
      </c>
      <c r="Y29" s="351"/>
    </row>
    <row r="30" spans="3:25">
      <c r="J30" s="359"/>
      <c r="K30" s="352">
        <v>19.3</v>
      </c>
      <c r="L30" s="352">
        <v>15.22</v>
      </c>
      <c r="M30" s="352">
        <v>12.52</v>
      </c>
      <c r="N30" s="352">
        <v>9.3000000000000007</v>
      </c>
      <c r="O30" s="352">
        <v>9.48</v>
      </c>
      <c r="P30" s="352">
        <v>8.6999999999999993</v>
      </c>
      <c r="Q30" s="352">
        <v>8.43</v>
      </c>
      <c r="R30" s="352">
        <v>9.83</v>
      </c>
      <c r="S30" s="352">
        <v>8.8699999999999992</v>
      </c>
      <c r="T30" s="352">
        <v>9.74</v>
      </c>
      <c r="U30" s="352">
        <v>12.7</v>
      </c>
      <c r="V30" s="352">
        <v>6.17</v>
      </c>
      <c r="W30" s="352">
        <v>6.43</v>
      </c>
      <c r="X30" s="352">
        <v>5.48</v>
      </c>
      <c r="Y30" s="351">
        <v>5.04</v>
      </c>
    </row>
    <row r="31" spans="3:25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3:25">
      <c r="J32" s="359" t="s">
        <v>380</v>
      </c>
      <c r="K32" s="352" t="s">
        <v>23</v>
      </c>
      <c r="L32" s="352" t="s">
        <v>195</v>
      </c>
      <c r="M32" s="352" t="s">
        <v>21</v>
      </c>
      <c r="N32" s="352" t="s">
        <v>26</v>
      </c>
      <c r="O32" s="352" t="s">
        <v>20</v>
      </c>
      <c r="P32" s="2"/>
      <c r="Q32" s="2"/>
      <c r="R32" s="2"/>
      <c r="S32" s="2"/>
      <c r="T32" s="2"/>
      <c r="U32" s="2"/>
      <c r="V32" s="2"/>
      <c r="W32" s="2"/>
      <c r="X32" s="2"/>
    </row>
    <row r="33" spans="10:24">
      <c r="J33" s="359"/>
      <c r="K33" s="352">
        <v>19.3</v>
      </c>
      <c r="L33" s="352">
        <v>13.13</v>
      </c>
      <c r="M33" s="352">
        <v>8.8699999999999992</v>
      </c>
      <c r="N33" s="352">
        <v>7.57</v>
      </c>
      <c r="O33" s="352">
        <v>5.04</v>
      </c>
      <c r="P33" s="2"/>
      <c r="Q33" s="2"/>
      <c r="R33" s="2"/>
      <c r="S33" s="2"/>
      <c r="T33" s="2"/>
      <c r="U33" s="2"/>
      <c r="V33" s="2"/>
      <c r="W33" s="2"/>
      <c r="X33" s="2"/>
    </row>
  </sheetData>
  <mergeCells count="2">
    <mergeCell ref="J29:J30"/>
    <mergeCell ref="J32:J3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G278"/>
  <sheetViews>
    <sheetView tabSelected="1" topLeftCell="M43" zoomScale="85" zoomScaleNormal="85" workbookViewId="0">
      <selection activeCell="AF91" sqref="AF91"/>
    </sheetView>
  </sheetViews>
  <sheetFormatPr defaultColWidth="8.85546875" defaultRowHeight="12"/>
  <cols>
    <col min="1" max="1" width="17.7109375" style="102" customWidth="1"/>
    <col min="2" max="2" width="8.28515625" style="102" customWidth="1"/>
    <col min="3" max="3" width="11.7109375" style="102" bestFit="1" customWidth="1"/>
    <col min="4" max="5" width="14.28515625" style="212" customWidth="1"/>
    <col min="6" max="6" width="23.7109375" style="102" customWidth="1"/>
    <col min="7" max="7" width="14.28515625" style="232" bestFit="1" customWidth="1"/>
    <col min="8" max="8" width="8.28515625" style="232" customWidth="1"/>
    <col min="9" max="11" width="9" style="233" customWidth="1"/>
    <col min="12" max="12" width="8.28515625" style="228" customWidth="1"/>
    <col min="13" max="13" width="12.7109375" style="169" bestFit="1" customWidth="1"/>
    <col min="14" max="14" width="12.7109375" style="108" bestFit="1" customWidth="1"/>
    <col min="15" max="15" width="12.7109375" style="169" bestFit="1" customWidth="1"/>
    <col min="16" max="16" width="12.7109375" style="108" bestFit="1" customWidth="1"/>
    <col min="17" max="17" width="9.140625" style="108" customWidth="1"/>
    <col min="18" max="19" width="12.7109375" style="108" bestFit="1" customWidth="1"/>
    <col min="20" max="20" width="12.7109375" style="169" bestFit="1" customWidth="1"/>
    <col min="21" max="21" width="8.85546875" style="108" customWidth="1"/>
    <col min="22" max="22" width="12.7109375" style="169" bestFit="1" customWidth="1"/>
    <col min="23" max="25" width="12.7109375" style="108" bestFit="1" customWidth="1"/>
    <col min="26" max="26" width="12.7109375" style="229" bestFit="1" customWidth="1"/>
    <col min="27" max="28" width="15.42578125" style="160" customWidth="1"/>
    <col min="29" max="29" width="21.140625" style="160" bestFit="1" customWidth="1"/>
    <col min="30" max="30" width="18.28515625" style="108" bestFit="1" customWidth="1"/>
    <col min="31" max="31" width="14.28515625" style="151" bestFit="1" customWidth="1"/>
    <col min="32" max="32" width="12.7109375" style="143" bestFit="1" customWidth="1"/>
    <col min="33" max="33" width="15.7109375" style="143" customWidth="1"/>
    <col min="34" max="34" width="12.28515625" style="143" bestFit="1" customWidth="1"/>
    <col min="35" max="35" width="12.7109375" style="143" customWidth="1"/>
    <col min="36" max="36" width="15.28515625" style="143" bestFit="1" customWidth="1"/>
    <col min="37" max="37" width="12" style="102" bestFit="1" customWidth="1"/>
    <col min="38" max="39" width="8.85546875" style="102"/>
    <col min="40" max="40" width="15.85546875" style="102" customWidth="1"/>
    <col min="41" max="41" width="13.28515625" style="102" hidden="1" customWidth="1"/>
    <col min="42" max="42" width="14.28515625" style="102" hidden="1" customWidth="1"/>
    <col min="43" max="43" width="13.7109375" style="102" hidden="1" customWidth="1"/>
    <col min="44" max="44" width="14.28515625" style="102" hidden="1" customWidth="1"/>
    <col min="45" max="45" width="13.28515625" style="102" hidden="1" customWidth="1"/>
    <col min="46" max="46" width="14.140625" style="102" hidden="1" customWidth="1"/>
    <col min="47" max="47" width="11" style="102" bestFit="1" customWidth="1"/>
    <col min="48" max="49" width="10.7109375" style="102" bestFit="1" customWidth="1"/>
    <col min="50" max="50" width="11" style="102" bestFit="1" customWidth="1"/>
    <col min="51" max="52" width="10.7109375" style="102" bestFit="1" customWidth="1"/>
    <col min="53" max="54" width="11" style="102" bestFit="1" customWidth="1"/>
    <col min="55" max="55" width="10.5703125" style="102" bestFit="1" customWidth="1"/>
    <col min="56" max="56" width="10.7109375" style="102" bestFit="1" customWidth="1"/>
    <col min="57" max="57" width="10.5703125" style="102" bestFit="1" customWidth="1"/>
    <col min="58" max="58" width="11.42578125" style="102" customWidth="1"/>
    <col min="59" max="59" width="14.140625" style="102" bestFit="1" customWidth="1"/>
    <col min="60" max="16384" width="8.85546875" style="102"/>
  </cols>
  <sheetData>
    <row r="2" spans="1:37" s="103" customFormat="1" ht="66" customHeight="1">
      <c r="F2" s="240" t="s">
        <v>303</v>
      </c>
      <c r="G2" s="132" t="s">
        <v>338</v>
      </c>
      <c r="H2" s="132" t="s">
        <v>338</v>
      </c>
      <c r="I2" s="132" t="s">
        <v>338</v>
      </c>
      <c r="J2" s="132" t="s">
        <v>338</v>
      </c>
      <c r="K2" s="132" t="s">
        <v>338</v>
      </c>
      <c r="L2" s="132"/>
      <c r="M2" s="132" t="s">
        <v>338</v>
      </c>
      <c r="N2" s="132" t="s">
        <v>338</v>
      </c>
      <c r="O2" s="132" t="s">
        <v>338</v>
      </c>
      <c r="P2" s="132" t="s">
        <v>338</v>
      </c>
      <c r="Q2" s="132" t="s">
        <v>338</v>
      </c>
      <c r="R2" s="132" t="s">
        <v>338</v>
      </c>
      <c r="S2" s="132" t="s">
        <v>338</v>
      </c>
      <c r="T2" s="161" t="s">
        <v>338</v>
      </c>
      <c r="U2" s="161" t="s">
        <v>338</v>
      </c>
      <c r="V2" s="161" t="s">
        <v>338</v>
      </c>
      <c r="W2" s="161" t="s">
        <v>338</v>
      </c>
      <c r="X2" s="161" t="s">
        <v>338</v>
      </c>
      <c r="Y2" s="161" t="s">
        <v>338</v>
      </c>
      <c r="Z2" s="133"/>
      <c r="AA2" s="153"/>
      <c r="AB2" s="153"/>
      <c r="AC2" s="153"/>
      <c r="AD2" s="112"/>
      <c r="AE2" s="144"/>
      <c r="AF2" s="138"/>
      <c r="AG2" s="138"/>
      <c r="AH2" s="138"/>
      <c r="AI2" s="138"/>
      <c r="AJ2" s="138"/>
    </row>
    <row r="3" spans="1:37" s="101" customFormat="1" ht="24">
      <c r="A3" s="101" t="s">
        <v>87</v>
      </c>
      <c r="C3" s="101" t="s">
        <v>158</v>
      </c>
      <c r="D3" s="101" t="s">
        <v>52</v>
      </c>
      <c r="F3" s="244" t="s">
        <v>168</v>
      </c>
      <c r="G3" s="162">
        <v>3.9</v>
      </c>
      <c r="H3" s="162">
        <v>12</v>
      </c>
      <c r="I3" s="162">
        <v>22</v>
      </c>
      <c r="J3" s="162">
        <v>30</v>
      </c>
      <c r="K3" s="162">
        <v>80</v>
      </c>
      <c r="L3" s="162">
        <v>3.9</v>
      </c>
      <c r="M3" s="162"/>
      <c r="N3" s="115"/>
      <c r="O3" s="162"/>
      <c r="P3" s="115"/>
      <c r="Q3" s="115"/>
      <c r="R3" s="115"/>
      <c r="S3" s="115"/>
      <c r="T3" s="162"/>
      <c r="U3" s="115"/>
      <c r="V3" s="162"/>
      <c r="W3" s="115"/>
      <c r="X3" s="115"/>
      <c r="Y3" s="115"/>
      <c r="Z3" s="128">
        <v>80</v>
      </c>
      <c r="AA3" s="154"/>
      <c r="AB3" s="154"/>
      <c r="AC3" s="154"/>
      <c r="AD3" s="115"/>
      <c r="AE3" s="145"/>
      <c r="AF3" s="139"/>
      <c r="AG3" s="139"/>
      <c r="AH3" s="139"/>
      <c r="AI3" s="139"/>
      <c r="AJ3" s="139"/>
    </row>
    <row r="4" spans="1:37" s="248" customFormat="1" ht="15.75" thickBot="1">
      <c r="F4" s="261"/>
      <c r="G4" s="262" t="str">
        <f t="shared" ref="G4:L4" si="0">G29</f>
        <v>SiO2</v>
      </c>
      <c r="H4" s="262" t="str">
        <f t="shared" si="0"/>
        <v>Al2O3</v>
      </c>
      <c r="I4" s="262" t="str">
        <f t="shared" si="0"/>
        <v>HfO2</v>
      </c>
      <c r="J4" s="262" t="str">
        <f t="shared" si="0"/>
        <v>La2O3</v>
      </c>
      <c r="K4" s="262" t="str">
        <f t="shared" si="0"/>
        <v>TiO2</v>
      </c>
      <c r="L4" s="262">
        <f t="shared" si="0"/>
        <v>0</v>
      </c>
      <c r="M4" s="263" t="s">
        <v>66</v>
      </c>
      <c r="N4" s="263" t="s">
        <v>67</v>
      </c>
      <c r="O4" s="263" t="s">
        <v>68</v>
      </c>
      <c r="P4" s="263" t="s">
        <v>69</v>
      </c>
      <c r="Q4" s="263" t="s">
        <v>70</v>
      </c>
      <c r="R4" s="263" t="s">
        <v>71</v>
      </c>
      <c r="S4" s="263" t="s">
        <v>72</v>
      </c>
      <c r="T4" s="263" t="s">
        <v>154</v>
      </c>
      <c r="U4" s="263" t="s">
        <v>155</v>
      </c>
      <c r="V4" s="263" t="s">
        <v>156</v>
      </c>
      <c r="W4" s="263" t="s">
        <v>192</v>
      </c>
      <c r="X4" s="263" t="s">
        <v>194</v>
      </c>
      <c r="Y4" s="263" t="s">
        <v>240</v>
      </c>
      <c r="Z4" s="242"/>
      <c r="AA4" s="258"/>
      <c r="AB4" s="249"/>
      <c r="AC4" s="249"/>
      <c r="AD4" s="250"/>
      <c r="AE4" s="251"/>
      <c r="AF4" s="252"/>
      <c r="AG4" s="252"/>
      <c r="AH4" s="252"/>
      <c r="AI4" s="252"/>
      <c r="AJ4" s="252"/>
    </row>
    <row r="5" spans="1:37" s="219" customFormat="1" ht="15.75" thickTop="1">
      <c r="D5" s="218" t="s">
        <v>236</v>
      </c>
      <c r="E5" s="218"/>
      <c r="F5" s="264" t="s">
        <v>13</v>
      </c>
      <c r="G5" s="264">
        <v>3</v>
      </c>
      <c r="H5" s="264">
        <v>0</v>
      </c>
      <c r="I5" s="264">
        <v>0</v>
      </c>
      <c r="J5" s="264">
        <v>0</v>
      </c>
      <c r="K5" s="264">
        <v>0</v>
      </c>
      <c r="L5" s="264">
        <v>3</v>
      </c>
      <c r="M5" s="265">
        <v>1</v>
      </c>
      <c r="N5" s="265">
        <v>1</v>
      </c>
      <c r="O5" s="265">
        <v>0.5</v>
      </c>
      <c r="P5" s="265">
        <v>1</v>
      </c>
      <c r="Q5" s="265">
        <v>0</v>
      </c>
      <c r="R5" s="265">
        <v>0.5</v>
      </c>
      <c r="S5" s="265">
        <v>0</v>
      </c>
      <c r="T5" s="265">
        <v>0</v>
      </c>
      <c r="U5" s="265">
        <v>1</v>
      </c>
      <c r="V5" s="265">
        <v>1.5</v>
      </c>
      <c r="W5" s="265">
        <v>0</v>
      </c>
      <c r="X5" s="265">
        <v>0</v>
      </c>
      <c r="Y5" s="265">
        <v>0</v>
      </c>
      <c r="Z5" s="243">
        <v>0</v>
      </c>
      <c r="AA5" s="245"/>
      <c r="AB5" s="246"/>
      <c r="AC5" s="246"/>
      <c r="AD5" s="246"/>
      <c r="AE5" s="246">
        <v>0</v>
      </c>
      <c r="AF5" s="247"/>
      <c r="AG5" s="247"/>
      <c r="AH5" s="247"/>
      <c r="AI5" s="247"/>
      <c r="AJ5" s="247"/>
    </row>
    <row r="6" spans="1:37" s="222" customFormat="1" ht="15">
      <c r="D6" s="172" t="s">
        <v>237</v>
      </c>
      <c r="E6" s="172"/>
      <c r="F6" s="264" t="s">
        <v>269</v>
      </c>
      <c r="G6" s="264">
        <v>0</v>
      </c>
      <c r="H6" s="264">
        <v>3</v>
      </c>
      <c r="I6" s="264">
        <v>0</v>
      </c>
      <c r="J6" s="264">
        <v>0</v>
      </c>
      <c r="K6" s="264">
        <v>0</v>
      </c>
      <c r="L6" s="264">
        <v>0</v>
      </c>
      <c r="M6" s="265">
        <v>1</v>
      </c>
      <c r="N6" s="264">
        <v>1</v>
      </c>
      <c r="O6" s="265">
        <v>0.5</v>
      </c>
      <c r="P6" s="264">
        <v>0</v>
      </c>
      <c r="Q6" s="264">
        <v>0.5</v>
      </c>
      <c r="R6" s="264">
        <v>0</v>
      </c>
      <c r="S6" s="264">
        <v>0.5</v>
      </c>
      <c r="T6" s="265">
        <v>1</v>
      </c>
      <c r="U6" s="265">
        <v>0.5</v>
      </c>
      <c r="V6" s="265">
        <v>0</v>
      </c>
      <c r="W6" s="265">
        <v>0</v>
      </c>
      <c r="X6" s="265">
        <v>0.5</v>
      </c>
      <c r="Y6" s="265">
        <v>0</v>
      </c>
      <c r="Z6" s="234">
        <v>0</v>
      </c>
      <c r="AA6" s="236"/>
      <c r="AB6" s="220"/>
      <c r="AC6" s="220"/>
      <c r="AD6" s="220"/>
      <c r="AE6" s="220">
        <v>1</v>
      </c>
      <c r="AF6" s="221"/>
      <c r="AG6" s="221"/>
      <c r="AH6" s="221"/>
      <c r="AI6" s="221"/>
      <c r="AJ6" s="221"/>
    </row>
    <row r="7" spans="1:37" s="178" customFormat="1" ht="15">
      <c r="F7" s="264" t="s">
        <v>14</v>
      </c>
      <c r="G7" s="264">
        <v>0</v>
      </c>
      <c r="H7" s="264">
        <v>0</v>
      </c>
      <c r="I7" s="264">
        <v>3</v>
      </c>
      <c r="J7" s="264">
        <v>0</v>
      </c>
      <c r="K7" s="264">
        <v>0</v>
      </c>
      <c r="L7" s="264">
        <v>0</v>
      </c>
      <c r="M7" s="265">
        <v>1</v>
      </c>
      <c r="N7" s="265">
        <v>0</v>
      </c>
      <c r="O7" s="265">
        <v>2</v>
      </c>
      <c r="P7" s="265">
        <v>1</v>
      </c>
      <c r="Q7" s="265">
        <v>2</v>
      </c>
      <c r="R7" s="265">
        <v>2.5</v>
      </c>
      <c r="S7" s="265">
        <v>2.5</v>
      </c>
      <c r="T7" s="265">
        <v>1</v>
      </c>
      <c r="U7" s="265">
        <v>0</v>
      </c>
      <c r="V7" s="265">
        <v>0</v>
      </c>
      <c r="W7" s="265">
        <v>1.5</v>
      </c>
      <c r="X7" s="265">
        <v>0.5</v>
      </c>
      <c r="Y7" s="265">
        <v>0.5</v>
      </c>
      <c r="Z7" s="243">
        <v>0</v>
      </c>
      <c r="AA7" s="237"/>
      <c r="AB7" s="158"/>
      <c r="AC7" s="158"/>
      <c r="AD7" s="158"/>
      <c r="AE7" s="158">
        <v>1</v>
      </c>
      <c r="AF7" s="177"/>
      <c r="AG7" s="177"/>
      <c r="AH7" s="177"/>
      <c r="AI7" s="177"/>
      <c r="AJ7" s="177"/>
    </row>
    <row r="8" spans="1:37" s="134" customFormat="1" ht="15" hidden="1">
      <c r="D8" s="213"/>
      <c r="E8" s="213"/>
      <c r="F8" s="264" t="s">
        <v>196</v>
      </c>
      <c r="G8" s="264">
        <v>0</v>
      </c>
      <c r="H8" s="264">
        <v>0</v>
      </c>
      <c r="I8" s="264">
        <v>0</v>
      </c>
      <c r="J8" s="264">
        <v>3</v>
      </c>
      <c r="K8" s="264">
        <v>0</v>
      </c>
      <c r="L8" s="264">
        <v>0</v>
      </c>
      <c r="M8" s="265">
        <v>0</v>
      </c>
      <c r="N8" s="265">
        <v>0</v>
      </c>
      <c r="O8" s="265">
        <v>0</v>
      </c>
      <c r="P8" s="265">
        <v>0</v>
      </c>
      <c r="Q8" s="265">
        <v>0</v>
      </c>
      <c r="R8" s="265">
        <v>0</v>
      </c>
      <c r="S8" s="265">
        <v>0</v>
      </c>
      <c r="T8" s="265">
        <v>0</v>
      </c>
      <c r="U8" s="265">
        <v>0</v>
      </c>
      <c r="V8" s="265">
        <v>0</v>
      </c>
      <c r="W8" s="265">
        <v>0</v>
      </c>
      <c r="X8" s="265">
        <v>0</v>
      </c>
      <c r="Y8" s="265">
        <v>0</v>
      </c>
      <c r="Z8" s="243">
        <v>0</v>
      </c>
      <c r="AA8" s="237"/>
      <c r="AB8" s="158"/>
      <c r="AC8" s="158"/>
      <c r="AD8" s="120"/>
      <c r="AE8" s="149"/>
      <c r="AF8" s="140"/>
      <c r="AG8" s="140"/>
      <c r="AH8" s="140"/>
      <c r="AI8" s="140"/>
      <c r="AJ8" s="140"/>
    </row>
    <row r="9" spans="1:37" s="204" customFormat="1" ht="15">
      <c r="D9" s="214" t="s">
        <v>238</v>
      </c>
      <c r="E9" s="214"/>
      <c r="F9" s="264" t="s">
        <v>34</v>
      </c>
      <c r="G9" s="264">
        <v>0</v>
      </c>
      <c r="H9" s="264">
        <v>0</v>
      </c>
      <c r="I9" s="264">
        <v>0</v>
      </c>
      <c r="J9" s="264">
        <v>0</v>
      </c>
      <c r="K9" s="264">
        <v>3</v>
      </c>
      <c r="L9" s="264">
        <v>0</v>
      </c>
      <c r="M9" s="265">
        <v>0</v>
      </c>
      <c r="N9" s="265">
        <v>1</v>
      </c>
      <c r="O9" s="265">
        <v>0</v>
      </c>
      <c r="P9" s="265">
        <v>1</v>
      </c>
      <c r="Q9" s="265">
        <v>0.5</v>
      </c>
      <c r="R9" s="265">
        <v>0</v>
      </c>
      <c r="S9" s="265">
        <v>0</v>
      </c>
      <c r="T9" s="265">
        <v>1</v>
      </c>
      <c r="U9" s="265">
        <v>1.5</v>
      </c>
      <c r="V9" s="265">
        <v>1.5</v>
      </c>
      <c r="W9" s="265">
        <v>1.5</v>
      </c>
      <c r="X9" s="265">
        <v>2</v>
      </c>
      <c r="Y9" s="265">
        <v>2.5</v>
      </c>
      <c r="Z9" s="243">
        <v>3</v>
      </c>
      <c r="AA9" s="238"/>
      <c r="AB9" s="201"/>
      <c r="AC9" s="201"/>
      <c r="AD9" s="201"/>
      <c r="AE9" s="201">
        <v>1</v>
      </c>
      <c r="AF9" s="203"/>
      <c r="AG9" s="203"/>
      <c r="AH9" s="203"/>
      <c r="AI9" s="203"/>
      <c r="AJ9" s="203"/>
    </row>
    <row r="10" spans="1:37" s="225" customFormat="1" ht="15">
      <c r="D10" s="223" t="s">
        <v>239</v>
      </c>
      <c r="E10" s="223"/>
      <c r="F10" s="264" t="s">
        <v>151</v>
      </c>
      <c r="G10" s="264">
        <f t="shared" ref="G10:S10" si="1">SUM(G5:G9)</f>
        <v>3</v>
      </c>
      <c r="H10" s="264">
        <f t="shared" si="1"/>
        <v>3</v>
      </c>
      <c r="I10" s="264">
        <f t="shared" si="1"/>
        <v>3</v>
      </c>
      <c r="J10" s="264">
        <f t="shared" si="1"/>
        <v>3</v>
      </c>
      <c r="K10" s="264">
        <f t="shared" si="1"/>
        <v>3</v>
      </c>
      <c r="L10" s="264">
        <f t="shared" si="1"/>
        <v>3</v>
      </c>
      <c r="M10" s="265">
        <f>SUM(M5:M9)</f>
        <v>3</v>
      </c>
      <c r="N10" s="265">
        <f>SUM(N5:N9)</f>
        <v>3</v>
      </c>
      <c r="O10" s="265">
        <f t="shared" si="1"/>
        <v>3</v>
      </c>
      <c r="P10" s="265">
        <f>SUM(P5:P9)</f>
        <v>3</v>
      </c>
      <c r="Q10" s="265">
        <v>3</v>
      </c>
      <c r="R10" s="265">
        <f t="shared" si="1"/>
        <v>3</v>
      </c>
      <c r="S10" s="265">
        <f t="shared" si="1"/>
        <v>3</v>
      </c>
      <c r="T10" s="265">
        <f t="shared" ref="T10:Z10" si="2">SUM(T5:T9)</f>
        <v>3</v>
      </c>
      <c r="U10" s="265">
        <f>SUM(U5:U9)</f>
        <v>3</v>
      </c>
      <c r="V10" s="265">
        <f>SUM(V5:V9)</f>
        <v>3</v>
      </c>
      <c r="W10" s="265">
        <f>SUM(W5:W9)</f>
        <v>3</v>
      </c>
      <c r="X10" s="265">
        <f t="shared" si="2"/>
        <v>3</v>
      </c>
      <c r="Y10" s="265">
        <v>3</v>
      </c>
      <c r="Z10" s="242">
        <f t="shared" si="2"/>
        <v>3</v>
      </c>
      <c r="AA10" s="239"/>
      <c r="AB10" s="224"/>
      <c r="AC10" s="224"/>
      <c r="AD10" s="224"/>
      <c r="AE10" s="224">
        <f>SUM(AE5:AE9)</f>
        <v>3</v>
      </c>
      <c r="AF10" s="207"/>
      <c r="AG10" s="207"/>
      <c r="AH10" s="207"/>
      <c r="AI10" s="207"/>
      <c r="AJ10" s="207"/>
    </row>
    <row r="11" spans="1:37" s="274" customFormat="1" ht="15">
      <c r="E11" s="274" t="s">
        <v>290</v>
      </c>
      <c r="F11" s="275"/>
      <c r="G11" s="276">
        <f>$C$18*$C$22*$C$24/(G15+G16+G17)</f>
        <v>3.9</v>
      </c>
      <c r="H11" s="276">
        <f>$C$18*$C$21*$C$24/(H15+H16+H17)</f>
        <v>12</v>
      </c>
      <c r="I11" s="276">
        <f>$C$18*$C$22*$C$24/(I15+I16+I17)</f>
        <v>25</v>
      </c>
      <c r="J11" s="276">
        <f>$C$18*$C$23*$C$24/(J15+J16+J17)</f>
        <v>30</v>
      </c>
      <c r="K11" s="276">
        <f>$C$18*$C$22*$C$24/(K15+K16+K17)</f>
        <v>95</v>
      </c>
      <c r="L11" s="275">
        <f>$C$18*$C$22*$C$24/(L15+L16+L17)</f>
        <v>3.9</v>
      </c>
      <c r="M11" s="277">
        <f>$C$18*$C$21*$C$22/(M15+M16+M17)</f>
        <v>7.9000675219446324</v>
      </c>
      <c r="N11" s="277">
        <f>$C$18*$C$21*$C$24/(N15+N16+N17)</f>
        <v>8.5648237333847046</v>
      </c>
      <c r="O11" s="277">
        <f>$C$18*$C$21*$C$22/(O15+O16+O17)</f>
        <v>12.006157003591586</v>
      </c>
      <c r="P11" s="277">
        <f>$C$18*$C$22*$C$24/(P15+P16+P17)</f>
        <v>9.774006331340134</v>
      </c>
      <c r="Q11" s="277">
        <f>$C$21*$C$22*$C$24/(Q15+Q16+Q17)</f>
        <v>23.635107118175537</v>
      </c>
      <c r="R11" s="277">
        <f>$C$18*$C$21*$C$22/(R15+R16+R17)</f>
        <v>13.146067415730338</v>
      </c>
      <c r="S11" s="277">
        <f>$C$18*$C$21*$C$22/(S15+S16+S17)</f>
        <v>21.176470588235293</v>
      </c>
      <c r="T11" s="277">
        <f>$C$21*$C$22*$C$24/(T15+T16+T17)</f>
        <v>22.411533420707734</v>
      </c>
      <c r="U11" s="277">
        <f>$C$18*$C$21*$C$24/(U15+U16+U17)</f>
        <v>9.5582070299903261</v>
      </c>
      <c r="V11" s="277">
        <f>$C$18*$C$22*$C$24/(V15+V16+V17)</f>
        <v>7.492416582406471</v>
      </c>
      <c r="W11" s="277">
        <f>$C$18*$C$22*$C$24/(W15+W16+W17)</f>
        <v>39.583333333333336</v>
      </c>
      <c r="X11" s="277">
        <f>$C$21*$C$22*$C$24/(X15+X16+X17)</f>
        <v>36.267232237539773</v>
      </c>
      <c r="Y11" s="277">
        <f>$C$18*$C$22*$C$24/(Y15+Y16+Y17)</f>
        <v>64.772727272727266</v>
      </c>
      <c r="Z11" s="278">
        <f>$C$21*$C$22*$C$24/(Z15+Z16+Z17)</f>
        <v>95</v>
      </c>
      <c r="AA11" s="253"/>
      <c r="AB11" s="206"/>
      <c r="AC11" s="206"/>
      <c r="AD11" s="206"/>
      <c r="AE11" s="206"/>
      <c r="AF11" s="207"/>
      <c r="AG11" s="207"/>
      <c r="AH11" s="207"/>
      <c r="AI11" s="207"/>
      <c r="AJ11" s="207"/>
    </row>
    <row r="12" spans="1:37" s="205" customFormat="1" ht="15">
      <c r="E12" s="205" t="s">
        <v>291</v>
      </c>
      <c r="F12" s="264" t="s">
        <v>275</v>
      </c>
      <c r="G12" s="283"/>
      <c r="H12" s="283"/>
      <c r="I12" s="283"/>
      <c r="J12" s="283"/>
      <c r="K12" s="283"/>
      <c r="L12" s="264"/>
      <c r="M12" s="284">
        <f>M14</f>
        <v>4.2590000000000003</v>
      </c>
      <c r="N12" s="284">
        <v>9.39</v>
      </c>
      <c r="O12" s="284">
        <f t="shared" ref="O12:Y12" si="3">O14</f>
        <v>9.57</v>
      </c>
      <c r="P12" s="284">
        <f>P14</f>
        <v>10.57</v>
      </c>
      <c r="Q12" s="284">
        <f>Q14</f>
        <v>12.3</v>
      </c>
      <c r="R12" s="284">
        <f t="shared" si="3"/>
        <v>14.16</v>
      </c>
      <c r="S12" s="284">
        <f t="shared" si="3"/>
        <v>14.55</v>
      </c>
      <c r="T12" s="284">
        <f t="shared" si="3"/>
        <v>16.388000000000002</v>
      </c>
      <c r="U12" s="284">
        <f>U14</f>
        <v>18.981999999999999</v>
      </c>
      <c r="V12" s="284">
        <f t="shared" si="3"/>
        <v>19.28</v>
      </c>
      <c r="W12" s="284">
        <f t="shared" si="3"/>
        <v>27.016999999999999</v>
      </c>
      <c r="X12" s="284">
        <f t="shared" si="3"/>
        <v>33.869999999999997</v>
      </c>
      <c r="Y12" s="284">
        <f t="shared" si="3"/>
        <v>52.93</v>
      </c>
      <c r="Z12" s="285"/>
      <c r="AA12" s="286"/>
      <c r="AB12" s="257"/>
      <c r="AC12" s="257"/>
      <c r="AD12" s="257"/>
      <c r="AE12" s="257"/>
      <c r="AF12" s="287"/>
      <c r="AG12" s="287"/>
      <c r="AH12" s="287"/>
      <c r="AI12" s="287"/>
      <c r="AJ12" s="287"/>
      <c r="AK12" s="274"/>
    </row>
    <row r="13" spans="1:37" s="101" customFormat="1" ht="15">
      <c r="F13" s="266" t="s">
        <v>171</v>
      </c>
      <c r="G13" s="267">
        <v>9</v>
      </c>
      <c r="H13" s="267">
        <v>8.1999999999999993</v>
      </c>
      <c r="I13" s="267">
        <v>5.2</v>
      </c>
      <c r="J13" s="267">
        <v>5.2</v>
      </c>
      <c r="K13" s="267">
        <v>3.5</v>
      </c>
      <c r="L13" s="267">
        <v>9</v>
      </c>
      <c r="M13" s="268">
        <f t="shared" ref="M13:Y13" si="4">($B$18*M5+$B$21*M6+$B$22*M7+$B$24*M9)/M10</f>
        <v>7.4666666666666659</v>
      </c>
      <c r="N13" s="268">
        <f t="shared" si="4"/>
        <v>6.8999999999999995</v>
      </c>
      <c r="O13" s="268">
        <f t="shared" si="4"/>
        <v>6.333333333333333</v>
      </c>
      <c r="P13" s="268">
        <f t="shared" si="4"/>
        <v>5.8999999999999995</v>
      </c>
      <c r="Q13" s="268">
        <f t="shared" si="4"/>
        <v>5.416666666666667</v>
      </c>
      <c r="R13" s="268">
        <f t="shared" si="4"/>
        <v>5.833333333333333</v>
      </c>
      <c r="S13" s="268">
        <f t="shared" si="4"/>
        <v>5.7</v>
      </c>
      <c r="T13" s="268">
        <f t="shared" si="4"/>
        <v>5.6333333333333329</v>
      </c>
      <c r="U13" s="268">
        <f>($B$18*U5+$B$21*U6+$B$22*U7+$B$24*U9)/U10</f>
        <v>6.1166666666666671</v>
      </c>
      <c r="V13" s="268">
        <f>($B$18*V5+$B$21*V6+$B$22*V7+$B$24*V9)/V10</f>
        <v>6.25</v>
      </c>
      <c r="W13" s="268">
        <f>($B$18*W5+$B$21*W6+$B$22*W7+$B$24*W9)/W10</f>
        <v>4.3500000000000005</v>
      </c>
      <c r="X13" s="268">
        <f t="shared" si="4"/>
        <v>4.5666666666666664</v>
      </c>
      <c r="Y13" s="268">
        <f t="shared" si="4"/>
        <v>3.7833333333333332</v>
      </c>
      <c r="Z13" s="242">
        <v>3.5</v>
      </c>
      <c r="AA13" s="269" t="s">
        <v>187</v>
      </c>
      <c r="AB13" s="270" t="s">
        <v>185</v>
      </c>
      <c r="AC13" s="270" t="s">
        <v>184</v>
      </c>
      <c r="AD13" s="271" t="s">
        <v>186</v>
      </c>
      <c r="AE13" s="272" t="s">
        <v>175</v>
      </c>
      <c r="AF13" s="273" t="s">
        <v>176</v>
      </c>
      <c r="AG13" s="273" t="s">
        <v>191</v>
      </c>
      <c r="AH13" s="273" t="s">
        <v>177</v>
      </c>
      <c r="AI13" s="273" t="s">
        <v>177</v>
      </c>
      <c r="AJ13" s="273" t="s">
        <v>178</v>
      </c>
      <c r="AK13" s="273" t="s">
        <v>178</v>
      </c>
    </row>
    <row r="14" spans="1:37" s="205" customFormat="1">
      <c r="A14" s="205" t="s">
        <v>169</v>
      </c>
      <c r="B14" s="205" t="s">
        <v>167</v>
      </c>
      <c r="C14" s="205" t="s">
        <v>168</v>
      </c>
      <c r="F14" s="259" t="s">
        <v>150</v>
      </c>
      <c r="G14" s="342">
        <f>L14</f>
        <v>3.35</v>
      </c>
      <c r="H14" s="342">
        <f>Keff_V2!G10</f>
        <v>9.9</v>
      </c>
      <c r="I14" s="342">
        <f>Keff_V2!H10</f>
        <v>20.43</v>
      </c>
      <c r="J14" s="342">
        <f>Keff_V2!I10</f>
        <v>24.48</v>
      </c>
      <c r="K14" s="342">
        <f>Keff_V2!J10</f>
        <v>77.09</v>
      </c>
      <c r="L14" s="342">
        <f>Keff_V2!F10</f>
        <v>3.35</v>
      </c>
      <c r="M14" s="342">
        <v>4.2590000000000003</v>
      </c>
      <c r="N14" s="342">
        <v>9.4</v>
      </c>
      <c r="O14" s="342">
        <v>9.57</v>
      </c>
      <c r="P14" s="342">
        <v>10.57</v>
      </c>
      <c r="Q14" s="342">
        <v>12.3</v>
      </c>
      <c r="R14" s="342">
        <v>14.16</v>
      </c>
      <c r="S14" s="342">
        <v>14.55</v>
      </c>
      <c r="T14" s="342">
        <v>16.388000000000002</v>
      </c>
      <c r="U14" s="342">
        <v>18.981999999999999</v>
      </c>
      <c r="V14" s="342">
        <v>19.28</v>
      </c>
      <c r="W14" s="342">
        <v>27.016999999999999</v>
      </c>
      <c r="X14" s="342">
        <v>33.869999999999997</v>
      </c>
      <c r="Y14" s="342">
        <v>52.93</v>
      </c>
      <c r="Z14" s="342">
        <v>77.09</v>
      </c>
      <c r="AA14" s="206">
        <v>80</v>
      </c>
      <c r="AB14" s="206">
        <v>80</v>
      </c>
      <c r="AC14" s="206">
        <v>80</v>
      </c>
      <c r="AD14" s="206"/>
      <c r="AE14" s="206"/>
      <c r="AF14" s="207"/>
      <c r="AG14" s="207"/>
      <c r="AH14" s="207"/>
      <c r="AI14" s="207"/>
      <c r="AJ14" s="207"/>
    </row>
    <row r="15" spans="1:37" s="208" customFormat="1">
      <c r="E15" s="357" t="s">
        <v>301</v>
      </c>
      <c r="F15" s="209" t="s">
        <v>230</v>
      </c>
      <c r="G15" s="227">
        <f>$C$22*$C$24*G5/G10</f>
        <v>2375</v>
      </c>
      <c r="H15" s="227">
        <f>$C$20*$C$24*H5/H10</f>
        <v>0</v>
      </c>
      <c r="I15" s="227">
        <f>$C$22*$C$24*I5/I10</f>
        <v>0</v>
      </c>
      <c r="J15" s="227">
        <f>$C$23*$C$24*J5/J10</f>
        <v>0</v>
      </c>
      <c r="K15" s="227">
        <f>$C$22*$C$24*K5/K10</f>
        <v>0</v>
      </c>
      <c r="L15" s="227">
        <f>$C$22*$C$24*L5/L10</f>
        <v>2375</v>
      </c>
      <c r="M15" s="215">
        <f>$C$21*$C$22*M5/M10</f>
        <v>100</v>
      </c>
      <c r="N15" s="226">
        <f>$C$21*$C$24*N5/N10</f>
        <v>380</v>
      </c>
      <c r="O15" s="215">
        <f>$C$21*$C$22*O5/O10</f>
        <v>50</v>
      </c>
      <c r="P15" s="227">
        <f>$C$22*$C$24*P5/P10</f>
        <v>791.66666666666663</v>
      </c>
      <c r="Q15" s="116">
        <f>$C$22*$C$24*Q6/Q10</f>
        <v>395.83333333333331</v>
      </c>
      <c r="R15" s="215">
        <f>$C$21*$C$22*R5/R10</f>
        <v>50</v>
      </c>
      <c r="S15" s="215">
        <f>$C$21*$C$22*S5/S10</f>
        <v>0</v>
      </c>
      <c r="T15" s="116">
        <f>$C$22*$C$24*T6/T10</f>
        <v>791.66666666666663</v>
      </c>
      <c r="U15" s="226">
        <f>$C$21*$C$24*U5/U10</f>
        <v>380</v>
      </c>
      <c r="V15" s="227">
        <f>$C$22*$C$24*V5/V10</f>
        <v>1187.5</v>
      </c>
      <c r="W15" s="227">
        <f>$C$22*$C$24*W5/W10</f>
        <v>0</v>
      </c>
      <c r="X15" s="116">
        <f>$C$22*$C$24*X6/X10</f>
        <v>395.83333333333331</v>
      </c>
      <c r="Y15" s="227">
        <f>$C$22*$C$24*Y5/Y10</f>
        <v>0</v>
      </c>
      <c r="Z15" s="210">
        <f>$C$22*$C$24*Z6/Z10</f>
        <v>0</v>
      </c>
      <c r="AA15" s="210"/>
      <c r="AB15" s="210"/>
      <c r="AC15" s="210"/>
      <c r="AD15" s="210"/>
      <c r="AE15" s="210"/>
      <c r="AF15" s="211"/>
      <c r="AG15" s="211"/>
      <c r="AH15" s="211"/>
      <c r="AI15" s="211"/>
      <c r="AJ15" s="211"/>
    </row>
    <row r="16" spans="1:37" s="208" customFormat="1">
      <c r="E16" s="357"/>
      <c r="F16" s="209" t="s">
        <v>232</v>
      </c>
      <c r="G16" s="227">
        <f>$C$18*$C$24*G7/G10</f>
        <v>0</v>
      </c>
      <c r="H16" s="227">
        <f>$C$18*$C$24*H6/H10</f>
        <v>370.5</v>
      </c>
      <c r="I16" s="227">
        <f>$C$18*$C$24*I7/I10</f>
        <v>370.5</v>
      </c>
      <c r="J16" s="227">
        <f>$C$18*$C$24*J8/J10</f>
        <v>370.5</v>
      </c>
      <c r="K16" s="227">
        <f>$C$18*$C$24*K7/K10</f>
        <v>0</v>
      </c>
      <c r="L16" s="227">
        <f>$C$18*$C$24*L7/L10</f>
        <v>0</v>
      </c>
      <c r="M16" s="215">
        <f>$C$18*$C$22*M6/M10</f>
        <v>32.5</v>
      </c>
      <c r="N16" s="226">
        <f>$C$18*$C$24*N6/N10</f>
        <v>123.5</v>
      </c>
      <c r="O16" s="215">
        <f>$C$18*$C$22*O6/O10</f>
        <v>16.25</v>
      </c>
      <c r="P16" s="227">
        <f>$C$18*$C$24*P7/P10</f>
        <v>123.5</v>
      </c>
      <c r="Q16" s="116">
        <f>$C$21*$C$24*Q7/Q10</f>
        <v>760</v>
      </c>
      <c r="R16" s="215">
        <f>$C$18*$C$22*R6/R10</f>
        <v>0</v>
      </c>
      <c r="S16" s="215">
        <f>$C$18*$C$22*S6/S10</f>
        <v>16.25</v>
      </c>
      <c r="T16" s="116">
        <f>$C$21*$C$24*T7/T10</f>
        <v>380</v>
      </c>
      <c r="U16" s="226">
        <f>$C$18*$C$24*U6/U10</f>
        <v>61.75</v>
      </c>
      <c r="V16" s="227">
        <f>$C$18*$C$24*V7/V10</f>
        <v>0</v>
      </c>
      <c r="W16" s="227">
        <f>$C$18*$C$24*W7/W10</f>
        <v>185.25</v>
      </c>
      <c r="X16" s="116">
        <f>$C$21*$C$24*X7/X10</f>
        <v>190</v>
      </c>
      <c r="Y16" s="227">
        <f>$C$18*$C$24*Y7/Y10</f>
        <v>61.75</v>
      </c>
      <c r="Z16" s="210">
        <f>$C$21*$C$24*Z7/Z10</f>
        <v>0</v>
      </c>
      <c r="AA16" s="210"/>
      <c r="AB16" s="210"/>
      <c r="AC16" s="210"/>
      <c r="AD16" s="210"/>
      <c r="AE16" s="210"/>
      <c r="AF16" s="211"/>
      <c r="AG16" s="211"/>
      <c r="AH16" s="211"/>
      <c r="AI16" s="211"/>
      <c r="AJ16" s="211"/>
    </row>
    <row r="17" spans="1:37" s="208" customFormat="1">
      <c r="E17" s="358"/>
      <c r="F17" s="209" t="s">
        <v>231</v>
      </c>
      <c r="G17" s="227">
        <f>$C$18*$C$22*G9/G10</f>
        <v>0</v>
      </c>
      <c r="H17" s="227">
        <f>$C$18*$C$22*H9/H10</f>
        <v>0</v>
      </c>
      <c r="I17" s="227">
        <f>$C$18*$C$22*I9/I10</f>
        <v>0</v>
      </c>
      <c r="J17" s="227">
        <f>$C$18*$C$23*J9/J10</f>
        <v>0</v>
      </c>
      <c r="K17" s="227">
        <f>$C$18*$C$22*K9/K10</f>
        <v>97.5</v>
      </c>
      <c r="L17" s="227">
        <f>$C$18*$C$22*L9/L10</f>
        <v>0</v>
      </c>
      <c r="M17" s="215">
        <f>$C$21*$C$18*M7/M10</f>
        <v>15.6</v>
      </c>
      <c r="N17" s="226">
        <f>$C$18*$C$21*N9/N10</f>
        <v>15.6</v>
      </c>
      <c r="O17" s="215">
        <f>$C$21*$C$18*O7/O10</f>
        <v>31.2</v>
      </c>
      <c r="P17" s="227">
        <f>$C$18*$C$22*P9/P10</f>
        <v>32.5</v>
      </c>
      <c r="Q17" s="116">
        <f>$C$22*$C$21*Q9/Q10</f>
        <v>50</v>
      </c>
      <c r="R17" s="215">
        <f>$C$21*$C$18*R7/R10</f>
        <v>39</v>
      </c>
      <c r="S17" s="215">
        <f>$C$21*$C$18*S7/S10</f>
        <v>39</v>
      </c>
      <c r="T17" s="116">
        <f>$C$22*$C$21*T9/T10</f>
        <v>100</v>
      </c>
      <c r="U17" s="226">
        <f>$C$18*$C$21*U9/U10</f>
        <v>23.399999999999995</v>
      </c>
      <c r="V17" s="227">
        <f>$C$18*$C$22*V9/V10</f>
        <v>48.75</v>
      </c>
      <c r="W17" s="227">
        <f>$C$18*$C$22*W9/W10</f>
        <v>48.75</v>
      </c>
      <c r="X17" s="116">
        <f>$C$22*$C$21*X9/X10</f>
        <v>200</v>
      </c>
      <c r="Y17" s="227">
        <f>$C$18*$C$22*Y9/Y10</f>
        <v>81.25</v>
      </c>
      <c r="Z17" s="210">
        <f>$C$22*$C$21*Z9/Z10</f>
        <v>300</v>
      </c>
      <c r="AA17" s="210" t="s">
        <v>332</v>
      </c>
      <c r="AB17" s="210" t="s">
        <v>333</v>
      </c>
      <c r="AC17" s="210" t="s">
        <v>334</v>
      </c>
      <c r="AD17" s="210" t="s">
        <v>335</v>
      </c>
      <c r="AE17" s="210"/>
      <c r="AF17" s="211"/>
      <c r="AG17" s="211"/>
      <c r="AH17" s="211"/>
      <c r="AI17" s="211"/>
      <c r="AJ17" s="211"/>
    </row>
    <row r="18" spans="1:37" ht="15.75">
      <c r="A18" s="48" t="s">
        <v>23</v>
      </c>
      <c r="B18" s="48">
        <v>9</v>
      </c>
      <c r="C18" s="48">
        <v>3.9</v>
      </c>
      <c r="D18" s="212" t="s">
        <v>233</v>
      </c>
      <c r="E18" s="109" t="s">
        <v>258</v>
      </c>
      <c r="F18" s="135" t="s">
        <v>257</v>
      </c>
      <c r="G18" s="304">
        <v>0.53180000000000005</v>
      </c>
      <c r="H18" s="304">
        <v>0.75160000000000005</v>
      </c>
      <c r="I18" s="313">
        <v>0.86729999999999996</v>
      </c>
      <c r="J18" s="304">
        <v>0.88529999999999998</v>
      </c>
      <c r="K18" s="304">
        <v>0.94210000000000005</v>
      </c>
      <c r="L18" s="304">
        <f t="shared" ref="L18:L26" si="5">G18</f>
        <v>0.53180000000000005</v>
      </c>
      <c r="M18" s="304">
        <v>0.70120000000000005</v>
      </c>
      <c r="N18" s="304">
        <v>0.73119999999999996</v>
      </c>
      <c r="O18" s="304">
        <v>0.78169999999999995</v>
      </c>
      <c r="P18" s="304">
        <v>0.76880000000000004</v>
      </c>
      <c r="Q18" s="304">
        <v>0.85799999999999998</v>
      </c>
      <c r="R18" s="304">
        <v>0.80010000000000003</v>
      </c>
      <c r="S18" s="304">
        <v>0.84470000000000001</v>
      </c>
      <c r="T18" s="304">
        <v>0.84970000000000001</v>
      </c>
      <c r="U18" s="304">
        <v>0.7631</v>
      </c>
      <c r="V18" s="304">
        <v>0.72519999999999996</v>
      </c>
      <c r="W18" s="304">
        <v>0.90269999999999995</v>
      </c>
      <c r="X18" s="304">
        <v>0.8952</v>
      </c>
      <c r="Y18" s="304">
        <v>0.92789999999999995</v>
      </c>
      <c r="Z18" s="304">
        <v>0.94210000000000005</v>
      </c>
      <c r="AA18" s="304">
        <f>MIN(M18:Z18)</f>
        <v>0.70120000000000005</v>
      </c>
      <c r="AB18" s="304">
        <f t="shared" ref="AB18:AB24" si="6">MAX(G18:Z18)</f>
        <v>0.94210000000000005</v>
      </c>
      <c r="AC18" s="311">
        <f>(AA18-$I$18)/I18</f>
        <v>-0.19151389369307037</v>
      </c>
      <c r="AD18" s="309">
        <f>(AB18-$I$18)/$I$18</f>
        <v>8.6244667358468918E-2</v>
      </c>
      <c r="AE18" s="147"/>
      <c r="AF18" s="141"/>
      <c r="AG18" s="141"/>
      <c r="AH18" s="141"/>
      <c r="AI18" s="141"/>
      <c r="AJ18" s="141"/>
    </row>
    <row r="19" spans="1:37" ht="15.75">
      <c r="A19" s="48" t="s">
        <v>170</v>
      </c>
      <c r="B19" s="48">
        <v>4.5999999999999996</v>
      </c>
      <c r="C19" s="48">
        <v>7.5</v>
      </c>
      <c r="E19" s="109" t="s">
        <v>259</v>
      </c>
      <c r="F19" s="135" t="s">
        <v>260</v>
      </c>
      <c r="G19" s="304">
        <v>89.6</v>
      </c>
      <c r="H19" s="304">
        <v>87.8</v>
      </c>
      <c r="I19" s="313">
        <v>82.5</v>
      </c>
      <c r="J19" s="304">
        <v>81.8</v>
      </c>
      <c r="K19" s="304">
        <v>76.2</v>
      </c>
      <c r="L19" s="304">
        <f t="shared" si="5"/>
        <v>89.6</v>
      </c>
      <c r="M19" s="304">
        <v>82.6</v>
      </c>
      <c r="N19" s="304">
        <v>78.900000000000006</v>
      </c>
      <c r="O19" s="304">
        <v>81.099999999999994</v>
      </c>
      <c r="P19" s="304">
        <v>76.8</v>
      </c>
      <c r="Q19" s="304">
        <v>80.3</v>
      </c>
      <c r="R19" s="304">
        <v>81.7</v>
      </c>
      <c r="S19" s="304">
        <v>82</v>
      </c>
      <c r="T19" s="304">
        <v>79</v>
      </c>
      <c r="U19" s="304">
        <v>76.2</v>
      </c>
      <c r="V19" s="304">
        <v>77.099999999999994</v>
      </c>
      <c r="W19" s="304">
        <v>79.8</v>
      </c>
      <c r="X19" s="304">
        <v>78.3</v>
      </c>
      <c r="Y19" s="304">
        <v>77</v>
      </c>
      <c r="Z19" s="304">
        <v>76.2</v>
      </c>
      <c r="AA19" s="304">
        <f t="shared" ref="AA19:AA28" si="7">MIN(G19:Z19)</f>
        <v>76.2</v>
      </c>
      <c r="AB19" s="304">
        <f t="shared" si="6"/>
        <v>89.6</v>
      </c>
      <c r="AC19" s="311">
        <f>(AA19-$I$19)/I19</f>
        <v>-7.6363636363636328E-2</v>
      </c>
      <c r="AD19" s="309">
        <f t="shared" ref="AD19:AD29" si="8">(AB19-$I$18)/$I$18</f>
        <v>102.3091202582728</v>
      </c>
      <c r="AE19" s="147"/>
      <c r="AF19" s="141"/>
      <c r="AG19" s="141"/>
      <c r="AH19" s="141"/>
      <c r="AI19" s="141"/>
      <c r="AJ19" s="141"/>
    </row>
    <row r="20" spans="1:37" ht="15.75">
      <c r="A20" s="48" t="s">
        <v>39</v>
      </c>
      <c r="B20" s="48"/>
      <c r="C20" s="48">
        <v>12</v>
      </c>
      <c r="F20" s="135" t="s">
        <v>143</v>
      </c>
      <c r="G20" s="304">
        <v>89.5</v>
      </c>
      <c r="H20" s="304">
        <v>88.1</v>
      </c>
      <c r="I20" s="313">
        <v>82.8</v>
      </c>
      <c r="J20" s="304">
        <v>82.1</v>
      </c>
      <c r="K20" s="304">
        <v>75</v>
      </c>
      <c r="L20" s="304">
        <f t="shared" si="5"/>
        <v>89.5</v>
      </c>
      <c r="M20" s="304">
        <v>82.7</v>
      </c>
      <c r="N20" s="304">
        <v>-1099.8</v>
      </c>
      <c r="O20" s="304">
        <v>81.400000000000006</v>
      </c>
      <c r="P20" s="304">
        <v>76.900000000000006</v>
      </c>
      <c r="Q20" s="304">
        <v>80.7</v>
      </c>
      <c r="R20" s="304">
        <v>81.900000000000006</v>
      </c>
      <c r="S20" s="304">
        <v>82.4</v>
      </c>
      <c r="T20" s="304">
        <v>79.3</v>
      </c>
      <c r="U20" s="304">
        <v>76.3</v>
      </c>
      <c r="V20" s="304">
        <v>77.3</v>
      </c>
      <c r="W20" s="304">
        <v>80</v>
      </c>
      <c r="X20" s="304">
        <v>78.400000000000006</v>
      </c>
      <c r="Y20" s="304">
        <v>76.2</v>
      </c>
      <c r="Z20" s="304">
        <v>75</v>
      </c>
      <c r="AA20" s="304">
        <f t="shared" si="7"/>
        <v>-1099.8</v>
      </c>
      <c r="AB20" s="304">
        <f t="shared" si="6"/>
        <v>89.5</v>
      </c>
      <c r="AC20" s="309">
        <f>(AA20-$I$18)/I20</f>
        <v>-13.293083333333332</v>
      </c>
      <c r="AD20" s="309">
        <f t="shared" si="8"/>
        <v>102.1938199008417</v>
      </c>
      <c r="AE20" s="147"/>
      <c r="AF20" s="141"/>
      <c r="AG20" s="141"/>
      <c r="AH20" s="141"/>
      <c r="AI20" s="141"/>
      <c r="AJ20" s="141"/>
    </row>
    <row r="21" spans="1:37" ht="15.75">
      <c r="A21" s="48" t="s">
        <v>25</v>
      </c>
      <c r="B21" s="48">
        <v>8.1999999999999993</v>
      </c>
      <c r="C21" s="48">
        <v>12</v>
      </c>
      <c r="D21" s="212" t="s">
        <v>234</v>
      </c>
      <c r="E21" s="109" t="s">
        <v>261</v>
      </c>
      <c r="F21" s="135" t="s">
        <v>262</v>
      </c>
      <c r="G21" s="304">
        <v>19.3</v>
      </c>
      <c r="H21" s="304">
        <v>13.13</v>
      </c>
      <c r="I21" s="313">
        <v>8.8699999999999992</v>
      </c>
      <c r="J21" s="304">
        <v>7.57</v>
      </c>
      <c r="K21" s="304">
        <v>5.04</v>
      </c>
      <c r="L21" s="304">
        <f t="shared" si="5"/>
        <v>19.3</v>
      </c>
      <c r="M21" s="304">
        <v>15.22</v>
      </c>
      <c r="N21" s="304">
        <v>12.52</v>
      </c>
      <c r="O21" s="304">
        <v>9.3000000000000007</v>
      </c>
      <c r="P21" s="304">
        <v>9.48</v>
      </c>
      <c r="Q21" s="304">
        <v>8.6999999999999993</v>
      </c>
      <c r="R21" s="304">
        <v>8.43</v>
      </c>
      <c r="S21" s="304">
        <v>9.83</v>
      </c>
      <c r="T21" s="304">
        <v>8.8699999999999992</v>
      </c>
      <c r="U21" s="304">
        <v>9.74</v>
      </c>
      <c r="V21" s="304">
        <v>12.7</v>
      </c>
      <c r="W21" s="304">
        <v>6.17</v>
      </c>
      <c r="X21" s="304">
        <v>6.43</v>
      </c>
      <c r="Y21" s="304">
        <v>5.48</v>
      </c>
      <c r="Z21" s="304">
        <v>5.04</v>
      </c>
      <c r="AA21" s="304">
        <f t="shared" si="7"/>
        <v>5.04</v>
      </c>
      <c r="AB21" s="304">
        <f t="shared" si="6"/>
        <v>19.3</v>
      </c>
      <c r="AC21" s="311">
        <f>(AA21-$I$21)/I21</f>
        <v>-0.43179255918827503</v>
      </c>
      <c r="AD21" s="309">
        <f t="shared" si="8"/>
        <v>21.252968984203854</v>
      </c>
      <c r="AE21" s="147"/>
      <c r="AF21" s="141"/>
      <c r="AG21" s="102"/>
      <c r="AH21" s="141"/>
      <c r="AI21" s="102"/>
      <c r="AJ21" s="141"/>
      <c r="AK21" s="102" t="s">
        <v>180</v>
      </c>
    </row>
    <row r="22" spans="1:37" ht="15.75">
      <c r="A22" s="48" t="s">
        <v>21</v>
      </c>
      <c r="B22" s="48">
        <v>5.2</v>
      </c>
      <c r="C22" s="48">
        <v>25</v>
      </c>
      <c r="F22" s="135" t="s">
        <v>321</v>
      </c>
      <c r="G22" s="305">
        <v>9.9999999999999994E-12</v>
      </c>
      <c r="H22" s="305">
        <v>1E-13</v>
      </c>
      <c r="I22" s="314">
        <v>1E-14</v>
      </c>
      <c r="J22" s="305">
        <v>1E-14</v>
      </c>
      <c r="K22" s="305">
        <v>1E-14</v>
      </c>
      <c r="L22" s="305">
        <f t="shared" si="5"/>
        <v>9.9999999999999994E-12</v>
      </c>
      <c r="M22" s="305">
        <v>1E-13</v>
      </c>
      <c r="N22" s="305">
        <v>1E-13</v>
      </c>
      <c r="O22" s="305">
        <v>1E-14</v>
      </c>
      <c r="P22" s="305">
        <v>1E-14</v>
      </c>
      <c r="Q22" s="305">
        <v>1E-14</v>
      </c>
      <c r="R22" s="305">
        <v>1E-14</v>
      </c>
      <c r="S22" s="305">
        <v>1E-14</v>
      </c>
      <c r="T22" s="305">
        <v>1E-14</v>
      </c>
      <c r="U22" s="305">
        <v>1E-14</v>
      </c>
      <c r="V22" s="305">
        <v>1E-13</v>
      </c>
      <c r="W22" s="305">
        <v>1.0000000000000001E-15</v>
      </c>
      <c r="X22" s="305">
        <v>1.0000000000000001E-15</v>
      </c>
      <c r="Y22" s="305">
        <v>1.0000000000000001E-15</v>
      </c>
      <c r="Z22" s="305">
        <v>1E-14</v>
      </c>
      <c r="AA22" s="305">
        <f t="shared" si="7"/>
        <v>1.0000000000000001E-15</v>
      </c>
      <c r="AB22" s="305">
        <f t="shared" si="6"/>
        <v>9.9999999999999994E-12</v>
      </c>
      <c r="AC22" s="311">
        <f>(AA22-$I$22)/I22</f>
        <v>-0.89999999999999991</v>
      </c>
      <c r="AD22" s="309">
        <f t="shared" si="8"/>
        <v>-0.99999999998847</v>
      </c>
      <c r="AE22" s="148"/>
      <c r="AF22" s="141"/>
      <c r="AG22" s="141"/>
      <c r="AH22" s="141"/>
      <c r="AI22" s="141"/>
      <c r="AJ22" s="141"/>
    </row>
    <row r="23" spans="1:37" ht="15.75">
      <c r="A23" s="48" t="s">
        <v>26</v>
      </c>
      <c r="B23" s="48">
        <v>5.6</v>
      </c>
      <c r="C23" s="48">
        <v>30</v>
      </c>
      <c r="F23" s="135" t="s">
        <v>322</v>
      </c>
      <c r="G23" s="305">
        <v>9.9999999999999995E-8</v>
      </c>
      <c r="H23" s="305">
        <v>9.9999999999999995E-8</v>
      </c>
      <c r="I23" s="314">
        <v>9.9999999999999995E-8</v>
      </c>
      <c r="J23" s="305">
        <v>9.9999999999999995E-8</v>
      </c>
      <c r="K23" s="305">
        <v>9.9999999999999995E-8</v>
      </c>
      <c r="L23" s="305">
        <f t="shared" si="5"/>
        <v>9.9999999999999995E-8</v>
      </c>
      <c r="M23" s="305">
        <v>9.9999999999999995E-8</v>
      </c>
      <c r="N23" s="305">
        <v>9.9999999999999995E-8</v>
      </c>
      <c r="O23" s="305">
        <v>9.9999999999999995E-8</v>
      </c>
      <c r="P23" s="305">
        <v>9.9999999999999995E-8</v>
      </c>
      <c r="Q23" s="305">
        <v>9.9999999999999995E-8</v>
      </c>
      <c r="R23" s="305">
        <v>9.9999999999999995E-8</v>
      </c>
      <c r="S23" s="305">
        <v>9.9999999999999995E-8</v>
      </c>
      <c r="T23" s="305">
        <v>9.9999999999999995E-8</v>
      </c>
      <c r="U23" s="305">
        <v>9.9999999999999995E-8</v>
      </c>
      <c r="V23" s="305">
        <v>9.9999999999999995E-8</v>
      </c>
      <c r="W23" s="305">
        <v>9.9999999999999995E-8</v>
      </c>
      <c r="X23" s="305">
        <v>9.9999999999999995E-8</v>
      </c>
      <c r="Y23" s="305">
        <v>9.9999999999999995E-8</v>
      </c>
      <c r="Z23" s="305">
        <v>9.9999999999999995E-8</v>
      </c>
      <c r="AA23" s="305">
        <f t="shared" si="7"/>
        <v>9.9999999999999995E-8</v>
      </c>
      <c r="AB23" s="305">
        <f t="shared" si="6"/>
        <v>9.9999999999999995E-8</v>
      </c>
      <c r="AC23" s="309">
        <f>(AA23-$I$23)/I23</f>
        <v>0</v>
      </c>
      <c r="AD23" s="309">
        <f t="shared" si="8"/>
        <v>-0.99999988469964263</v>
      </c>
      <c r="AE23" s="148"/>
      <c r="AF23" s="141"/>
      <c r="AG23" s="141"/>
      <c r="AH23" s="141"/>
      <c r="AI23" s="141"/>
      <c r="AJ23" s="141"/>
    </row>
    <row r="24" spans="1:37" s="320" customFormat="1" ht="15.75">
      <c r="A24" s="315" t="s">
        <v>20</v>
      </c>
      <c r="B24" s="315">
        <v>3.5</v>
      </c>
      <c r="C24" s="315">
        <v>95</v>
      </c>
      <c r="D24" s="316" t="s">
        <v>235</v>
      </c>
      <c r="E24" s="316"/>
      <c r="F24" s="317" t="s">
        <v>242</v>
      </c>
      <c r="G24" s="305">
        <v>10000</v>
      </c>
      <c r="H24" s="305">
        <v>1000000</v>
      </c>
      <c r="I24" s="305">
        <v>10000000</v>
      </c>
      <c r="J24" s="305">
        <v>10000000</v>
      </c>
      <c r="K24" s="305">
        <v>10000000</v>
      </c>
      <c r="L24" s="305">
        <f t="shared" si="5"/>
        <v>10000</v>
      </c>
      <c r="M24" s="305">
        <v>1000000</v>
      </c>
      <c r="N24" s="305">
        <v>1000000</v>
      </c>
      <c r="O24" s="305">
        <v>10000000</v>
      </c>
      <c r="P24" s="305">
        <v>10000000</v>
      </c>
      <c r="Q24" s="305">
        <v>10000000</v>
      </c>
      <c r="R24" s="305">
        <v>10000000</v>
      </c>
      <c r="S24" s="305">
        <v>10000000</v>
      </c>
      <c r="T24" s="305">
        <v>10000000</v>
      </c>
      <c r="U24" s="305">
        <v>10000000</v>
      </c>
      <c r="V24" s="305">
        <v>1000000</v>
      </c>
      <c r="W24" s="305">
        <v>100000000</v>
      </c>
      <c r="X24" s="305">
        <v>100000000</v>
      </c>
      <c r="Y24" s="305">
        <v>100000000</v>
      </c>
      <c r="Z24" s="305">
        <v>10000000</v>
      </c>
      <c r="AA24" s="305">
        <f t="shared" si="7"/>
        <v>10000</v>
      </c>
      <c r="AB24" s="305">
        <f t="shared" si="6"/>
        <v>100000000</v>
      </c>
      <c r="AC24" s="310">
        <f>(AA24-$I$24)/I24</f>
        <v>-0.999</v>
      </c>
      <c r="AD24" s="321">
        <f>(AB24-$I$24)/$I$24</f>
        <v>9</v>
      </c>
      <c r="AE24" s="318"/>
      <c r="AF24" s="319"/>
      <c r="AG24" s="319"/>
      <c r="AH24" s="319"/>
      <c r="AI24" s="319"/>
      <c r="AJ24" s="319"/>
    </row>
    <row r="25" spans="1:37">
      <c r="E25" s="109" t="s">
        <v>264</v>
      </c>
      <c r="F25" s="135" t="s">
        <v>263</v>
      </c>
      <c r="G25" s="305">
        <v>3.5499100140000001E-14</v>
      </c>
      <c r="H25" s="305">
        <v>4.2756333009999998E-16</v>
      </c>
      <c r="I25" s="314">
        <v>7.4843940040000001E-16</v>
      </c>
      <c r="J25" s="306">
        <v>1.4999248239999999E-15</v>
      </c>
      <c r="K25" s="306">
        <v>1.483032294E-14</v>
      </c>
      <c r="L25" s="306">
        <f t="shared" si="5"/>
        <v>3.5499100140000001E-14</v>
      </c>
      <c r="M25" s="306">
        <v>3.2803418760000001E-16</v>
      </c>
      <c r="N25" s="306">
        <v>3.716788569E-17</v>
      </c>
      <c r="O25" s="346">
        <v>2.2342132890000001E-17</v>
      </c>
      <c r="P25" s="306">
        <v>1.9312871429999999E-16</v>
      </c>
      <c r="Q25" s="306">
        <v>1.0119630439999999E-15</v>
      </c>
      <c r="R25" s="306">
        <v>1.3535978149999999E-16</v>
      </c>
      <c r="S25" s="306">
        <v>7.4776230850000004E-16</v>
      </c>
      <c r="T25" s="306">
        <v>1.2531103650000001E-15</v>
      </c>
      <c r="U25" s="306">
        <v>2.2839110080000001E-16</v>
      </c>
      <c r="V25" s="306">
        <v>4.7144181870000002E-17</v>
      </c>
      <c r="W25" s="306">
        <v>4.2920780240000002E-15</v>
      </c>
      <c r="X25" s="306">
        <v>3.9813840200000001E-15</v>
      </c>
      <c r="Y25" s="306">
        <v>3.3363251519999998E-15</v>
      </c>
      <c r="Z25" s="306">
        <v>1.483032294E-14</v>
      </c>
      <c r="AA25" s="306">
        <f t="shared" si="7"/>
        <v>2.2342132890000001E-17</v>
      </c>
      <c r="AB25" s="306">
        <f>MAX(M25:Y25)</f>
        <v>4.2920780240000002E-15</v>
      </c>
      <c r="AC25" s="345">
        <f>(AA25-$I$25)/I25</f>
        <v>-0.97014837423302491</v>
      </c>
      <c r="AD25" s="312">
        <f>(AB25-$I$25)/$I$25</f>
        <v>4.7347034665814212</v>
      </c>
      <c r="AE25" s="148"/>
      <c r="AF25" s="141"/>
      <c r="AG25" s="141"/>
      <c r="AH25" s="141"/>
      <c r="AI25" s="141"/>
      <c r="AJ25" s="141"/>
    </row>
    <row r="26" spans="1:37">
      <c r="E26" s="109" t="s">
        <v>265</v>
      </c>
      <c r="F26" s="135" t="s">
        <v>266</v>
      </c>
      <c r="G26" s="305">
        <v>2.0045235509999999E-5</v>
      </c>
      <c r="H26" s="305">
        <v>1.870040223E-5</v>
      </c>
      <c r="I26" s="314">
        <v>1.1713095980000001E-5</v>
      </c>
      <c r="J26" s="305">
        <v>1.423963863E-5</v>
      </c>
      <c r="K26" s="305">
        <v>1.372821104E-5</v>
      </c>
      <c r="L26" s="305">
        <f t="shared" si="5"/>
        <v>2.0045235509999999E-5</v>
      </c>
      <c r="M26" s="305">
        <v>1.9071899419999999E-5</v>
      </c>
      <c r="N26" s="305">
        <v>1.085889421E-5</v>
      </c>
      <c r="O26" s="305">
        <v>1.632321543E-5</v>
      </c>
      <c r="P26" s="305">
        <v>1.786813879E-5</v>
      </c>
      <c r="Q26" s="305">
        <v>1.5619603890000002E-5</v>
      </c>
      <c r="R26" s="305">
        <v>1.8835130689999999E-5</v>
      </c>
      <c r="S26" s="305">
        <v>1.425507866E-5</v>
      </c>
      <c r="T26" s="305">
        <v>1.231310583E-5</v>
      </c>
      <c r="U26" s="305">
        <v>1.7931580230000001E-5</v>
      </c>
      <c r="V26" s="346">
        <v>1.9268158390000001E-5</v>
      </c>
      <c r="W26" s="305">
        <v>1.4197163190000001E-5</v>
      </c>
      <c r="X26" s="305">
        <v>1.590327458E-5</v>
      </c>
      <c r="Y26" s="305">
        <v>1.4735582659999999E-5</v>
      </c>
      <c r="Z26" s="305">
        <v>1.372821104E-5</v>
      </c>
      <c r="AA26" s="305">
        <f t="shared" si="7"/>
        <v>1.085889421E-5</v>
      </c>
      <c r="AB26" s="346">
        <f>MAX(G26:Z26)</f>
        <v>2.0045235509999999E-5</v>
      </c>
      <c r="AC26" s="309">
        <f>(AA26-$I$26)/I26</f>
        <v>-7.2927069961566254E-2</v>
      </c>
      <c r="AD26" s="309">
        <f>(M26-I26)/I26</f>
        <v>0.62825434475778952</v>
      </c>
      <c r="AE26" s="148"/>
      <c r="AF26" s="141"/>
      <c r="AG26" s="141"/>
      <c r="AH26" s="141"/>
      <c r="AI26" s="141"/>
      <c r="AJ26" s="141"/>
      <c r="AK26" s="102" t="s">
        <v>179</v>
      </c>
    </row>
    <row r="27" spans="1:37">
      <c r="E27" s="109" t="s">
        <v>267</v>
      </c>
      <c r="F27" s="135" t="s">
        <v>268</v>
      </c>
      <c r="G27" s="305">
        <v>564668800</v>
      </c>
      <c r="H27" s="305">
        <v>43737150000</v>
      </c>
      <c r="I27" s="314">
        <f t="shared" ref="I27:Z27" si="9">I26/I25</f>
        <v>15650025872.154766</v>
      </c>
      <c r="J27" s="305">
        <f t="shared" si="9"/>
        <v>9493568212.3226204</v>
      </c>
      <c r="K27" s="305">
        <f t="shared" si="9"/>
        <v>925685239.32628536</v>
      </c>
      <c r="L27" s="305">
        <f t="shared" si="9"/>
        <v>564668834.72951043</v>
      </c>
      <c r="M27" s="305">
        <f t="shared" si="9"/>
        <v>58139974859.132637</v>
      </c>
      <c r="N27" s="305">
        <f t="shared" si="9"/>
        <v>292157974778.79083</v>
      </c>
      <c r="O27" s="346">
        <f t="shared" si="9"/>
        <v>730602378491.17896</v>
      </c>
      <c r="P27" s="305">
        <f t="shared" si="9"/>
        <v>92519327614.039841</v>
      </c>
      <c r="Q27" s="305">
        <f t="shared" si="9"/>
        <v>15434954846.038828</v>
      </c>
      <c r="R27" s="305">
        <f t="shared" si="9"/>
        <v>139148648743.94025</v>
      </c>
      <c r="S27" s="305">
        <f t="shared" si="9"/>
        <v>19063649635.66494</v>
      </c>
      <c r="T27" s="305">
        <f t="shared" si="9"/>
        <v>9826034620.661684</v>
      </c>
      <c r="U27" s="305">
        <f>U26/U25</f>
        <v>78512604769.581284</v>
      </c>
      <c r="V27" s="305">
        <f>V26/V25</f>
        <v>408707026524.11945</v>
      </c>
      <c r="W27" s="305">
        <f>W26/W25</f>
        <v>3307759810.1930499</v>
      </c>
      <c r="X27" s="305">
        <f t="shared" si="9"/>
        <v>3994408602.6647587</v>
      </c>
      <c r="Y27" s="305">
        <f t="shared" si="9"/>
        <v>4416710598.8355417</v>
      </c>
      <c r="Z27" s="305">
        <f t="shared" si="9"/>
        <v>925685239.32628536</v>
      </c>
      <c r="AA27" s="305">
        <f t="shared" si="7"/>
        <v>564668800</v>
      </c>
      <c r="AB27" s="305">
        <f>MAX(G27:Z27)</f>
        <v>730602378491.17896</v>
      </c>
      <c r="AC27" s="309">
        <f>(AA27-$I$18)/I27</f>
        <v>3.608101377885798E-2</v>
      </c>
      <c r="AD27" s="347">
        <f>(O27-I27)/I27</f>
        <v>45.683780874196493</v>
      </c>
      <c r="AE27" s="148"/>
      <c r="AF27" s="141"/>
      <c r="AG27" s="141"/>
      <c r="AH27" s="141"/>
      <c r="AI27" s="141"/>
      <c r="AJ27" s="141"/>
    </row>
    <row r="28" spans="1:37">
      <c r="E28" s="135" t="s">
        <v>340</v>
      </c>
      <c r="F28" s="135" t="s">
        <v>339</v>
      </c>
      <c r="G28" s="305">
        <v>1.0000000000000001E-9</v>
      </c>
      <c r="H28" s="305">
        <v>3.9999999999999998E-11</v>
      </c>
      <c r="I28" s="314">
        <v>7.9999999999999998E-12</v>
      </c>
      <c r="J28" s="305">
        <v>4.9999999999999997E-12</v>
      </c>
      <c r="K28" s="305">
        <v>9E-13</v>
      </c>
      <c r="L28" s="305">
        <v>1.0000000000000001E-9</v>
      </c>
      <c r="M28" s="305">
        <v>5.4000000000000001E-11</v>
      </c>
      <c r="N28" s="305">
        <v>1.6999999999999999E-11</v>
      </c>
      <c r="O28" s="305">
        <v>4.9999999999999997E-12</v>
      </c>
      <c r="P28" s="305">
        <v>6.0000000000000003E-12</v>
      </c>
      <c r="Q28" s="305">
        <v>1.1999999999999999E-12</v>
      </c>
      <c r="R28" s="305">
        <v>2.4999999999999998E-12</v>
      </c>
      <c r="S28" s="305">
        <v>9.9999999999999998E-13</v>
      </c>
      <c r="T28" s="305">
        <v>1.7E-12</v>
      </c>
      <c r="U28" s="305">
        <v>5.5000000000000004E-12</v>
      </c>
      <c r="V28" s="305">
        <v>1.6999999999999999E-11</v>
      </c>
      <c r="W28" s="305">
        <v>9E-13</v>
      </c>
      <c r="X28" s="305">
        <v>4.9999999999999999E-13</v>
      </c>
      <c r="Y28" s="348">
        <v>1.4999999999999999E-13</v>
      </c>
      <c r="Z28" s="305">
        <f>K28</f>
        <v>9E-13</v>
      </c>
      <c r="AA28" s="305">
        <f t="shared" si="7"/>
        <v>1.4999999999999999E-13</v>
      </c>
      <c r="AB28" s="305">
        <f>MAX(G28:Z28)</f>
        <v>1.0000000000000001E-9</v>
      </c>
      <c r="AC28" s="345">
        <f>I28/AA28</f>
        <v>53.333333333333336</v>
      </c>
      <c r="AD28" s="309">
        <f t="shared" si="8"/>
        <v>-0.99999999884699642</v>
      </c>
      <c r="AE28" s="148"/>
      <c r="AF28" s="141"/>
      <c r="AG28" s="141"/>
      <c r="AH28" s="141"/>
      <c r="AI28" s="141"/>
      <c r="AJ28" s="141"/>
    </row>
    <row r="29" spans="1:37">
      <c r="F29" s="109" t="s">
        <v>153</v>
      </c>
      <c r="G29" s="123" t="s">
        <v>23</v>
      </c>
      <c r="H29" s="123" t="s">
        <v>195</v>
      </c>
      <c r="I29" s="136" t="s">
        <v>21</v>
      </c>
      <c r="J29" s="136" t="s">
        <v>26</v>
      </c>
      <c r="K29" s="136" t="s">
        <v>20</v>
      </c>
      <c r="L29" s="128"/>
      <c r="M29" s="166" t="s">
        <v>66</v>
      </c>
      <c r="N29" s="166" t="s">
        <v>67</v>
      </c>
      <c r="O29" s="166" t="s">
        <v>68</v>
      </c>
      <c r="P29" s="166" t="s">
        <v>69</v>
      </c>
      <c r="Q29" s="166" t="s">
        <v>70</v>
      </c>
      <c r="R29" s="166" t="s">
        <v>71</v>
      </c>
      <c r="S29" s="166" t="s">
        <v>72</v>
      </c>
      <c r="T29" s="166" t="s">
        <v>154</v>
      </c>
      <c r="U29" s="166" t="s">
        <v>155</v>
      </c>
      <c r="V29" s="166" t="s">
        <v>156</v>
      </c>
      <c r="W29" s="166" t="s">
        <v>192</v>
      </c>
      <c r="X29" s="166" t="s">
        <v>194</v>
      </c>
      <c r="Y29" s="166" t="s">
        <v>240</v>
      </c>
      <c r="Z29" s="129"/>
      <c r="AA29" s="304"/>
      <c r="AB29" s="304">
        <f>MAX(G29:Z29)</f>
        <v>0</v>
      </c>
      <c r="AC29" s="158"/>
      <c r="AD29" s="309">
        <f t="shared" si="8"/>
        <v>-1</v>
      </c>
      <c r="AE29" s="149"/>
      <c r="AF29" s="140"/>
      <c r="AG29" s="140"/>
      <c r="AH29" s="140"/>
      <c r="AI29" s="140"/>
      <c r="AJ29" s="140"/>
    </row>
    <row r="30" spans="1:37">
      <c r="D30" s="12"/>
      <c r="M30" s="170"/>
      <c r="N30" s="171" t="s">
        <v>197</v>
      </c>
      <c r="O30" s="170"/>
      <c r="P30" s="171"/>
      <c r="Q30" s="171"/>
      <c r="R30" s="171"/>
      <c r="S30" s="171"/>
      <c r="T30" s="170"/>
      <c r="U30" s="170" t="s">
        <v>197</v>
      </c>
      <c r="V30" s="170" t="s">
        <v>197</v>
      </c>
      <c r="W30" s="170"/>
      <c r="X30" s="170"/>
      <c r="Y30" s="170"/>
      <c r="AA30" s="172"/>
      <c r="AB30" s="172"/>
      <c r="AC30" s="172"/>
      <c r="AD30" s="171"/>
      <c r="AE30" s="173"/>
      <c r="AF30" s="174"/>
      <c r="AG30" s="174"/>
      <c r="AH30" s="174"/>
      <c r="AI30" s="174"/>
      <c r="AJ30" s="174"/>
    </row>
    <row r="31" spans="1:37">
      <c r="D31" s="12">
        <v>0.86729999999999996</v>
      </c>
      <c r="F31" s="185" t="s">
        <v>198</v>
      </c>
      <c r="G31" s="186"/>
      <c r="H31" s="186"/>
      <c r="I31" s="187"/>
      <c r="J31" s="187"/>
      <c r="K31" s="187"/>
      <c r="L31" s="188"/>
      <c r="M31" s="189"/>
      <c r="N31" s="190">
        <f>COUNTIF(N5:N9,"&gt;0")</f>
        <v>3</v>
      </c>
      <c r="O31" s="189">
        <f>COUNTIF(O5:O9,"&gt;0")</f>
        <v>3</v>
      </c>
      <c r="P31" s="190">
        <f>COUNTIF(P5:P9,"&gt;0")</f>
        <v>3</v>
      </c>
      <c r="Q31" s="190">
        <f>COUNTIF(Q5:Q9,"&gt;0")</f>
        <v>3</v>
      </c>
      <c r="R31" s="190">
        <f>COUNTIF(R5:R9,"&gt;0")</f>
        <v>2</v>
      </c>
      <c r="S31" s="190"/>
      <c r="T31" s="189">
        <f>COUNTIF(T5:T9,"&gt;0")</f>
        <v>3</v>
      </c>
      <c r="U31" s="190">
        <f>COUNTIF(U5:U9,"&gt;0")</f>
        <v>3</v>
      </c>
      <c r="V31" s="189">
        <f>COUNTIF(V5:V9,"&gt;0")</f>
        <v>2</v>
      </c>
      <c r="W31" s="190">
        <f>COUNTIF(W5:W9,"&gt;0")</f>
        <v>2</v>
      </c>
      <c r="X31" s="190">
        <f>COUNTIF(X5:X9,"&gt;0")</f>
        <v>3</v>
      </c>
      <c r="Y31" s="190"/>
      <c r="AA31" s="172"/>
      <c r="AB31" s="172"/>
      <c r="AC31" s="172"/>
      <c r="AD31" s="171"/>
      <c r="AE31" s="173"/>
      <c r="AF31" s="174"/>
      <c r="AG31" s="174"/>
      <c r="AH31" s="174"/>
      <c r="AI31" s="174"/>
      <c r="AJ31" s="174"/>
    </row>
    <row r="32" spans="1:37">
      <c r="D32" s="12">
        <v>82.5</v>
      </c>
      <c r="F32" s="109" t="s">
        <v>208</v>
      </c>
      <c r="G32" s="123" t="str">
        <f>G29</f>
        <v>SiO2</v>
      </c>
      <c r="H32" s="123" t="str">
        <f>H29</f>
        <v>Al2O3</v>
      </c>
      <c r="I32" s="123" t="str">
        <f>I29</f>
        <v>HfO2</v>
      </c>
      <c r="J32" s="123" t="str">
        <f>J29</f>
        <v>La2O3</v>
      </c>
      <c r="K32" s="123" t="str">
        <f>K29</f>
        <v>TiO2</v>
      </c>
      <c r="L32" s="128" t="str">
        <f>G32</f>
        <v>SiO2</v>
      </c>
      <c r="M32" s="166" t="str">
        <f>M29</f>
        <v>A</v>
      </c>
      <c r="N32" s="166" t="str">
        <f>N29</f>
        <v>B</v>
      </c>
      <c r="O32" s="166" t="str">
        <f t="shared" ref="O32:Y32" si="10">O29</f>
        <v>C</v>
      </c>
      <c r="P32" s="166" t="str">
        <f>P29</f>
        <v>D</v>
      </c>
      <c r="Q32" s="166" t="str">
        <f>Q29</f>
        <v>E</v>
      </c>
      <c r="R32" s="166" t="str">
        <f t="shared" si="10"/>
        <v>F</v>
      </c>
      <c r="S32" s="166" t="str">
        <f t="shared" si="10"/>
        <v>G</v>
      </c>
      <c r="T32" s="166" t="str">
        <f t="shared" si="10"/>
        <v>H</v>
      </c>
      <c r="U32" s="166" t="str">
        <f>U29</f>
        <v>J</v>
      </c>
      <c r="V32" s="166" t="str">
        <f t="shared" si="10"/>
        <v>K</v>
      </c>
      <c r="W32" s="166" t="str">
        <f t="shared" si="10"/>
        <v>L</v>
      </c>
      <c r="X32" s="166" t="str">
        <f t="shared" si="10"/>
        <v>M</v>
      </c>
      <c r="Y32" s="166" t="str">
        <f t="shared" si="10"/>
        <v>N</v>
      </c>
      <c r="Z32" s="129" t="str">
        <f>K32</f>
        <v>TiO2</v>
      </c>
      <c r="AA32" s="172"/>
      <c r="AB32" s="172"/>
      <c r="AC32" s="172"/>
      <c r="AD32" s="171"/>
      <c r="AE32" s="173"/>
      <c r="AF32" s="174"/>
      <c r="AG32" s="174"/>
      <c r="AH32" s="174"/>
      <c r="AI32" s="174"/>
      <c r="AJ32" s="174"/>
    </row>
    <row r="33" spans="1:59">
      <c r="D33" s="12"/>
      <c r="F33" s="109" t="s">
        <v>207</v>
      </c>
      <c r="G33" s="350">
        <f t="shared" ref="G33:X33" si="11">100/(G19*G21^2*(10*G18)^3)*(LOG10(G27))^3*(-LOG10(G28))^3/1.0243</f>
        <v>9.5043836380929143</v>
      </c>
      <c r="H33" s="350">
        <f t="shared" si="11"/>
        <v>20.575930742320956</v>
      </c>
      <c r="I33" s="350">
        <f t="shared" si="11"/>
        <v>33.37870690233909</v>
      </c>
      <c r="J33" s="350">
        <f t="shared" si="11"/>
        <v>43.029515387965468</v>
      </c>
      <c r="K33" s="350">
        <f t="shared" si="11"/>
        <v>76.003160046080708</v>
      </c>
      <c r="L33" s="350">
        <f t="shared" si="11"/>
        <v>9.5043837251165719</v>
      </c>
      <c r="M33" s="350">
        <f t="shared" si="11"/>
        <v>19.98130778415667</v>
      </c>
      <c r="N33" s="350">
        <f t="shared" si="11"/>
        <v>38.015770338166917</v>
      </c>
      <c r="O33" s="350">
        <f t="shared" si="11"/>
        <v>70.222811552643748</v>
      </c>
      <c r="P33" s="350">
        <f t="shared" si="11"/>
        <v>58.012340238568825</v>
      </c>
      <c r="Q33" s="350">
        <f t="shared" si="11"/>
        <v>45.562401132232985</v>
      </c>
      <c r="R33" s="350">
        <f t="shared" si="11"/>
        <v>70.946426717817033</v>
      </c>
      <c r="S33" s="350">
        <f t="shared" si="11"/>
        <v>38.378999853741675</v>
      </c>
      <c r="T33" s="350">
        <f t="shared" si="11"/>
        <v>41.647404123429759</v>
      </c>
      <c r="U33" s="350">
        <f t="shared" si="11"/>
        <v>56.105216312228279</v>
      </c>
      <c r="V33" s="350">
        <f t="shared" si="11"/>
        <v>40.251821611142091</v>
      </c>
      <c r="W33" s="350">
        <f t="shared" si="11"/>
        <v>65.874706082872365</v>
      </c>
      <c r="X33" s="350">
        <f t="shared" si="11"/>
        <v>69.257074575185442</v>
      </c>
      <c r="Y33" s="350">
        <f>100/(Y19*Y21^2*(10*Y18)^3)*(LOG10(Y27))^3*(-LOG10(Y28))^3/1.0243</f>
        <v>99.999718816354658</v>
      </c>
      <c r="Z33" s="350">
        <f>100/(Z19*Z21^2*(10*Z18)^3)*(LOG10(Z27))^3*(-LOG10(Z28))^3/1.0243</f>
        <v>76.003160046080708</v>
      </c>
      <c r="AA33" s="172"/>
      <c r="AB33" s="172"/>
      <c r="AC33" s="172"/>
      <c r="AD33" s="171"/>
      <c r="AE33" s="173"/>
      <c r="AF33" s="174"/>
      <c r="AG33" s="174"/>
      <c r="AH33" s="174"/>
      <c r="AI33" s="174"/>
      <c r="AJ33" s="174"/>
    </row>
    <row r="34" spans="1:59">
      <c r="D34" s="12">
        <v>8.8699999999999992</v>
      </c>
    </row>
    <row r="35" spans="1:59">
      <c r="D35" s="296">
        <v>9.9999999999999998E-17</v>
      </c>
    </row>
    <row r="36" spans="1:59" ht="15">
      <c r="D36" s="296">
        <v>9.9999999999999995E-8</v>
      </c>
      <c r="F36" s="193" t="s">
        <v>208</v>
      </c>
      <c r="G36" s="194" t="str">
        <f t="shared" ref="G36:K37" si="12">G32</f>
        <v>SiO2</v>
      </c>
      <c r="H36" s="194" t="str">
        <f t="shared" si="12"/>
        <v>Al2O3</v>
      </c>
      <c r="I36" s="194" t="str">
        <f t="shared" si="12"/>
        <v>HfO2</v>
      </c>
      <c r="J36" s="194" t="str">
        <f t="shared" si="12"/>
        <v>La2O3</v>
      </c>
      <c r="K36" s="194" t="str">
        <f t="shared" si="12"/>
        <v>TiO2</v>
      </c>
      <c r="L36" s="194" t="s">
        <v>66</v>
      </c>
      <c r="M36" s="194" t="s">
        <v>67</v>
      </c>
      <c r="N36" s="194" t="str">
        <f>P32</f>
        <v>D</v>
      </c>
      <c r="O36" s="194" t="s">
        <v>68</v>
      </c>
      <c r="P36" s="194" t="str">
        <f>T32</f>
        <v>H</v>
      </c>
      <c r="Q36" s="194" t="str">
        <f>N32</f>
        <v>B</v>
      </c>
      <c r="R36" s="194" t="s">
        <v>69</v>
      </c>
      <c r="S36" s="194"/>
      <c r="T36" s="194" t="str">
        <f>V32</f>
        <v>K</v>
      </c>
      <c r="U36" s="194" t="str">
        <f>W32</f>
        <v>L</v>
      </c>
      <c r="V36" s="194" t="str">
        <f>U32</f>
        <v>J</v>
      </c>
      <c r="W36" s="194" t="str">
        <f>X32</f>
        <v>M</v>
      </c>
      <c r="X36" s="194" t="e">
        <f>#REF!</f>
        <v>#REF!</v>
      </c>
      <c r="Y36" s="194"/>
    </row>
    <row r="37" spans="1:59" ht="15">
      <c r="D37" s="296">
        <v>1000000000</v>
      </c>
      <c r="F37" s="193" t="s">
        <v>207</v>
      </c>
      <c r="G37" s="195">
        <f>G33</f>
        <v>9.5043836380929143</v>
      </c>
      <c r="H37" s="195">
        <f t="shared" si="12"/>
        <v>20.575930742320956</v>
      </c>
      <c r="I37" s="195">
        <f t="shared" si="12"/>
        <v>33.37870690233909</v>
      </c>
      <c r="J37" s="195">
        <f t="shared" si="12"/>
        <v>43.029515387965468</v>
      </c>
      <c r="K37" s="195">
        <f t="shared" si="12"/>
        <v>76.003160046080708</v>
      </c>
      <c r="L37" s="195">
        <f>M33</f>
        <v>19.98130778415667</v>
      </c>
      <c r="M37" s="195">
        <f>O33</f>
        <v>70.222811552643748</v>
      </c>
      <c r="N37" s="195">
        <f>P33</f>
        <v>58.012340238568825</v>
      </c>
      <c r="O37" s="195">
        <f>R33</f>
        <v>70.946426717817033</v>
      </c>
      <c r="P37" s="195">
        <f>T33</f>
        <v>41.647404123429759</v>
      </c>
      <c r="Q37" s="195">
        <f>N33</f>
        <v>38.015770338166917</v>
      </c>
      <c r="R37" s="195">
        <f>Q33</f>
        <v>45.562401132232985</v>
      </c>
      <c r="S37" s="195"/>
      <c r="T37" s="195">
        <f>V33</f>
        <v>40.251821611142091</v>
      </c>
      <c r="U37" s="195">
        <f>W33</f>
        <v>65.874706082872365</v>
      </c>
      <c r="V37" s="195">
        <f>U33</f>
        <v>56.105216312228279</v>
      </c>
      <c r="W37" s="195">
        <f>X33</f>
        <v>69.257074575185442</v>
      </c>
      <c r="X37" s="195" t="e">
        <f>#REF!</f>
        <v>#REF!</v>
      </c>
      <c r="Y37" s="195"/>
    </row>
    <row r="38" spans="1:59">
      <c r="D38" s="296">
        <v>-7.4843940040000001E-16</v>
      </c>
    </row>
    <row r="39" spans="1:59">
      <c r="D39" s="296">
        <v>1.1713095980000001E-5</v>
      </c>
    </row>
    <row r="40" spans="1:59" ht="15">
      <c r="D40" s="296">
        <v>-15650030000</v>
      </c>
      <c r="F40" s="193" t="s">
        <v>208</v>
      </c>
      <c r="G40" s="194" t="s">
        <v>23</v>
      </c>
      <c r="H40" s="194" t="s">
        <v>195</v>
      </c>
      <c r="I40" s="194" t="s">
        <v>21</v>
      </c>
      <c r="J40" s="194" t="s">
        <v>26</v>
      </c>
      <c r="K40" s="194" t="s">
        <v>20</v>
      </c>
      <c r="L40" s="194" t="s">
        <v>66</v>
      </c>
      <c r="M40" s="194" t="s">
        <v>67</v>
      </c>
      <c r="N40" s="194" t="s">
        <v>68</v>
      </c>
      <c r="O40" s="194" t="s">
        <v>69</v>
      </c>
      <c r="P40" s="194" t="s">
        <v>70</v>
      </c>
      <c r="Q40" s="194" t="s">
        <v>71</v>
      </c>
      <c r="R40" s="194" t="s">
        <v>69</v>
      </c>
      <c r="S40" s="194"/>
      <c r="T40" s="194" t="s">
        <v>154</v>
      </c>
      <c r="U40" s="194" t="s">
        <v>156</v>
      </c>
      <c r="V40" s="194" t="s">
        <v>155</v>
      </c>
      <c r="W40" s="194" t="s">
        <v>192</v>
      </c>
      <c r="X40" s="194" t="s">
        <v>194</v>
      </c>
      <c r="Y40" s="194"/>
    </row>
    <row r="41" spans="1:59" ht="15">
      <c r="F41" s="193" t="s">
        <v>207</v>
      </c>
      <c r="G41" s="195">
        <v>1.3650788947414774</v>
      </c>
      <c r="H41" s="195">
        <v>1.9682949061120321</v>
      </c>
      <c r="I41" s="195">
        <v>8.3065190909133904</v>
      </c>
      <c r="J41" s="195">
        <v>2.2124356973465851</v>
      </c>
      <c r="K41" s="195">
        <v>8.5556164471982648</v>
      </c>
      <c r="L41" s="195">
        <v>2.9989968049116347</v>
      </c>
      <c r="M41" s="195">
        <v>2.2549814000038353</v>
      </c>
      <c r="N41" s="195">
        <v>4.9149936396199063</v>
      </c>
      <c r="O41" s="195">
        <v>7.9244487946162971</v>
      </c>
      <c r="P41" s="195">
        <v>11.592210143766989</v>
      </c>
      <c r="Q41" s="195">
        <v>-9.1640610512162643E-2</v>
      </c>
      <c r="R41" s="195">
        <v>10.56541107189117</v>
      </c>
      <c r="S41" s="195"/>
      <c r="T41" s="195">
        <v>3.0914347745448993</v>
      </c>
      <c r="U41" s="195">
        <v>5.3029694271291214</v>
      </c>
      <c r="V41" s="195">
        <v>-0.33306489462359323</v>
      </c>
      <c r="W41" s="195">
        <v>5.3312225661302799</v>
      </c>
      <c r="X41" s="195">
        <v>8.7999018229524211</v>
      </c>
      <c r="Y41" s="195"/>
    </row>
    <row r="42" spans="1:59" ht="15">
      <c r="D42"/>
    </row>
    <row r="44" spans="1:59" ht="15">
      <c r="F44" s="194" t="s">
        <v>169</v>
      </c>
      <c r="G44" s="194" t="s">
        <v>341</v>
      </c>
    </row>
    <row r="45" spans="1:59" ht="15">
      <c r="F45" s="194" t="s">
        <v>23</v>
      </c>
      <c r="G45" s="322">
        <f>G33</f>
        <v>9.5043836380929143</v>
      </c>
      <c r="AN45" s="103" t="s">
        <v>153</v>
      </c>
      <c r="AO45" s="103" t="s">
        <v>23</v>
      </c>
      <c r="AP45" s="103" t="s">
        <v>195</v>
      </c>
      <c r="AQ45" s="103" t="s">
        <v>21</v>
      </c>
      <c r="AR45" s="103" t="s">
        <v>26</v>
      </c>
      <c r="AS45" s="103" t="s">
        <v>20</v>
      </c>
      <c r="AT45" s="103" t="s">
        <v>204</v>
      </c>
      <c r="AU45" s="103" t="s">
        <v>66</v>
      </c>
      <c r="AV45" s="103" t="s">
        <v>67</v>
      </c>
      <c r="AW45" s="103" t="s">
        <v>68</v>
      </c>
      <c r="AX45" s="103" t="s">
        <v>69</v>
      </c>
      <c r="AY45" s="103" t="s">
        <v>70</v>
      </c>
      <c r="AZ45" s="103" t="s">
        <v>71</v>
      </c>
      <c r="BA45" s="103" t="s">
        <v>72</v>
      </c>
      <c r="BB45" s="103" t="s">
        <v>154</v>
      </c>
      <c r="BC45" s="103" t="s">
        <v>155</v>
      </c>
      <c r="BD45" s="103" t="s">
        <v>156</v>
      </c>
      <c r="BE45" s="103" t="s">
        <v>192</v>
      </c>
      <c r="BF45" s="103" t="s">
        <v>194</v>
      </c>
      <c r="BG45" s="103" t="s">
        <v>205</v>
      </c>
    </row>
    <row r="46" spans="1:59" ht="15">
      <c r="A46"/>
      <c r="F46" s="194" t="s">
        <v>195</v>
      </c>
      <c r="G46" s="322">
        <f>H33</f>
        <v>20.575930742320956</v>
      </c>
      <c r="AN46" s="103" t="s">
        <v>150</v>
      </c>
      <c r="AO46" s="184">
        <v>3.9</v>
      </c>
      <c r="AP46" s="184">
        <v>12</v>
      </c>
      <c r="AQ46" s="184">
        <v>22</v>
      </c>
      <c r="AR46" s="184">
        <v>27</v>
      </c>
      <c r="AS46" s="184">
        <v>80</v>
      </c>
      <c r="AT46" s="184">
        <v>3.9</v>
      </c>
      <c r="AU46" s="184">
        <v>12.633333333333333</v>
      </c>
      <c r="AV46" s="184">
        <v>17.316666666666666</v>
      </c>
      <c r="AW46" s="184">
        <v>20.333333333333332</v>
      </c>
      <c r="AX46" s="184">
        <v>30</v>
      </c>
      <c r="AY46" s="184">
        <v>31.966666666666669</v>
      </c>
      <c r="AZ46" s="184">
        <v>35.300000000000004</v>
      </c>
      <c r="BA46" s="184">
        <v>38</v>
      </c>
      <c r="BB46" s="184">
        <v>41.949999999999996</v>
      </c>
      <c r="BC46" s="184">
        <v>43.300000000000004</v>
      </c>
      <c r="BD46" s="184">
        <v>51</v>
      </c>
      <c r="BE46" s="184">
        <v>59</v>
      </c>
      <c r="BF46" s="184">
        <v>70.333333333333329</v>
      </c>
      <c r="BG46" s="184">
        <v>80</v>
      </c>
    </row>
    <row r="47" spans="1:59" ht="15">
      <c r="F47" s="194" t="s">
        <v>21</v>
      </c>
      <c r="G47" s="322">
        <f>I33</f>
        <v>33.37870690233909</v>
      </c>
      <c r="AN47" s="103" t="s">
        <v>13</v>
      </c>
      <c r="AO47" s="103">
        <v>3</v>
      </c>
      <c r="AP47" s="103">
        <v>0</v>
      </c>
      <c r="AQ47" s="103">
        <v>0</v>
      </c>
      <c r="AR47" s="103">
        <v>0</v>
      </c>
      <c r="AS47" s="103">
        <v>0</v>
      </c>
      <c r="AT47" s="103">
        <v>3</v>
      </c>
      <c r="AU47" s="103">
        <v>1</v>
      </c>
      <c r="AV47" s="103">
        <v>0.5</v>
      </c>
      <c r="AW47" s="103">
        <v>0</v>
      </c>
      <c r="AX47" s="103">
        <v>0</v>
      </c>
      <c r="AY47" s="103">
        <v>1</v>
      </c>
      <c r="AZ47" s="103">
        <v>1</v>
      </c>
      <c r="BA47" s="103">
        <v>0</v>
      </c>
      <c r="BB47" s="103">
        <v>1.5</v>
      </c>
      <c r="BC47" s="103">
        <v>1</v>
      </c>
      <c r="BD47" s="103">
        <v>0</v>
      </c>
      <c r="BE47" s="103">
        <v>0</v>
      </c>
      <c r="BF47" s="103">
        <v>0</v>
      </c>
      <c r="BG47" s="103">
        <v>0</v>
      </c>
    </row>
    <row r="48" spans="1:59" ht="15">
      <c r="F48" s="194" t="s">
        <v>26</v>
      </c>
      <c r="G48" s="322">
        <f>J33</f>
        <v>43.029515387965468</v>
      </c>
      <c r="I48" s="233">
        <f>100/1.0243</f>
        <v>97.627648149956073</v>
      </c>
      <c r="AN48" s="103" t="s">
        <v>33</v>
      </c>
      <c r="AO48" s="103">
        <v>0</v>
      </c>
      <c r="AP48" s="103">
        <v>3</v>
      </c>
      <c r="AQ48" s="103">
        <v>0</v>
      </c>
      <c r="AR48" s="103">
        <v>0</v>
      </c>
      <c r="AS48" s="103">
        <v>0</v>
      </c>
      <c r="AT48" s="103">
        <v>0</v>
      </c>
      <c r="AU48" s="103">
        <v>1</v>
      </c>
      <c r="AV48" s="103">
        <v>0.5</v>
      </c>
      <c r="AW48" s="103">
        <v>0.5</v>
      </c>
      <c r="AX48" s="103">
        <v>0.5</v>
      </c>
      <c r="AY48" s="103">
        <v>1</v>
      </c>
      <c r="AZ48" s="103">
        <v>0</v>
      </c>
      <c r="BA48" s="103">
        <v>1</v>
      </c>
      <c r="BB48" s="103">
        <v>0</v>
      </c>
      <c r="BC48" s="103">
        <v>0.5</v>
      </c>
      <c r="BD48" s="103">
        <v>0</v>
      </c>
      <c r="BE48" s="103">
        <v>0.5</v>
      </c>
      <c r="BF48" s="103">
        <v>0</v>
      </c>
      <c r="BG48" s="103">
        <v>0</v>
      </c>
    </row>
    <row r="49" spans="6:59" ht="15">
      <c r="F49" s="194" t="s">
        <v>20</v>
      </c>
      <c r="G49" s="322">
        <f>K33</f>
        <v>76.003160046080708</v>
      </c>
      <c r="AN49" s="103" t="s">
        <v>14</v>
      </c>
      <c r="AO49" s="103">
        <v>0</v>
      </c>
      <c r="AP49" s="103">
        <v>0</v>
      </c>
      <c r="AQ49" s="103">
        <v>3</v>
      </c>
      <c r="AR49" s="103">
        <v>0</v>
      </c>
      <c r="AS49" s="103">
        <v>0</v>
      </c>
      <c r="AT49" s="103">
        <v>0</v>
      </c>
      <c r="AU49" s="103">
        <v>1</v>
      </c>
      <c r="AV49" s="103">
        <v>2</v>
      </c>
      <c r="AW49" s="103">
        <v>2.5</v>
      </c>
      <c r="AX49" s="103">
        <v>2</v>
      </c>
      <c r="AY49" s="103">
        <v>0</v>
      </c>
      <c r="AZ49" s="103">
        <v>1</v>
      </c>
      <c r="BA49" s="103">
        <v>1</v>
      </c>
      <c r="BB49" s="103">
        <v>0</v>
      </c>
      <c r="BC49" s="103">
        <v>0</v>
      </c>
      <c r="BD49" s="103">
        <v>1.5</v>
      </c>
      <c r="BE49" s="103">
        <v>0.5</v>
      </c>
      <c r="BF49" s="103">
        <v>0.5</v>
      </c>
      <c r="BG49" s="103">
        <v>0</v>
      </c>
    </row>
    <row r="50" spans="6:59" ht="15">
      <c r="F50" s="194" t="s">
        <v>293</v>
      </c>
      <c r="G50" s="322">
        <f>M33</f>
        <v>19.98130778415667</v>
      </c>
      <c r="AN50" s="103" t="s">
        <v>196</v>
      </c>
      <c r="AO50" s="103">
        <v>0</v>
      </c>
      <c r="AP50" s="103">
        <v>0</v>
      </c>
      <c r="AQ50" s="103">
        <v>0</v>
      </c>
      <c r="AR50" s="103">
        <v>3</v>
      </c>
      <c r="AS50" s="103">
        <v>0</v>
      </c>
      <c r="AT50" s="103">
        <v>0</v>
      </c>
      <c r="AU50" s="103">
        <v>0</v>
      </c>
      <c r="AV50" s="103">
        <v>0</v>
      </c>
      <c r="AW50" s="103">
        <v>0</v>
      </c>
      <c r="AX50" s="103">
        <v>0</v>
      </c>
      <c r="AY50" s="103">
        <v>0</v>
      </c>
      <c r="AZ50" s="103">
        <v>0</v>
      </c>
      <c r="BA50" s="103">
        <v>0</v>
      </c>
      <c r="BB50" s="103">
        <v>0</v>
      </c>
      <c r="BC50" s="103">
        <v>0</v>
      </c>
      <c r="BD50" s="103">
        <v>0</v>
      </c>
      <c r="BE50" s="103">
        <v>0</v>
      </c>
      <c r="BF50" s="103">
        <v>0</v>
      </c>
      <c r="BG50" s="103">
        <v>0</v>
      </c>
    </row>
    <row r="51" spans="6:59" ht="15">
      <c r="F51" s="194" t="s">
        <v>324</v>
      </c>
      <c r="G51" s="322">
        <f>O33</f>
        <v>70.222811552643748</v>
      </c>
      <c r="AN51" s="103" t="s">
        <v>34</v>
      </c>
      <c r="AO51" s="103">
        <v>0</v>
      </c>
      <c r="AP51" s="103">
        <v>0</v>
      </c>
      <c r="AQ51" s="103">
        <v>0</v>
      </c>
      <c r="AR51" s="103">
        <v>0</v>
      </c>
      <c r="AS51" s="103">
        <v>3</v>
      </c>
      <c r="AT51" s="103">
        <v>0</v>
      </c>
      <c r="AU51" s="103">
        <v>0</v>
      </c>
      <c r="AV51" s="103">
        <v>0</v>
      </c>
      <c r="AW51" s="103">
        <v>0</v>
      </c>
      <c r="AX51" s="103">
        <v>0.5</v>
      </c>
      <c r="AY51" s="103">
        <v>1</v>
      </c>
      <c r="AZ51" s="103">
        <v>1</v>
      </c>
      <c r="BA51" s="103">
        <v>1</v>
      </c>
      <c r="BB51" s="103">
        <v>1.5</v>
      </c>
      <c r="BC51" s="103">
        <v>1.5</v>
      </c>
      <c r="BD51" s="103">
        <v>1.5</v>
      </c>
      <c r="BE51" s="103">
        <v>2</v>
      </c>
      <c r="BF51" s="103">
        <v>2.5</v>
      </c>
      <c r="BG51" s="103">
        <v>3</v>
      </c>
    </row>
    <row r="52" spans="6:59" ht="15">
      <c r="F52" s="194" t="s">
        <v>325</v>
      </c>
      <c r="G52" s="322">
        <f>R33</f>
        <v>70.946426717817033</v>
      </c>
      <c r="AN52" s="103" t="s">
        <v>206</v>
      </c>
      <c r="AO52" s="103">
        <v>3</v>
      </c>
      <c r="AP52" s="103">
        <v>3</v>
      </c>
      <c r="AQ52" s="103">
        <v>3</v>
      </c>
      <c r="AR52" s="103">
        <v>3</v>
      </c>
      <c r="AS52" s="103">
        <v>3</v>
      </c>
      <c r="AT52" s="103">
        <v>3</v>
      </c>
      <c r="AU52" s="103">
        <v>3</v>
      </c>
      <c r="AV52" s="103">
        <v>3</v>
      </c>
      <c r="AW52" s="103">
        <v>3</v>
      </c>
      <c r="AX52" s="103">
        <v>3</v>
      </c>
      <c r="AY52" s="103">
        <v>3</v>
      </c>
      <c r="AZ52" s="103">
        <v>3</v>
      </c>
      <c r="BA52" s="103">
        <v>3</v>
      </c>
      <c r="BB52" s="103">
        <v>3</v>
      </c>
      <c r="BC52" s="103">
        <v>3</v>
      </c>
      <c r="BD52" s="103">
        <v>3</v>
      </c>
      <c r="BE52" s="103">
        <v>3</v>
      </c>
      <c r="BF52" s="103">
        <v>3</v>
      </c>
      <c r="BG52" s="103">
        <v>3</v>
      </c>
    </row>
    <row r="53" spans="6:59" ht="15">
      <c r="F53" s="194" t="s">
        <v>326</v>
      </c>
      <c r="G53" s="322">
        <f>S33</f>
        <v>38.378999853741675</v>
      </c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</row>
    <row r="54" spans="6:59" ht="15">
      <c r="F54" s="194" t="s">
        <v>327</v>
      </c>
      <c r="G54" s="322">
        <f>Q33</f>
        <v>45.562401132232985</v>
      </c>
    </row>
    <row r="55" spans="6:59" ht="15">
      <c r="F55" s="194" t="s">
        <v>328</v>
      </c>
      <c r="G55" s="322">
        <f>N33</f>
        <v>38.015770338166917</v>
      </c>
      <c r="BA55" s="102">
        <v>0.84970000000000001</v>
      </c>
    </row>
    <row r="56" spans="6:59" ht="15">
      <c r="F56" s="194" t="s">
        <v>329</v>
      </c>
      <c r="G56" s="322">
        <f>P33</f>
        <v>58.012340238568825</v>
      </c>
      <c r="BA56" s="102">
        <v>79</v>
      </c>
    </row>
    <row r="57" spans="6:59" ht="15">
      <c r="F57" s="194" t="s">
        <v>129</v>
      </c>
      <c r="G57" s="322">
        <f>T33</f>
        <v>41.647404123429759</v>
      </c>
      <c r="BA57" s="102">
        <v>79.3</v>
      </c>
    </row>
    <row r="58" spans="6:59" ht="15">
      <c r="F58" s="194" t="s">
        <v>131</v>
      </c>
      <c r="G58" s="322">
        <f>V33</f>
        <v>40.251821611142091</v>
      </c>
      <c r="BA58" s="102">
        <v>8.8699999999999992</v>
      </c>
    </row>
    <row r="59" spans="6:59" ht="15">
      <c r="F59" s="194" t="s">
        <v>132</v>
      </c>
      <c r="G59" s="322">
        <f>U33</f>
        <v>56.105216312228279</v>
      </c>
      <c r="BA59" s="196">
        <v>9.9999999999999998E-17</v>
      </c>
    </row>
    <row r="60" spans="6:59" ht="15">
      <c r="F60" s="194" t="s">
        <v>133</v>
      </c>
      <c r="G60" s="322">
        <f>W33</f>
        <v>65.874706082872365</v>
      </c>
      <c r="BA60" s="196">
        <v>9.9999999999999995E-8</v>
      </c>
    </row>
    <row r="61" spans="6:59" ht="15">
      <c r="F61" s="194" t="s">
        <v>330</v>
      </c>
      <c r="G61" s="322">
        <f>X33</f>
        <v>69.257074575185442</v>
      </c>
      <c r="BA61" s="196">
        <v>1000000000</v>
      </c>
    </row>
    <row r="62" spans="6:59" ht="15">
      <c r="F62" s="194" t="s">
        <v>331</v>
      </c>
      <c r="G62" s="322">
        <f>Y33</f>
        <v>99.999718816354658</v>
      </c>
      <c r="M62" s="169">
        <v>1</v>
      </c>
      <c r="BA62" s="196">
        <v>6.4800000000000002E-18</v>
      </c>
    </row>
    <row r="63" spans="6:59">
      <c r="BA63" s="196">
        <v>1.2300000000000001E-5</v>
      </c>
    </row>
    <row r="64" spans="6:59">
      <c r="BA64" s="196">
        <v>1890000000000</v>
      </c>
    </row>
    <row r="66" spans="6:8" ht="12.75" thickBot="1"/>
    <row r="67" spans="6:8" ht="86.25" thickBot="1">
      <c r="F67" s="323" t="s">
        <v>169</v>
      </c>
      <c r="G67" s="323" t="s">
        <v>342</v>
      </c>
      <c r="H67" s="324" t="s">
        <v>343</v>
      </c>
    </row>
    <row r="68" spans="6:8" ht="29.25" thickBot="1">
      <c r="F68" s="325" t="s">
        <v>23</v>
      </c>
      <c r="G68" s="326">
        <v>3.9</v>
      </c>
      <c r="H68" s="327" t="s">
        <v>344</v>
      </c>
    </row>
    <row r="69" spans="6:8" ht="86.25" thickBot="1">
      <c r="F69" s="325" t="s">
        <v>20</v>
      </c>
      <c r="G69" s="325" t="s">
        <v>345</v>
      </c>
      <c r="H69" s="327" t="s">
        <v>346</v>
      </c>
    </row>
    <row r="70" spans="6:8" ht="43.5" thickBot="1">
      <c r="F70" s="325" t="s">
        <v>26</v>
      </c>
      <c r="G70" s="325" t="s">
        <v>347</v>
      </c>
      <c r="H70" s="327" t="s">
        <v>348</v>
      </c>
    </row>
    <row r="71" spans="6:8" ht="29.25" thickBot="1">
      <c r="F71" s="325" t="s">
        <v>195</v>
      </c>
      <c r="G71" s="325" t="s">
        <v>349</v>
      </c>
      <c r="H71" s="327" t="s">
        <v>350</v>
      </c>
    </row>
    <row r="72" spans="6:8" ht="15" thickBot="1">
      <c r="F72" s="325" t="s">
        <v>21</v>
      </c>
      <c r="G72" s="325" t="s">
        <v>351</v>
      </c>
      <c r="H72" s="327" t="s">
        <v>352</v>
      </c>
    </row>
    <row r="90" spans="13:13">
      <c r="M90" s="169">
        <v>2</v>
      </c>
    </row>
    <row r="108" spans="1:59" s="169" customFormat="1" ht="21">
      <c r="A108" s="102"/>
      <c r="B108" s="102"/>
      <c r="C108" s="102"/>
      <c r="D108" s="216" t="s">
        <v>199</v>
      </c>
      <c r="E108" s="216"/>
      <c r="F108" s="181"/>
      <c r="G108" s="231"/>
      <c r="H108" s="231"/>
      <c r="I108" s="234"/>
      <c r="J108" s="234"/>
      <c r="K108" s="234"/>
      <c r="L108" s="231"/>
      <c r="N108" s="108"/>
      <c r="P108" s="108"/>
      <c r="Q108" s="108"/>
      <c r="R108" s="108"/>
      <c r="S108" s="108"/>
      <c r="U108" s="108"/>
      <c r="W108" s="108"/>
      <c r="X108" s="108"/>
      <c r="Y108" s="108"/>
      <c r="Z108" s="229"/>
      <c r="AA108" s="160"/>
      <c r="AB108" s="160"/>
      <c r="AC108" s="160"/>
      <c r="AD108" s="108"/>
      <c r="AE108" s="151"/>
      <c r="AF108" s="143"/>
      <c r="AG108" s="143"/>
      <c r="AH108" s="143"/>
      <c r="AI108" s="143"/>
      <c r="AJ108" s="143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</row>
    <row r="109" spans="1:59" s="169" customFormat="1" ht="21">
      <c r="A109" s="102"/>
      <c r="B109" s="102"/>
      <c r="C109" s="102"/>
      <c r="D109" s="216" t="s">
        <v>202</v>
      </c>
      <c r="E109" s="216"/>
      <c r="F109" s="181"/>
      <c r="G109" s="231"/>
      <c r="H109" s="231"/>
      <c r="I109" s="234"/>
      <c r="J109" s="234"/>
      <c r="K109" s="234"/>
      <c r="L109" s="231"/>
      <c r="N109" s="108"/>
      <c r="P109" s="108"/>
      <c r="Q109" s="108"/>
      <c r="R109" s="108"/>
      <c r="S109" s="108"/>
      <c r="U109" s="108"/>
      <c r="W109" s="108"/>
      <c r="X109" s="108"/>
      <c r="Y109" s="108"/>
      <c r="Z109" s="229"/>
      <c r="AA109" s="160"/>
      <c r="AB109" s="160"/>
      <c r="AC109" s="160"/>
      <c r="AD109" s="108"/>
      <c r="AE109" s="151"/>
      <c r="AF109" s="143"/>
      <c r="AG109" s="143"/>
      <c r="AH109" s="143"/>
      <c r="AI109" s="143"/>
      <c r="AJ109" s="143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</row>
    <row r="110" spans="1:59" s="169" customFormat="1" ht="21">
      <c r="A110" s="102"/>
      <c r="B110" s="102"/>
      <c r="C110" s="102"/>
      <c r="D110" s="216" t="s">
        <v>200</v>
      </c>
      <c r="E110" s="216"/>
      <c r="F110" s="181"/>
      <c r="G110" s="231"/>
      <c r="H110" s="231"/>
      <c r="I110" s="234"/>
      <c r="J110" s="234"/>
      <c r="K110" s="234"/>
      <c r="L110" s="231"/>
      <c r="N110" s="108"/>
      <c r="P110" s="108"/>
      <c r="Q110" s="108"/>
      <c r="R110" s="108"/>
      <c r="S110" s="108"/>
      <c r="U110" s="108"/>
      <c r="W110" s="108"/>
      <c r="X110" s="108"/>
      <c r="Y110" s="108"/>
      <c r="Z110" s="229"/>
      <c r="AA110" s="160"/>
      <c r="AB110" s="160"/>
      <c r="AC110" s="160"/>
      <c r="AD110" s="108"/>
      <c r="AE110" s="151"/>
      <c r="AF110" s="143"/>
      <c r="AG110" s="143"/>
      <c r="AH110" s="143"/>
      <c r="AI110" s="143"/>
      <c r="AJ110" s="143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</row>
    <row r="111" spans="1:59" s="169" customFormat="1" ht="21">
      <c r="A111" s="102"/>
      <c r="B111" s="102"/>
      <c r="C111" s="102"/>
      <c r="D111" s="216" t="s">
        <v>201</v>
      </c>
      <c r="E111" s="216"/>
      <c r="F111" s="181"/>
      <c r="G111" s="231"/>
      <c r="H111" s="231"/>
      <c r="I111" s="234"/>
      <c r="J111" s="234"/>
      <c r="K111" s="234"/>
      <c r="L111" s="231"/>
      <c r="N111" s="108"/>
      <c r="P111" s="108"/>
      <c r="Q111" s="108"/>
      <c r="R111" s="108"/>
      <c r="S111" s="108"/>
      <c r="U111" s="108"/>
      <c r="W111" s="108"/>
      <c r="X111" s="108"/>
      <c r="Y111" s="108"/>
      <c r="Z111" s="229"/>
      <c r="AA111" s="160"/>
      <c r="AB111" s="160"/>
      <c r="AC111" s="160"/>
      <c r="AD111" s="108"/>
      <c r="AE111" s="151"/>
      <c r="AF111" s="143"/>
      <c r="AG111" s="143"/>
      <c r="AH111" s="143"/>
      <c r="AI111" s="143"/>
      <c r="AJ111" s="143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</row>
    <row r="112" spans="1:59" s="169" customFormat="1" ht="21">
      <c r="A112" s="102"/>
      <c r="B112" s="102"/>
      <c r="C112" s="102"/>
      <c r="D112" s="216" t="s">
        <v>203</v>
      </c>
      <c r="E112" s="216"/>
      <c r="F112" s="181"/>
      <c r="G112" s="231"/>
      <c r="H112" s="231"/>
      <c r="I112" s="234"/>
      <c r="J112" s="234"/>
      <c r="K112" s="234"/>
      <c r="L112" s="231"/>
      <c r="N112" s="108"/>
      <c r="P112" s="108"/>
      <c r="Q112" s="108"/>
      <c r="R112" s="108"/>
      <c r="S112" s="108"/>
      <c r="U112" s="108"/>
      <c r="W112" s="108"/>
      <c r="X112" s="108"/>
      <c r="Y112" s="108"/>
      <c r="Z112" s="229"/>
      <c r="AA112" s="160"/>
      <c r="AB112" s="160"/>
      <c r="AC112" s="160"/>
      <c r="AD112" s="108"/>
      <c r="AE112" s="151"/>
      <c r="AF112" s="143"/>
      <c r="AG112" s="143"/>
      <c r="AH112" s="143"/>
      <c r="AI112" s="143"/>
      <c r="AJ112" s="143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</row>
    <row r="113" spans="1:59" s="169" customFormat="1" ht="21">
      <c r="A113" s="102"/>
      <c r="B113" s="102"/>
      <c r="C113" s="102"/>
      <c r="D113" s="217"/>
      <c r="E113" s="217"/>
      <c r="F113" s="102"/>
      <c r="G113" s="232"/>
      <c r="H113" s="232"/>
      <c r="I113" s="233"/>
      <c r="J113" s="233"/>
      <c r="K113" s="233"/>
      <c r="L113" s="228"/>
      <c r="N113" s="108"/>
      <c r="P113" s="108"/>
      <c r="Q113" s="108"/>
      <c r="R113" s="108"/>
      <c r="S113" s="108"/>
      <c r="U113" s="108"/>
      <c r="W113" s="108"/>
      <c r="X113" s="108"/>
      <c r="Y113" s="108"/>
      <c r="Z113" s="229"/>
      <c r="AA113" s="160"/>
      <c r="AB113" s="160"/>
      <c r="AC113" s="160"/>
      <c r="AD113" s="108"/>
      <c r="AE113" s="151"/>
      <c r="AF113" s="143"/>
      <c r="AG113" s="143"/>
      <c r="AH113" s="143"/>
      <c r="AI113" s="143"/>
      <c r="AJ113" s="143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</row>
    <row r="114" spans="1:59" s="169" customFormat="1" ht="21">
      <c r="A114" s="102"/>
      <c r="B114" s="102"/>
      <c r="C114" s="102"/>
      <c r="D114" s="217"/>
      <c r="E114" s="217"/>
      <c r="F114" s="102"/>
      <c r="G114" s="232"/>
      <c r="H114" s="232"/>
      <c r="I114" s="233"/>
      <c r="J114" s="233"/>
      <c r="K114" s="233"/>
      <c r="L114" s="228"/>
      <c r="N114" s="108"/>
      <c r="P114" s="108"/>
      <c r="Q114" s="108"/>
      <c r="R114" s="108"/>
      <c r="S114" s="108"/>
      <c r="U114" s="108"/>
      <c r="W114" s="108"/>
      <c r="X114" s="108"/>
      <c r="Y114" s="108"/>
      <c r="Z114" s="229"/>
      <c r="AA114" s="160"/>
      <c r="AB114" s="160"/>
      <c r="AC114" s="160"/>
      <c r="AD114" s="108"/>
      <c r="AE114" s="151"/>
      <c r="AF114" s="143"/>
      <c r="AG114" s="143"/>
      <c r="AH114" s="143"/>
      <c r="AI114" s="143"/>
      <c r="AJ114" s="143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</row>
    <row r="115" spans="1:59" s="169" customFormat="1" ht="21">
      <c r="A115" s="102"/>
      <c r="B115" s="102"/>
      <c r="C115" s="102"/>
      <c r="D115" s="217"/>
      <c r="E115" s="217"/>
      <c r="F115" s="102"/>
      <c r="G115" s="232"/>
      <c r="H115" s="232"/>
      <c r="I115" s="233"/>
      <c r="J115" s="233"/>
      <c r="K115" s="233"/>
      <c r="L115" s="228"/>
      <c r="N115" s="108"/>
      <c r="P115" s="108"/>
      <c r="Q115" s="108"/>
      <c r="R115" s="108"/>
      <c r="S115" s="108"/>
      <c r="U115" s="108"/>
      <c r="W115" s="108"/>
      <c r="X115" s="108"/>
      <c r="Y115" s="108"/>
      <c r="Z115" s="229"/>
      <c r="AA115" s="160"/>
      <c r="AB115" s="160"/>
      <c r="AC115" s="160"/>
      <c r="AD115" s="108"/>
      <c r="AE115" s="151"/>
      <c r="AF115" s="143"/>
      <c r="AG115" s="143"/>
      <c r="AH115" s="143"/>
      <c r="AI115" s="143"/>
      <c r="AJ115" s="143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</row>
    <row r="124" spans="1:59">
      <c r="M124" s="169">
        <v>3</v>
      </c>
    </row>
    <row r="165" spans="13:13">
      <c r="M165" s="169">
        <v>4</v>
      </c>
    </row>
    <row r="203" spans="13:13">
      <c r="M203" s="169">
        <v>5</v>
      </c>
    </row>
    <row r="239" spans="13:13">
      <c r="M239" s="169">
        <v>6</v>
      </c>
    </row>
    <row r="278" spans="13:13">
      <c r="M278" s="169">
        <v>7</v>
      </c>
    </row>
  </sheetData>
  <mergeCells count="1">
    <mergeCell ref="E15:E17"/>
  </mergeCells>
  <conditionalFormatting sqref="G45:G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J37 L37:M37 R37:U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:J41 L41:M41 R41:U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Z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26"/>
  <sheetViews>
    <sheetView topLeftCell="A23" zoomScale="70" zoomScaleNormal="70" workbookViewId="0">
      <selection activeCell="L10" sqref="L10"/>
    </sheetView>
  </sheetViews>
  <sheetFormatPr defaultRowHeight="15"/>
  <cols>
    <col min="1" max="1" width="7.42578125" bestFit="1" customWidth="1"/>
    <col min="2" max="2" width="10.140625" bestFit="1" customWidth="1"/>
    <col min="3" max="3" width="9.7109375" bestFit="1" customWidth="1"/>
    <col min="4" max="4" width="7.42578125" bestFit="1" customWidth="1"/>
    <col min="5" max="5" width="13.5703125" bestFit="1" customWidth="1"/>
    <col min="6" max="6" width="11.28515625" bestFit="1" customWidth="1"/>
    <col min="7" max="7" width="11.7109375" bestFit="1" customWidth="1"/>
    <col min="8" max="8" width="11.85546875" bestFit="1" customWidth="1"/>
    <col min="9" max="10" width="8.7109375" bestFit="1" customWidth="1"/>
    <col min="11" max="11" width="9" bestFit="1" customWidth="1"/>
    <col min="12" max="12" width="13.140625" bestFit="1" customWidth="1"/>
    <col min="13" max="13" width="9.7109375" bestFit="1" customWidth="1"/>
    <col min="14" max="14" width="14.28515625" bestFit="1" customWidth="1"/>
    <col min="16" max="16" width="43.85546875" bestFit="1" customWidth="1"/>
  </cols>
  <sheetData>
    <row r="1" spans="2:17">
      <c r="F1" s="5" t="s">
        <v>10</v>
      </c>
    </row>
    <row r="2" spans="2:17" s="6" customFormat="1" ht="28.5">
      <c r="C2" s="6" t="s">
        <v>27</v>
      </c>
      <c r="D2" s="6" t="s">
        <v>24</v>
      </c>
      <c r="E2" s="6" t="s">
        <v>22</v>
      </c>
      <c r="F2" s="6" t="s">
        <v>19</v>
      </c>
      <c r="G2" s="6" t="s">
        <v>16</v>
      </c>
      <c r="H2" s="6" t="s">
        <v>15</v>
      </c>
      <c r="I2" s="6" t="s">
        <v>12</v>
      </c>
      <c r="J2" s="6" t="s">
        <v>3</v>
      </c>
      <c r="K2" s="6" t="s">
        <v>4</v>
      </c>
      <c r="L2" s="6" t="s">
        <v>17</v>
      </c>
      <c r="M2" s="6" t="s">
        <v>18</v>
      </c>
      <c r="N2" s="6" t="s">
        <v>7</v>
      </c>
      <c r="Q2" s="11" t="s">
        <v>29</v>
      </c>
    </row>
    <row r="3" spans="2:17" s="2" customFormat="1">
      <c r="C3" s="2" t="s">
        <v>23</v>
      </c>
      <c r="D3" s="2">
        <v>3.9</v>
      </c>
      <c r="E3" s="1">
        <v>2</v>
      </c>
      <c r="F3" s="1">
        <v>0.66200000000000003</v>
      </c>
      <c r="G3" s="1">
        <v>63.8</v>
      </c>
      <c r="H3" s="1">
        <v>45.04</v>
      </c>
      <c r="I3" s="4">
        <v>9.9999999999999998E-17</v>
      </c>
      <c r="J3" s="4">
        <v>9.9999999999999995E-8</v>
      </c>
      <c r="K3" s="4">
        <v>1000000000</v>
      </c>
      <c r="L3" s="4">
        <v>3.33E-18</v>
      </c>
      <c r="M3" s="4">
        <v>1.0900000000000001E-5</v>
      </c>
      <c r="N3" s="4">
        <v>3290000000000</v>
      </c>
    </row>
    <row r="4" spans="2:17" s="2" customFormat="1">
      <c r="C4" s="2" t="s">
        <v>28</v>
      </c>
      <c r="D4" s="2">
        <v>7.5</v>
      </c>
      <c r="E4" s="1">
        <v>2</v>
      </c>
      <c r="F4" s="10">
        <v>0.83179999999999998</v>
      </c>
      <c r="G4" s="10">
        <v>61.1</v>
      </c>
      <c r="H4" s="10">
        <v>36.26</v>
      </c>
      <c r="I4" s="8">
        <v>9.9999999999999998E-20</v>
      </c>
      <c r="J4" s="8">
        <v>9.9999999999999995E-8</v>
      </c>
      <c r="K4" s="8">
        <v>1000000000000</v>
      </c>
      <c r="L4" s="8">
        <v>2.3549999999999999E-20</v>
      </c>
      <c r="M4" s="8">
        <v>9.4469999999999995E-6</v>
      </c>
      <c r="N4" s="8">
        <v>401000000000000</v>
      </c>
    </row>
    <row r="5" spans="2:17" s="1" customFormat="1">
      <c r="C5" s="2" t="s">
        <v>25</v>
      </c>
      <c r="D5" s="2">
        <v>12</v>
      </c>
      <c r="E5" s="2">
        <v>2</v>
      </c>
      <c r="F5" s="2">
        <v>0.90590000000000004</v>
      </c>
      <c r="G5" s="2">
        <v>59.7</v>
      </c>
      <c r="H5" s="2">
        <v>19.48</v>
      </c>
      <c r="I5" s="3">
        <v>9.9999999999999991E-22</v>
      </c>
      <c r="J5" s="4">
        <v>9.9999999999999995E-8</v>
      </c>
      <c r="K5" s="3">
        <v>100000000000000</v>
      </c>
      <c r="L5" s="3">
        <v>3.8420000000000001E-22</v>
      </c>
      <c r="M5" s="3">
        <v>8.1651999999999993E-6</v>
      </c>
      <c r="N5" s="3">
        <v>2.125E+16</v>
      </c>
    </row>
    <row r="6" spans="2:17" s="2" customFormat="1">
      <c r="C6" s="2" t="s">
        <v>21</v>
      </c>
      <c r="D6" s="2">
        <v>22</v>
      </c>
      <c r="E6" s="2">
        <v>2</v>
      </c>
      <c r="F6" s="2">
        <v>0.95809999999999995</v>
      </c>
      <c r="G6" s="2">
        <v>59.8</v>
      </c>
      <c r="H6" s="2">
        <v>25.91</v>
      </c>
      <c r="I6" s="3">
        <v>9.9999999999999991E-22</v>
      </c>
      <c r="J6" s="4">
        <v>9.9999999999999995E-8</v>
      </c>
      <c r="K6" s="3">
        <v>100000000000000</v>
      </c>
      <c r="L6" s="3">
        <v>2.4E-22</v>
      </c>
      <c r="M6" s="3">
        <v>8.9099999999999994E-6</v>
      </c>
      <c r="N6" s="3">
        <v>3.7E+16</v>
      </c>
    </row>
    <row r="7" spans="2:17" s="2" customFormat="1">
      <c r="C7" s="2" t="s">
        <v>26</v>
      </c>
      <c r="D7" s="2">
        <v>27</v>
      </c>
      <c r="E7" s="2">
        <v>2</v>
      </c>
      <c r="F7" s="2">
        <v>0.97550000000000003</v>
      </c>
      <c r="G7" s="2">
        <v>59.7</v>
      </c>
      <c r="H7" s="2">
        <v>22.17</v>
      </c>
      <c r="I7" s="3">
        <v>9.9999999999999991E-22</v>
      </c>
      <c r="J7" s="4">
        <v>9.9999999999999995E-8</v>
      </c>
      <c r="K7" s="3">
        <v>100000000000000</v>
      </c>
      <c r="L7" s="3">
        <v>1.5060000000000001E-22</v>
      </c>
      <c r="M7" s="3">
        <v>1.005E-5</v>
      </c>
      <c r="N7" s="3">
        <v>6.67E+16</v>
      </c>
    </row>
    <row r="8" spans="2:17" s="1" customFormat="1">
      <c r="C8" s="2" t="s">
        <v>20</v>
      </c>
      <c r="D8" s="2">
        <v>80</v>
      </c>
      <c r="E8" s="2">
        <v>2</v>
      </c>
      <c r="F8" s="2">
        <v>1.0107999999999999</v>
      </c>
      <c r="G8" s="2">
        <v>59.6</v>
      </c>
      <c r="H8" s="2">
        <v>21.3</v>
      </c>
      <c r="I8" s="3">
        <v>9.9999999999999996E-24</v>
      </c>
      <c r="J8" s="4">
        <v>9.9999999999999995E-8</v>
      </c>
      <c r="K8" s="3">
        <v>1E+16</v>
      </c>
      <c r="L8" s="3">
        <v>3.697E-24</v>
      </c>
      <c r="M8" s="3">
        <v>8.1200000000000002E-6</v>
      </c>
      <c r="N8" s="3">
        <v>2.1967E+18</v>
      </c>
    </row>
    <row r="9" spans="2:17" s="1" customFormat="1">
      <c r="C9" s="2" t="s">
        <v>31</v>
      </c>
      <c r="D9" s="2"/>
      <c r="E9" s="2">
        <v>2</v>
      </c>
      <c r="F9" s="6">
        <v>0.83360000000000001</v>
      </c>
      <c r="G9" s="6">
        <v>60.3</v>
      </c>
      <c r="H9" s="6">
        <v>35.65</v>
      </c>
      <c r="I9" s="9">
        <v>9.9999999999999998E-20</v>
      </c>
      <c r="J9" s="8">
        <v>9.9999999999999995E-8</v>
      </c>
      <c r="K9" s="9">
        <v>1000000000000</v>
      </c>
      <c r="L9" s="9">
        <v>2.558E-20</v>
      </c>
      <c r="M9" s="9">
        <v>9.3999999999999998E-6</v>
      </c>
      <c r="N9" s="9">
        <v>367600000000000</v>
      </c>
    </row>
    <row r="10" spans="2:17" s="2" customFormat="1">
      <c r="B10" s="2" t="s">
        <v>32</v>
      </c>
      <c r="C10" s="2" t="s">
        <v>31</v>
      </c>
      <c r="E10" s="2">
        <v>2</v>
      </c>
      <c r="F10" s="2">
        <v>0.84260000000000002</v>
      </c>
      <c r="G10" s="2">
        <v>60.4</v>
      </c>
      <c r="H10" s="2">
        <v>37.909999999999997</v>
      </c>
      <c r="I10" s="9">
        <v>9.9999999999999998E-20</v>
      </c>
      <c r="J10" s="8">
        <v>9.9999999999999995E-8</v>
      </c>
      <c r="K10" s="9">
        <v>1000000000000</v>
      </c>
      <c r="L10" s="3">
        <v>2.2899999999999999E-20</v>
      </c>
      <c r="M10" s="3">
        <v>8.2300000000000008E-6</v>
      </c>
      <c r="N10" s="3">
        <v>369000000000000</v>
      </c>
    </row>
    <row r="11" spans="2:17" s="2" customFormat="1">
      <c r="G11" s="3"/>
      <c r="H11" s="3"/>
      <c r="I11" s="3"/>
      <c r="J11" s="3"/>
    </row>
    <row r="12" spans="2:17" s="1" customFormat="1">
      <c r="G12" s="4"/>
      <c r="H12" s="4"/>
      <c r="I12" s="4"/>
      <c r="J12" s="4"/>
      <c r="K12" s="4"/>
    </row>
    <row r="13" spans="2:17" s="2" customFormat="1"/>
    <row r="14" spans="2:17" s="2" customFormat="1">
      <c r="G14" s="3"/>
      <c r="H14" s="3"/>
      <c r="I14" s="3"/>
      <c r="J14" s="3"/>
    </row>
    <row r="15" spans="2:17" s="1" customFormat="1">
      <c r="G15" s="4"/>
      <c r="H15" s="4"/>
      <c r="I15" s="4"/>
      <c r="J15" s="4"/>
      <c r="K15" s="4"/>
    </row>
    <row r="16" spans="2:17" s="2" customFormat="1"/>
    <row r="17" spans="7:11" s="2" customFormat="1">
      <c r="G17" s="3"/>
      <c r="H17" s="3"/>
      <c r="I17" s="3"/>
      <c r="J17" s="3"/>
    </row>
    <row r="18" spans="7:11" s="1" customFormat="1">
      <c r="G18" s="4"/>
      <c r="H18" s="4"/>
      <c r="I18" s="4"/>
      <c r="J18" s="4"/>
      <c r="K18" s="4"/>
    </row>
    <row r="19" spans="7:11" s="2" customFormat="1"/>
    <row r="20" spans="7:11" s="2" customFormat="1">
      <c r="G20" s="3"/>
      <c r="H20" s="3"/>
      <c r="I20" s="3"/>
      <c r="J20" s="3"/>
    </row>
    <row r="21" spans="7:11" s="1" customFormat="1">
      <c r="G21" s="4"/>
      <c r="H21" s="4"/>
      <c r="I21" s="4"/>
      <c r="J21" s="4"/>
      <c r="K21" s="4"/>
    </row>
    <row r="22" spans="7:11" s="2" customFormat="1"/>
    <row r="23" spans="7:11" s="2" customFormat="1">
      <c r="G23" s="3"/>
      <c r="H23" s="3"/>
      <c r="I23" s="3"/>
      <c r="J23" s="3"/>
    </row>
    <row r="24" spans="7:11" s="1" customFormat="1">
      <c r="G24" s="4"/>
      <c r="H24" s="4"/>
      <c r="I24" s="4"/>
      <c r="J24" s="4"/>
      <c r="K24" s="4"/>
    </row>
    <row r="25" spans="7:11" s="2" customFormat="1"/>
    <row r="26" spans="7:11" s="2" customFormat="1">
      <c r="G26" s="3"/>
      <c r="H26" s="3"/>
      <c r="I26" s="3"/>
      <c r="J26" s="3"/>
    </row>
  </sheetData>
  <sortState xmlns:xlrd2="http://schemas.microsoft.com/office/spreadsheetml/2017/richdata2" ref="C3:N24">
    <sortCondition ref="D3:D24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D27"/>
  <sheetViews>
    <sheetView topLeftCell="A56" zoomScale="69" zoomScaleNormal="70" workbookViewId="0">
      <selection activeCell="C2" sqref="C2:D8"/>
    </sheetView>
  </sheetViews>
  <sheetFormatPr defaultRowHeight="15"/>
  <cols>
    <col min="1" max="1" width="7.42578125" bestFit="1" customWidth="1"/>
    <col min="2" max="2" width="10.140625" bestFit="1" customWidth="1"/>
    <col min="3" max="3" width="9.7109375" bestFit="1" customWidth="1"/>
    <col min="4" max="4" width="7.42578125" bestFit="1" customWidth="1"/>
    <col min="5" max="5" width="16.28515625" bestFit="1" customWidth="1"/>
    <col min="6" max="6" width="12.7109375" customWidth="1"/>
    <col min="7" max="7" width="11.28515625" style="2" customWidth="1"/>
    <col min="8" max="9" width="13.5703125" style="2" customWidth="1"/>
    <col min="10" max="10" width="11.28515625" bestFit="1" customWidth="1"/>
    <col min="11" max="11" width="11.7109375" bestFit="1" customWidth="1"/>
    <col min="12" max="12" width="11.85546875" bestFit="1" customWidth="1"/>
    <col min="13" max="14" width="8.7109375" bestFit="1" customWidth="1"/>
    <col min="15" max="15" width="9" bestFit="1" customWidth="1"/>
    <col min="16" max="16" width="13.140625" bestFit="1" customWidth="1"/>
    <col min="17" max="17" width="9.7109375" bestFit="1" customWidth="1"/>
    <col min="18" max="18" width="14.28515625" bestFit="1" customWidth="1"/>
    <col min="19" max="19" width="25.5703125" customWidth="1"/>
    <col min="20" max="20" width="39" customWidth="1"/>
  </cols>
  <sheetData>
    <row r="1" spans="2:30">
      <c r="G1" s="6" t="s">
        <v>23</v>
      </c>
      <c r="H1" s="6" t="s">
        <v>25</v>
      </c>
      <c r="I1" s="6" t="s">
        <v>34</v>
      </c>
      <c r="J1" s="5" t="s">
        <v>10</v>
      </c>
    </row>
    <row r="2" spans="2:30" s="6" customFormat="1" ht="45">
      <c r="C2" s="6" t="s">
        <v>27</v>
      </c>
      <c r="D2" s="6" t="s">
        <v>24</v>
      </c>
      <c r="E2" s="6" t="s">
        <v>38</v>
      </c>
      <c r="F2" s="19" t="s">
        <v>37</v>
      </c>
      <c r="G2" s="6" t="s">
        <v>13</v>
      </c>
      <c r="H2" s="6" t="s">
        <v>33</v>
      </c>
      <c r="I2" s="6" t="s">
        <v>34</v>
      </c>
      <c r="J2" s="6" t="s">
        <v>19</v>
      </c>
      <c r="K2" s="6" t="s">
        <v>16</v>
      </c>
      <c r="L2" s="6" t="s">
        <v>15</v>
      </c>
      <c r="M2" s="6" t="s">
        <v>12</v>
      </c>
      <c r="N2" s="6" t="s">
        <v>3</v>
      </c>
      <c r="O2" s="6" t="s">
        <v>4</v>
      </c>
      <c r="P2" s="6" t="s">
        <v>17</v>
      </c>
      <c r="Q2" s="6" t="s">
        <v>18</v>
      </c>
      <c r="R2" s="6" t="s">
        <v>7</v>
      </c>
      <c r="S2" s="12"/>
      <c r="T2" s="12"/>
      <c r="U2" s="12"/>
    </row>
    <row r="3" spans="2:30" s="2" customFormat="1">
      <c r="C3" s="6" t="s">
        <v>23</v>
      </c>
      <c r="D3" s="6">
        <v>3.9</v>
      </c>
      <c r="F3" s="1">
        <v>2</v>
      </c>
      <c r="J3" s="1">
        <v>0.66200000000000003</v>
      </c>
      <c r="K3" s="1">
        <v>63.8</v>
      </c>
      <c r="L3" s="1">
        <v>45.04</v>
      </c>
      <c r="M3" s="4">
        <v>9.9999999999999998E-17</v>
      </c>
      <c r="N3" s="4">
        <v>9.9999999999999995E-8</v>
      </c>
      <c r="O3" s="4">
        <v>1000000000</v>
      </c>
      <c r="P3" s="4">
        <v>3.33E-18</v>
      </c>
      <c r="Q3" s="4">
        <v>1.0900000000000001E-5</v>
      </c>
      <c r="R3" s="4">
        <v>3290000000000</v>
      </c>
      <c r="S3" s="12"/>
      <c r="T3" s="12"/>
      <c r="U3" s="12"/>
      <c r="AB3" s="2">
        <v>1</v>
      </c>
      <c r="AC3" s="2">
        <v>1</v>
      </c>
      <c r="AD3" s="2">
        <v>1</v>
      </c>
    </row>
    <row r="4" spans="2:30" s="2" customFormat="1">
      <c r="C4" s="6" t="s">
        <v>28</v>
      </c>
      <c r="D4" s="6">
        <v>7.5</v>
      </c>
      <c r="F4" s="1">
        <v>2</v>
      </c>
      <c r="J4" s="10">
        <v>0.83179999999999998</v>
      </c>
      <c r="K4" s="10">
        <v>61.1</v>
      </c>
      <c r="L4" s="10">
        <v>36.26</v>
      </c>
      <c r="M4" s="8">
        <v>9.9999999999999998E-20</v>
      </c>
      <c r="N4" s="8">
        <v>9.9999999999999995E-8</v>
      </c>
      <c r="O4" s="8">
        <v>1000000000000</v>
      </c>
      <c r="P4" s="8">
        <v>2.3549999999999999E-20</v>
      </c>
      <c r="Q4" s="8">
        <v>9.4469999999999995E-6</v>
      </c>
      <c r="R4" s="8">
        <v>401000000000000</v>
      </c>
      <c r="S4" s="12"/>
      <c r="T4" s="12"/>
      <c r="U4" s="12"/>
      <c r="AB4" s="2">
        <v>2</v>
      </c>
      <c r="AC4" s="2">
        <v>1</v>
      </c>
      <c r="AD4" s="2">
        <v>1</v>
      </c>
    </row>
    <row r="5" spans="2:30" s="1" customFormat="1">
      <c r="B5" s="1" t="s">
        <v>25</v>
      </c>
      <c r="C5" s="6" t="s">
        <v>39</v>
      </c>
      <c r="D5" s="6">
        <v>12</v>
      </c>
      <c r="E5" s="2"/>
      <c r="F5" s="2">
        <v>2</v>
      </c>
      <c r="G5" s="2"/>
      <c r="H5" s="2"/>
      <c r="I5" s="2"/>
      <c r="J5" s="2">
        <v>0.90590000000000004</v>
      </c>
      <c r="K5" s="2">
        <v>59.7</v>
      </c>
      <c r="L5" s="2">
        <v>19.48</v>
      </c>
      <c r="M5" s="3">
        <v>9.9999999999999991E-22</v>
      </c>
      <c r="N5" s="4">
        <v>9.9999999999999995E-8</v>
      </c>
      <c r="O5" s="3">
        <v>100000000000000</v>
      </c>
      <c r="P5" s="3">
        <v>3.8420000000000001E-22</v>
      </c>
      <c r="Q5" s="3">
        <v>8.1651999999999993E-6</v>
      </c>
      <c r="R5" s="3">
        <v>2.125E+16</v>
      </c>
      <c r="S5" s="12"/>
      <c r="T5" s="12"/>
      <c r="U5" s="12"/>
      <c r="AB5" s="1">
        <v>3</v>
      </c>
      <c r="AC5" s="1">
        <v>1</v>
      </c>
      <c r="AD5" s="1">
        <v>1</v>
      </c>
    </row>
    <row r="6" spans="2:30" s="2" customFormat="1">
      <c r="C6" s="6" t="s">
        <v>21</v>
      </c>
      <c r="D6" s="6">
        <v>22</v>
      </c>
      <c r="F6" s="2">
        <v>2</v>
      </c>
      <c r="J6" s="2">
        <v>0.95809999999999995</v>
      </c>
      <c r="K6" s="2">
        <v>59.8</v>
      </c>
      <c r="L6" s="2">
        <v>25.91</v>
      </c>
      <c r="M6" s="3">
        <v>9.9999999999999991E-22</v>
      </c>
      <c r="N6" s="4">
        <v>9.9999999999999995E-8</v>
      </c>
      <c r="O6" s="3">
        <v>100000000000000</v>
      </c>
      <c r="P6" s="3">
        <v>2.4E-22</v>
      </c>
      <c r="Q6" s="3">
        <v>8.9099999999999994E-6</v>
      </c>
      <c r="R6" s="3">
        <v>3.7E+16</v>
      </c>
      <c r="S6" s="12"/>
      <c r="T6" s="12"/>
      <c r="U6" s="12"/>
      <c r="AB6" s="2">
        <v>1</v>
      </c>
      <c r="AC6" s="2">
        <v>1</v>
      </c>
      <c r="AD6" s="2">
        <v>1</v>
      </c>
    </row>
    <row r="7" spans="2:30" s="2" customFormat="1">
      <c r="C7" s="6" t="s">
        <v>26</v>
      </c>
      <c r="D7" s="6">
        <v>27</v>
      </c>
      <c r="F7" s="2">
        <v>2</v>
      </c>
      <c r="J7" s="2">
        <v>0.97550000000000003</v>
      </c>
      <c r="K7" s="2">
        <v>59.7</v>
      </c>
      <c r="L7" s="2">
        <v>22.17</v>
      </c>
      <c r="M7" s="3">
        <v>9.9999999999999991E-22</v>
      </c>
      <c r="N7" s="4">
        <v>9.9999999999999995E-8</v>
      </c>
      <c r="O7" s="3">
        <v>100000000000000</v>
      </c>
      <c r="P7" s="3">
        <v>1.5060000000000001E-22</v>
      </c>
      <c r="Q7" s="3">
        <v>1.005E-5</v>
      </c>
      <c r="R7" s="3">
        <v>6.67E+16</v>
      </c>
      <c r="S7" s="12"/>
      <c r="T7" s="12"/>
      <c r="U7" s="12"/>
      <c r="AB7" s="2">
        <v>1</v>
      </c>
      <c r="AC7" s="2">
        <v>2</v>
      </c>
      <c r="AD7" s="2">
        <v>1</v>
      </c>
    </row>
    <row r="8" spans="2:30" s="1" customFormat="1">
      <c r="C8" s="6" t="s">
        <v>20</v>
      </c>
      <c r="D8" s="6">
        <v>80</v>
      </c>
      <c r="E8" s="2"/>
      <c r="F8" s="2">
        <v>2</v>
      </c>
      <c r="G8" s="2"/>
      <c r="H8" s="2"/>
      <c r="I8" s="2"/>
      <c r="J8" s="2">
        <v>1.0107999999999999</v>
      </c>
      <c r="K8" s="2">
        <v>59.6</v>
      </c>
      <c r="L8" s="2">
        <v>21.3</v>
      </c>
      <c r="M8" s="3">
        <v>9.9999999999999996E-24</v>
      </c>
      <c r="N8" s="4">
        <v>9.9999999999999995E-8</v>
      </c>
      <c r="O8" s="3">
        <v>1E+16</v>
      </c>
      <c r="P8" s="3">
        <v>3.697E-24</v>
      </c>
      <c r="Q8" s="3">
        <v>8.1200000000000002E-6</v>
      </c>
      <c r="R8" s="3">
        <v>2.1967E+18</v>
      </c>
      <c r="S8" s="12"/>
      <c r="T8" s="12"/>
      <c r="U8" s="12"/>
      <c r="AB8" s="1">
        <v>1</v>
      </c>
      <c r="AC8" s="1">
        <v>3</v>
      </c>
      <c r="AD8" s="1">
        <v>1</v>
      </c>
    </row>
    <row r="9" spans="2:30" s="16" customFormat="1">
      <c r="B9" s="16" t="s">
        <v>32</v>
      </c>
      <c r="C9" s="13" t="s">
        <v>31</v>
      </c>
      <c r="F9" s="16">
        <v>2</v>
      </c>
      <c r="G9" s="13">
        <v>1</v>
      </c>
      <c r="H9" s="13">
        <v>0.2</v>
      </c>
      <c r="I9" s="13">
        <v>0.8</v>
      </c>
      <c r="J9" s="13">
        <v>0.7802</v>
      </c>
      <c r="K9" s="13">
        <v>60.8</v>
      </c>
      <c r="L9" s="13">
        <v>13.74</v>
      </c>
      <c r="M9" s="14">
        <v>1.0000000000000001E-18</v>
      </c>
      <c r="N9" s="15">
        <v>9.9999999999999995E-8</v>
      </c>
      <c r="O9" s="14">
        <v>100000000000</v>
      </c>
      <c r="P9" s="14">
        <v>4.6549999999999999E-20</v>
      </c>
      <c r="Q9" s="14">
        <v>9.4399999999999994E-6</v>
      </c>
      <c r="R9" s="14">
        <v>202800000000000</v>
      </c>
      <c r="T9" s="12"/>
      <c r="AB9" s="16">
        <v>1</v>
      </c>
      <c r="AC9" s="16">
        <v>1</v>
      </c>
      <c r="AD9" s="16">
        <v>1</v>
      </c>
    </row>
    <row r="10" spans="2:30" s="13" customFormat="1">
      <c r="B10" s="13" t="s">
        <v>32</v>
      </c>
      <c r="C10" s="13" t="s">
        <v>31</v>
      </c>
      <c r="F10" s="13">
        <v>2</v>
      </c>
      <c r="G10" s="13">
        <v>0.8</v>
      </c>
      <c r="H10" s="13">
        <v>0.4</v>
      </c>
      <c r="I10" s="13">
        <v>0.8</v>
      </c>
      <c r="J10" s="13">
        <v>0.7802</v>
      </c>
      <c r="K10" s="13">
        <v>60.8</v>
      </c>
      <c r="L10" s="13">
        <v>13.74</v>
      </c>
      <c r="M10" s="14">
        <v>1.0000000000000001E-18</v>
      </c>
      <c r="N10" s="15">
        <v>9.9999999999999995E-8</v>
      </c>
      <c r="O10" s="14">
        <v>100000000000</v>
      </c>
      <c r="P10" s="14">
        <v>4.6549999999999999E-20</v>
      </c>
      <c r="Q10" s="14">
        <v>9.4399999999999994E-6</v>
      </c>
      <c r="R10" s="14">
        <v>202800000000000</v>
      </c>
      <c r="S10" s="18"/>
      <c r="T10" s="12"/>
      <c r="U10" s="18"/>
      <c r="AB10" s="13">
        <v>1</v>
      </c>
      <c r="AC10" s="13">
        <v>1</v>
      </c>
      <c r="AD10" s="13">
        <v>2</v>
      </c>
    </row>
    <row r="11" spans="2:30" s="16" customFormat="1">
      <c r="B11" s="16" t="s">
        <v>32</v>
      </c>
      <c r="C11" s="13" t="s">
        <v>31</v>
      </c>
      <c r="D11" s="13"/>
      <c r="E11" s="13"/>
      <c r="F11" s="13">
        <v>2</v>
      </c>
      <c r="G11" s="17">
        <f t="shared" ref="G11:I12" si="0">2/3</f>
        <v>0.66666666666666663</v>
      </c>
      <c r="H11" s="17">
        <f t="shared" si="0"/>
        <v>0.66666666666666663</v>
      </c>
      <c r="I11" s="17">
        <f t="shared" si="0"/>
        <v>0.66666666666666663</v>
      </c>
      <c r="J11" s="13">
        <v>0.83389999999999997</v>
      </c>
      <c r="K11" s="13">
        <v>60.3</v>
      </c>
      <c r="L11" s="13">
        <v>15.91</v>
      </c>
      <c r="M11" s="14">
        <v>9.9999999999999998E-20</v>
      </c>
      <c r="N11" s="15">
        <v>9.9999999999999995E-8</v>
      </c>
      <c r="O11" s="14">
        <v>1000000000000</v>
      </c>
      <c r="P11" s="14">
        <v>2.4999999999999999E-20</v>
      </c>
      <c r="Q11" s="14">
        <v>1.29E-5</v>
      </c>
      <c r="R11" s="14">
        <v>517000000000000</v>
      </c>
      <c r="S11" s="18" t="s">
        <v>36</v>
      </c>
      <c r="T11" s="12"/>
      <c r="U11" s="18"/>
      <c r="AB11" s="16">
        <v>1</v>
      </c>
      <c r="AC11" s="16">
        <v>1</v>
      </c>
      <c r="AD11" s="16">
        <v>3</v>
      </c>
    </row>
    <row r="12" spans="2:30" s="16" customFormat="1">
      <c r="B12" s="16" t="s">
        <v>32</v>
      </c>
      <c r="C12" s="13" t="s">
        <v>31</v>
      </c>
      <c r="D12" s="13"/>
      <c r="E12" s="13"/>
      <c r="F12" s="13">
        <v>2</v>
      </c>
      <c r="G12" s="17">
        <f t="shared" si="0"/>
        <v>0.66666666666666663</v>
      </c>
      <c r="H12" s="17">
        <f t="shared" si="0"/>
        <v>0.66666666666666663</v>
      </c>
      <c r="I12" s="17">
        <f t="shared" si="0"/>
        <v>0.66666666666666663</v>
      </c>
      <c r="J12" s="13">
        <v>0.86819999999999997</v>
      </c>
      <c r="K12" s="13">
        <v>60.4</v>
      </c>
      <c r="L12" s="13">
        <v>11.3</v>
      </c>
      <c r="M12" s="14">
        <v>9.9999999999999995E-21</v>
      </c>
      <c r="N12" s="15">
        <v>9.9999999999999995E-8</v>
      </c>
      <c r="O12" s="14">
        <v>10000000000000</v>
      </c>
      <c r="P12" s="14">
        <v>7.1366999999999997E-22</v>
      </c>
      <c r="Q12" s="14">
        <v>1.685E-5</v>
      </c>
      <c r="R12" s="14">
        <v>2.36E+16</v>
      </c>
      <c r="S12" s="18" t="s">
        <v>35</v>
      </c>
      <c r="T12" s="12"/>
      <c r="U12" s="18"/>
    </row>
    <row r="13" spans="2:30" s="13" customFormat="1">
      <c r="B13" s="13" t="s">
        <v>32</v>
      </c>
      <c r="C13" s="13" t="s">
        <v>31</v>
      </c>
      <c r="F13" s="13">
        <v>2</v>
      </c>
      <c r="G13" s="13">
        <v>0.8</v>
      </c>
      <c r="H13" s="13">
        <v>0.8</v>
      </c>
      <c r="I13" s="13">
        <v>0.4</v>
      </c>
      <c r="J13" s="13">
        <v>0.82689999999999997</v>
      </c>
      <c r="K13" s="13">
        <v>60.4</v>
      </c>
      <c r="L13" s="13">
        <v>16.78</v>
      </c>
      <c r="M13" s="14">
        <v>9.9999999999999998E-20</v>
      </c>
      <c r="N13" s="15">
        <v>9.9999999999999995E-8</v>
      </c>
      <c r="O13" s="14">
        <v>1000000000000</v>
      </c>
      <c r="P13" s="14">
        <v>2.8700000000000002E-20</v>
      </c>
      <c r="Q13" s="14">
        <v>1.33E-5</v>
      </c>
      <c r="R13" s="14">
        <v>465000000000000</v>
      </c>
      <c r="U13" s="12"/>
    </row>
    <row r="14" spans="2:30" s="13" customFormat="1">
      <c r="B14" s="13" t="s">
        <v>32</v>
      </c>
      <c r="C14" s="13" t="s">
        <v>31</v>
      </c>
      <c r="F14" s="13">
        <v>2</v>
      </c>
      <c r="G14" s="13">
        <v>0.5</v>
      </c>
      <c r="H14" s="13">
        <v>0.5</v>
      </c>
      <c r="I14" s="13">
        <v>1</v>
      </c>
      <c r="J14" s="13">
        <v>0.82689999999999997</v>
      </c>
      <c r="K14" s="13">
        <v>60.4</v>
      </c>
      <c r="L14" s="13">
        <v>16.78</v>
      </c>
      <c r="M14" s="14">
        <v>9.9999999999999998E-20</v>
      </c>
      <c r="N14" s="15">
        <v>9.9999999999999995E-8</v>
      </c>
      <c r="O14" s="14">
        <v>1000000000000</v>
      </c>
      <c r="P14" s="14">
        <v>2.8700000000000002E-20</v>
      </c>
      <c r="Q14" s="14">
        <v>1.33E-5</v>
      </c>
      <c r="R14" s="14">
        <v>465000000000000</v>
      </c>
      <c r="U14" s="12"/>
    </row>
    <row r="15" spans="2:30" s="13" customFormat="1">
      <c r="B15" s="13" t="s">
        <v>32</v>
      </c>
      <c r="C15" s="13" t="s">
        <v>31</v>
      </c>
      <c r="E15" s="17">
        <f>(G15*$D$3+H15*$D$5+I15*$D$8)/(G15+H15+I15)</f>
        <v>31.966666666666669</v>
      </c>
      <c r="F15" s="13">
        <v>3</v>
      </c>
      <c r="G15" s="13">
        <v>1</v>
      </c>
      <c r="H15" s="13">
        <v>1</v>
      </c>
      <c r="I15" s="13">
        <v>1</v>
      </c>
      <c r="J15" s="13">
        <v>0.7833</v>
      </c>
      <c r="K15" s="13">
        <v>61.3</v>
      </c>
      <c r="L15" s="13">
        <v>13.13</v>
      </c>
      <c r="M15" s="14">
        <v>1.0000000000000001E-18</v>
      </c>
      <c r="N15" s="15">
        <v>9.9999999999999995E-8</v>
      </c>
      <c r="O15" s="14">
        <v>100000000000</v>
      </c>
      <c r="P15" s="14">
        <v>4.8300000000000003E-20</v>
      </c>
      <c r="Q15" s="14">
        <v>4.8550000000000001E-5</v>
      </c>
      <c r="R15" s="14">
        <v>307360000000000</v>
      </c>
      <c r="U15" s="12"/>
    </row>
    <row r="16" spans="2:30" s="13" customFormat="1">
      <c r="B16" s="13" t="s">
        <v>32</v>
      </c>
      <c r="C16" s="13" t="s">
        <v>31</v>
      </c>
      <c r="E16" s="17">
        <f>(G16*$D$3+H16*$D$5+I16*$D$8)/(G16+H16+I16)</f>
        <v>43.300000000000004</v>
      </c>
      <c r="F16" s="13">
        <v>3</v>
      </c>
      <c r="G16" s="13">
        <v>1</v>
      </c>
      <c r="H16" s="13">
        <v>0.5</v>
      </c>
      <c r="I16" s="13">
        <v>1.5</v>
      </c>
      <c r="J16" s="13">
        <v>0.80300000000000005</v>
      </c>
      <c r="K16" s="13">
        <v>60.5</v>
      </c>
      <c r="L16" s="13">
        <v>10.87</v>
      </c>
      <c r="M16" s="14">
        <v>9.9999999999999998E-20</v>
      </c>
      <c r="N16" s="15">
        <v>9.9999999999999995E-8</v>
      </c>
      <c r="O16" s="14">
        <v>1000000000000</v>
      </c>
      <c r="P16" s="14">
        <v>4.7939999999999998E-20</v>
      </c>
      <c r="Q16" s="14">
        <v>2.02E-5</v>
      </c>
      <c r="R16" s="14">
        <v>421000000000000</v>
      </c>
      <c r="U16" s="12"/>
    </row>
    <row r="17" spans="2:21" s="13" customFormat="1">
      <c r="B17" s="13" t="s">
        <v>32</v>
      </c>
      <c r="C17" s="13" t="s">
        <v>31</v>
      </c>
      <c r="E17" s="17">
        <f>(G17*$D$3+H17*$D$5+I17*$D$8)/(G17+H17+I17)</f>
        <v>33.31666666666667</v>
      </c>
      <c r="F17" s="13">
        <v>3</v>
      </c>
      <c r="G17" s="13">
        <v>0.5</v>
      </c>
      <c r="H17" s="13">
        <v>1.5</v>
      </c>
      <c r="I17" s="13">
        <v>1</v>
      </c>
      <c r="J17" s="13">
        <v>0.84219999999999995</v>
      </c>
      <c r="K17" s="13">
        <v>59.2</v>
      </c>
      <c r="L17" s="13">
        <v>15.91</v>
      </c>
      <c r="M17" s="14">
        <v>9.9999999999999998E-20</v>
      </c>
      <c r="N17" s="15">
        <v>9.9999999999999995E-8</v>
      </c>
      <c r="O17" s="14">
        <v>1000000000000</v>
      </c>
      <c r="P17" s="14">
        <v>1.37E-20</v>
      </c>
      <c r="Q17" s="14">
        <v>1.8099999999999999E-5</v>
      </c>
      <c r="R17" s="14">
        <v>1310000000000000</v>
      </c>
      <c r="U17" s="12"/>
    </row>
    <row r="18" spans="2:21" s="13" customFormat="1">
      <c r="B18" s="13" t="s">
        <v>32</v>
      </c>
      <c r="C18" s="13" t="s">
        <v>31</v>
      </c>
      <c r="E18" s="17">
        <f>(G18*$D$3+H18*$D$5+I18*$D$8)/(G18+H18+I18)</f>
        <v>19.283333333333335</v>
      </c>
      <c r="F18" s="13">
        <v>3</v>
      </c>
      <c r="G18" s="13">
        <v>1.5</v>
      </c>
      <c r="H18" s="13">
        <v>1</v>
      </c>
      <c r="I18" s="13">
        <v>0.5</v>
      </c>
      <c r="J18" s="13">
        <v>0.71809999999999996</v>
      </c>
      <c r="K18" s="13">
        <v>63.1</v>
      </c>
      <c r="L18" s="13">
        <v>26.09</v>
      </c>
      <c r="M18" s="14">
        <v>1.0000000000000001E-17</v>
      </c>
      <c r="N18" s="15">
        <v>9.9999999999999995E-8</v>
      </c>
      <c r="O18" s="14">
        <v>10000000000</v>
      </c>
      <c r="P18" s="14">
        <v>1.5690000000000001E-18</v>
      </c>
      <c r="Q18" s="14">
        <v>2.249E-5</v>
      </c>
      <c r="R18" s="14">
        <v>14300000000000</v>
      </c>
      <c r="U18" s="12"/>
    </row>
    <row r="19" spans="2:21" s="13" customFormat="1">
      <c r="B19" s="13" t="s">
        <v>32</v>
      </c>
      <c r="C19" s="13" t="s">
        <v>31</v>
      </c>
      <c r="E19" s="17">
        <f>(G19*$D$3+H19*$D$5+I19*$D$8)/(G19+H19+I19)</f>
        <v>55.983333333333327</v>
      </c>
      <c r="F19" s="13">
        <f>SUM(G19:I19)</f>
        <v>3</v>
      </c>
      <c r="G19" s="13">
        <v>0.5</v>
      </c>
      <c r="H19" s="13">
        <v>0.5</v>
      </c>
      <c r="I19" s="13">
        <v>2</v>
      </c>
      <c r="M19" s="14"/>
      <c r="N19" s="15"/>
      <c r="O19" s="14"/>
      <c r="P19" s="14"/>
      <c r="Q19" s="14"/>
      <c r="R19" s="14"/>
      <c r="U19" s="12"/>
    </row>
    <row r="20" spans="2:21" s="2" customFormat="1">
      <c r="U20" s="12"/>
    </row>
    <row r="21" spans="2:21" s="2" customFormat="1">
      <c r="K21" s="3"/>
      <c r="L21" s="3"/>
      <c r="M21" s="3"/>
      <c r="N21" s="3"/>
      <c r="U21" s="12"/>
    </row>
    <row r="22" spans="2:21" s="1" customFormat="1">
      <c r="G22" s="2"/>
      <c r="H22" s="2"/>
      <c r="I22" s="2"/>
      <c r="K22" s="4"/>
      <c r="L22" s="4"/>
      <c r="M22" s="4"/>
      <c r="N22" s="4"/>
      <c r="O22" s="4"/>
      <c r="U22" s="12"/>
    </row>
    <row r="23" spans="2:21" s="2" customFormat="1"/>
    <row r="24" spans="2:21" s="2" customFormat="1">
      <c r="K24" s="3"/>
      <c r="L24" s="3"/>
      <c r="M24" s="3"/>
      <c r="N24" s="3"/>
    </row>
    <row r="25" spans="2:21" s="1" customFormat="1">
      <c r="G25" s="2"/>
      <c r="H25" s="2"/>
      <c r="I25" s="2"/>
      <c r="K25" s="4"/>
      <c r="L25" s="4"/>
      <c r="M25" s="4"/>
      <c r="N25" s="4"/>
      <c r="O25" s="4"/>
    </row>
    <row r="26" spans="2:21" s="2" customFormat="1"/>
    <row r="27" spans="2:21" s="2" customFormat="1">
      <c r="K27" s="3"/>
      <c r="L27" s="3"/>
      <c r="M27" s="3"/>
      <c r="N27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11"/>
  <sheetViews>
    <sheetView topLeftCell="A45" zoomScale="78" zoomScaleNormal="130" workbookViewId="0">
      <selection activeCell="C58" sqref="C58:M68"/>
    </sheetView>
  </sheetViews>
  <sheetFormatPr defaultRowHeight="15"/>
  <cols>
    <col min="1" max="1" width="9.7109375" bestFit="1" customWidth="1"/>
    <col min="2" max="2" width="14.42578125" customWidth="1"/>
    <col min="3" max="3" width="9.42578125" bestFit="1" customWidth="1"/>
    <col min="4" max="4" width="14.28515625" bestFit="1" customWidth="1"/>
    <col min="5" max="5" width="17.42578125" bestFit="1" customWidth="1"/>
    <col min="6" max="6" width="12.7109375" customWidth="1"/>
    <col min="7" max="7" width="11.28515625" style="2" customWidth="1"/>
    <col min="8" max="9" width="13.5703125" style="2" hidden="1" customWidth="1"/>
    <col min="10" max="10" width="13.5703125" style="2" customWidth="1"/>
    <col min="11" max="11" width="11.28515625" style="2" customWidth="1"/>
    <col min="12" max="12" width="13.5703125" style="2" hidden="1" customWidth="1"/>
    <col min="13" max="13" width="13.5703125" style="2" customWidth="1"/>
    <col min="14" max="14" width="11.42578125" bestFit="1" customWidth="1"/>
    <col min="15" max="15" width="11.7109375" bestFit="1" customWidth="1"/>
    <col min="16" max="16" width="12.140625" bestFit="1" customWidth="1"/>
    <col min="17" max="17" width="9.7109375" bestFit="1" customWidth="1"/>
    <col min="18" max="18" width="14.42578125" customWidth="1"/>
    <col min="19" max="19" width="20.42578125" bestFit="1" customWidth="1"/>
    <col min="20" max="20" width="13.28515625" bestFit="1" customWidth="1"/>
    <col min="21" max="21" width="12.140625" bestFit="1" customWidth="1"/>
    <col min="22" max="22" width="16.5703125" customWidth="1"/>
    <col min="23" max="23" width="47.7109375" bestFit="1" customWidth="1"/>
    <col min="24" max="24" width="39" customWidth="1"/>
    <col min="32" max="34" width="9" bestFit="1" customWidth="1"/>
  </cols>
  <sheetData>
    <row r="1" spans="2:34" ht="15.75">
      <c r="B1" s="22"/>
      <c r="C1" s="22"/>
      <c r="D1" s="22"/>
      <c r="E1" s="22"/>
      <c r="F1" s="22"/>
      <c r="G1" s="23" t="s">
        <v>23</v>
      </c>
      <c r="H1" s="23" t="s">
        <v>25</v>
      </c>
      <c r="I1" s="23"/>
      <c r="J1" s="23"/>
      <c r="K1" s="23"/>
      <c r="L1" s="23"/>
      <c r="M1" s="23" t="s">
        <v>34</v>
      </c>
      <c r="N1" s="24" t="s">
        <v>10</v>
      </c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2:34" s="6" customFormat="1" ht="63">
      <c r="B2" s="23" t="s">
        <v>32</v>
      </c>
      <c r="C2" s="23" t="s">
        <v>27</v>
      </c>
      <c r="D2" s="23" t="s">
        <v>24</v>
      </c>
      <c r="E2" s="23" t="s">
        <v>38</v>
      </c>
      <c r="F2" s="25" t="s">
        <v>37</v>
      </c>
      <c r="G2" s="23" t="s">
        <v>13</v>
      </c>
      <c r="H2" s="23" t="s">
        <v>40</v>
      </c>
      <c r="I2" s="23" t="s">
        <v>39</v>
      </c>
      <c r="J2" s="23" t="s">
        <v>33</v>
      </c>
      <c r="K2" s="23" t="s">
        <v>14</v>
      </c>
      <c r="L2" s="23" t="s">
        <v>59</v>
      </c>
      <c r="M2" s="23" t="s">
        <v>34</v>
      </c>
      <c r="N2" s="25" t="s">
        <v>91</v>
      </c>
      <c r="O2" s="25" t="s">
        <v>96</v>
      </c>
      <c r="P2" s="25" t="s">
        <v>60</v>
      </c>
      <c r="Q2" s="23" t="s">
        <v>12</v>
      </c>
      <c r="R2" s="23" t="s">
        <v>3</v>
      </c>
      <c r="S2" s="25" t="s">
        <v>95</v>
      </c>
      <c r="T2" s="25" t="s">
        <v>90</v>
      </c>
      <c r="U2" s="25" t="s">
        <v>87</v>
      </c>
      <c r="V2" s="23" t="s">
        <v>7</v>
      </c>
      <c r="W2" s="43" t="s">
        <v>52</v>
      </c>
      <c r="X2" s="12" t="s">
        <v>100</v>
      </c>
      <c r="Y2" s="12"/>
    </row>
    <row r="3" spans="2:34" s="46" customFormat="1" ht="15.75">
      <c r="B3" s="47" t="s">
        <v>46</v>
      </c>
      <c r="C3" s="48" t="s">
        <v>23</v>
      </c>
      <c r="D3" s="48">
        <v>3.9</v>
      </c>
      <c r="E3" s="48">
        <v>3.9</v>
      </c>
      <c r="F3" s="47">
        <f t="shared" ref="F3:F13" si="0">SUM(G3:M3)</f>
        <v>3</v>
      </c>
      <c r="G3" s="49">
        <v>3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0.51790000000000003</v>
      </c>
      <c r="O3" s="49">
        <v>71.3</v>
      </c>
      <c r="P3" s="49">
        <v>57.74</v>
      </c>
      <c r="Q3" s="50">
        <v>1E-14</v>
      </c>
      <c r="R3" s="51">
        <v>9.9999999999999995E-8</v>
      </c>
      <c r="S3" s="50">
        <v>10000000</v>
      </c>
      <c r="T3" s="50">
        <v>1.505E-15</v>
      </c>
      <c r="U3" s="50">
        <v>1.5650000000000001E-5</v>
      </c>
      <c r="V3" s="50">
        <v>10400000000</v>
      </c>
      <c r="W3" s="52" t="s">
        <v>41</v>
      </c>
      <c r="X3" s="32"/>
      <c r="Y3" s="52"/>
      <c r="AF3" s="46">
        <v>1</v>
      </c>
      <c r="AG3" s="46">
        <v>1</v>
      </c>
      <c r="AH3" s="46">
        <v>1</v>
      </c>
    </row>
    <row r="4" spans="2:34" s="46" customFormat="1" ht="15.75">
      <c r="B4" s="47" t="s">
        <v>46</v>
      </c>
      <c r="C4" s="48" t="s">
        <v>28</v>
      </c>
      <c r="D4" s="48">
        <v>7.5</v>
      </c>
      <c r="E4" s="48">
        <v>7.5</v>
      </c>
      <c r="F4" s="47">
        <f t="shared" si="0"/>
        <v>3</v>
      </c>
      <c r="G4" s="49">
        <v>0</v>
      </c>
      <c r="H4" s="49">
        <v>3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0.748</v>
      </c>
      <c r="O4" s="49">
        <v>64.400000000000006</v>
      </c>
      <c r="P4" s="49">
        <v>38.61</v>
      </c>
      <c r="Q4" s="50">
        <v>1.0000000000000001E-18</v>
      </c>
      <c r="R4" s="51">
        <v>9.9999999999999995E-8</v>
      </c>
      <c r="S4" s="50">
        <v>100000000000</v>
      </c>
      <c r="T4" s="50">
        <v>5.6499999999999998E-19</v>
      </c>
      <c r="U4" s="50">
        <v>1.2799999999999999E-5</v>
      </c>
      <c r="V4" s="50">
        <v>22600000000000</v>
      </c>
      <c r="W4" s="52" t="s">
        <v>42</v>
      </c>
      <c r="X4" s="12" t="s">
        <v>101</v>
      </c>
      <c r="Y4" s="52"/>
      <c r="AF4" s="46">
        <v>2</v>
      </c>
      <c r="AG4" s="46">
        <v>1</v>
      </c>
      <c r="AH4" s="46">
        <v>1</v>
      </c>
    </row>
    <row r="5" spans="2:34" s="53" customFormat="1" ht="15.75">
      <c r="B5" s="47" t="s">
        <v>46</v>
      </c>
      <c r="C5" s="48" t="s">
        <v>39</v>
      </c>
      <c r="D5" s="48">
        <v>12</v>
      </c>
      <c r="E5" s="48">
        <v>12</v>
      </c>
      <c r="F5" s="47">
        <f t="shared" si="0"/>
        <v>3</v>
      </c>
      <c r="G5" s="49">
        <v>0</v>
      </c>
      <c r="H5" s="49">
        <v>0</v>
      </c>
      <c r="I5" s="49">
        <v>3</v>
      </c>
      <c r="J5" s="49">
        <v>0</v>
      </c>
      <c r="K5" s="49">
        <v>0</v>
      </c>
      <c r="L5" s="49">
        <v>0</v>
      </c>
      <c r="M5" s="49">
        <v>0</v>
      </c>
      <c r="N5" s="49">
        <v>0.85229999999999995</v>
      </c>
      <c r="O5" s="49">
        <v>60.4</v>
      </c>
      <c r="P5" s="49">
        <v>31.57</v>
      </c>
      <c r="Q5" s="50">
        <v>9.9999999999999998E-20</v>
      </c>
      <c r="R5" s="51">
        <v>9.9999999999999995E-8</v>
      </c>
      <c r="S5" s="50">
        <v>1000000000000</v>
      </c>
      <c r="T5" s="50">
        <v>1.283E-20</v>
      </c>
      <c r="U5" s="50">
        <v>8.8170000000000005E-6</v>
      </c>
      <c r="V5" s="50">
        <v>686000000000000</v>
      </c>
      <c r="W5" s="52" t="s">
        <v>43</v>
      </c>
      <c r="X5" s="12" t="s">
        <v>102</v>
      </c>
      <c r="Y5" s="52"/>
      <c r="AF5" s="53">
        <v>3</v>
      </c>
      <c r="AG5" s="53">
        <v>1</v>
      </c>
      <c r="AH5" s="53">
        <v>1</v>
      </c>
    </row>
    <row r="6" spans="2:34" s="53" customFormat="1" ht="15.75">
      <c r="B6" s="47" t="s">
        <v>46</v>
      </c>
      <c r="C6" s="48" t="s">
        <v>25</v>
      </c>
      <c r="D6" s="48">
        <v>12</v>
      </c>
      <c r="E6" s="48">
        <v>12</v>
      </c>
      <c r="F6" s="47">
        <f t="shared" si="0"/>
        <v>3</v>
      </c>
      <c r="G6" s="49">
        <v>0</v>
      </c>
      <c r="H6" s="49">
        <v>0</v>
      </c>
      <c r="I6" s="49">
        <v>0</v>
      </c>
      <c r="J6" s="49">
        <v>3</v>
      </c>
      <c r="K6" s="49">
        <v>0</v>
      </c>
      <c r="L6" s="49">
        <v>0</v>
      </c>
      <c r="M6" s="49">
        <v>0</v>
      </c>
      <c r="N6" s="49">
        <v>0.85229999999999995</v>
      </c>
      <c r="O6" s="49">
        <v>60.4</v>
      </c>
      <c r="P6" s="49">
        <v>31.57</v>
      </c>
      <c r="Q6" s="50">
        <v>9.9999999999999998E-20</v>
      </c>
      <c r="R6" s="51">
        <v>9.9999999999999995E-8</v>
      </c>
      <c r="S6" s="50">
        <v>1000000000000</v>
      </c>
      <c r="T6" s="50">
        <v>1.283E-20</v>
      </c>
      <c r="U6" s="50">
        <v>8.8170000000000005E-6</v>
      </c>
      <c r="V6" s="50">
        <v>686000000000000</v>
      </c>
      <c r="W6" s="52" t="s">
        <v>44</v>
      </c>
      <c r="X6" s="12" t="s">
        <v>103</v>
      </c>
      <c r="Y6" s="52"/>
    </row>
    <row r="7" spans="2:34" s="46" customFormat="1" ht="15.75">
      <c r="B7" s="47" t="s">
        <v>46</v>
      </c>
      <c r="C7" s="48" t="s">
        <v>21</v>
      </c>
      <c r="D7" s="48">
        <v>22</v>
      </c>
      <c r="E7" s="48">
        <v>22</v>
      </c>
      <c r="F7" s="47">
        <f t="shared" si="0"/>
        <v>3</v>
      </c>
      <c r="G7" s="49">
        <v>0</v>
      </c>
      <c r="H7" s="49">
        <v>0</v>
      </c>
      <c r="I7" s="49">
        <v>0</v>
      </c>
      <c r="J7" s="49">
        <v>0</v>
      </c>
      <c r="K7" s="49">
        <v>3</v>
      </c>
      <c r="L7" s="49">
        <v>0</v>
      </c>
      <c r="M7" s="49">
        <v>0</v>
      </c>
      <c r="N7" s="49">
        <v>0.92500000000000004</v>
      </c>
      <c r="O7" s="49">
        <v>58.1</v>
      </c>
      <c r="P7" s="49">
        <v>19.829999999999998</v>
      </c>
      <c r="Q7" s="50">
        <v>9.9999999999999991E-22</v>
      </c>
      <c r="R7" s="51">
        <v>9.9999999999999995E-8</v>
      </c>
      <c r="S7" s="50">
        <v>100000000000000</v>
      </c>
      <c r="T7" s="50">
        <v>4.6599999999999996E-22</v>
      </c>
      <c r="U7" s="50">
        <v>6.1727999999999996E-6</v>
      </c>
      <c r="V7" s="50">
        <v>1.32E+16</v>
      </c>
      <c r="W7" s="52" t="s">
        <v>45</v>
      </c>
      <c r="X7" s="12" t="s">
        <v>104</v>
      </c>
      <c r="Y7" s="52"/>
      <c r="AF7" s="46">
        <v>1</v>
      </c>
      <c r="AG7" s="46">
        <v>1</v>
      </c>
      <c r="AH7" s="46">
        <v>1</v>
      </c>
    </row>
    <row r="8" spans="2:34" s="46" customFormat="1" ht="15.75">
      <c r="B8" s="47" t="s">
        <v>46</v>
      </c>
      <c r="C8" s="48" t="s">
        <v>26</v>
      </c>
      <c r="D8" s="48">
        <v>27</v>
      </c>
      <c r="E8" s="48"/>
      <c r="F8" s="47">
        <f t="shared" si="0"/>
        <v>3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3</v>
      </c>
      <c r="M8" s="49">
        <v>0</v>
      </c>
      <c r="N8" s="49">
        <v>0.94210000000000005</v>
      </c>
      <c r="O8" s="49">
        <v>57.9</v>
      </c>
      <c r="P8" s="49">
        <v>26.35</v>
      </c>
      <c r="Q8" s="50">
        <v>9.9999999999999991E-22</v>
      </c>
      <c r="R8" s="51">
        <v>9.9999999999999995E-8</v>
      </c>
      <c r="S8" s="50">
        <v>100000000000000</v>
      </c>
      <c r="T8" s="50">
        <v>3.3900000000000001E-22</v>
      </c>
      <c r="U8" s="50">
        <v>1.06E-5</v>
      </c>
      <c r="V8" s="50">
        <v>3.1294E+16</v>
      </c>
      <c r="W8" s="52" t="s">
        <v>47</v>
      </c>
      <c r="X8" s="12" t="s">
        <v>105</v>
      </c>
      <c r="Y8" s="52"/>
      <c r="AF8" s="46">
        <v>1</v>
      </c>
      <c r="AG8" s="46">
        <v>2</v>
      </c>
      <c r="AH8" s="46">
        <v>1</v>
      </c>
    </row>
    <row r="9" spans="2:34" s="53" customFormat="1" ht="15.75">
      <c r="B9" s="47" t="s">
        <v>46</v>
      </c>
      <c r="C9" s="48" t="s">
        <v>20</v>
      </c>
      <c r="D9" s="48">
        <v>80</v>
      </c>
      <c r="E9" s="48"/>
      <c r="F9" s="47">
        <f t="shared" si="0"/>
        <v>3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3</v>
      </c>
      <c r="N9" s="49">
        <v>1.0034000000000001</v>
      </c>
      <c r="O9" s="49">
        <v>58.9</v>
      </c>
      <c r="P9" s="49">
        <v>20.87</v>
      </c>
      <c r="Q9" s="50">
        <v>1E-22</v>
      </c>
      <c r="R9" s="51">
        <v>9.9999999999999995E-8</v>
      </c>
      <c r="S9" s="50">
        <v>1000000000000000</v>
      </c>
      <c r="T9" s="50">
        <v>4.8600000000000002E-24</v>
      </c>
      <c r="U9" s="50">
        <v>6.1700000000000002E-6</v>
      </c>
      <c r="V9" s="50">
        <v>1.269E+18</v>
      </c>
      <c r="W9" s="52" t="s">
        <v>48</v>
      </c>
      <c r="X9" s="12" t="s">
        <v>49</v>
      </c>
      <c r="Y9" s="52"/>
      <c r="AF9" s="53">
        <v>1</v>
      </c>
      <c r="AG9" s="53">
        <v>3</v>
      </c>
      <c r="AH9" s="53">
        <v>1</v>
      </c>
    </row>
    <row r="10" spans="2:34" s="40" customFormat="1" ht="15.75">
      <c r="B10" s="35" t="s">
        <v>98</v>
      </c>
      <c r="C10" s="36" t="s">
        <v>31</v>
      </c>
      <c r="D10" s="40" t="s">
        <v>25</v>
      </c>
      <c r="E10" s="31">
        <f>($D$3*G10+$D$6*J10+$D$9*M10)/F10</f>
        <v>31.966666666666669</v>
      </c>
      <c r="F10" s="35">
        <f t="shared" si="0"/>
        <v>3</v>
      </c>
      <c r="G10" s="36">
        <v>1</v>
      </c>
      <c r="H10" s="36">
        <v>0</v>
      </c>
      <c r="I10" s="36">
        <v>0</v>
      </c>
      <c r="J10" s="36">
        <v>1</v>
      </c>
      <c r="K10" s="36">
        <v>0</v>
      </c>
      <c r="L10" s="36">
        <v>0</v>
      </c>
      <c r="M10" s="36">
        <v>1</v>
      </c>
      <c r="N10" s="36">
        <v>0.78900000000000003</v>
      </c>
      <c r="O10" s="36">
        <v>60.7</v>
      </c>
      <c r="P10" s="36">
        <v>12.09</v>
      </c>
      <c r="Q10" s="37">
        <v>9.9999999999999998E-20</v>
      </c>
      <c r="R10" s="38">
        <v>9.9999999999999995E-8</v>
      </c>
      <c r="S10" s="37">
        <v>1000000000000</v>
      </c>
      <c r="T10" s="37">
        <v>2.24E-20</v>
      </c>
      <c r="U10" s="37">
        <v>8.1699999999999997E-6</v>
      </c>
      <c r="V10" s="37">
        <v>345000000000000</v>
      </c>
      <c r="W10" s="12" t="s">
        <v>51</v>
      </c>
      <c r="X10" s="12" t="s">
        <v>106</v>
      </c>
      <c r="Y10" s="39"/>
      <c r="AF10" s="40">
        <v>1</v>
      </c>
      <c r="AG10" s="40">
        <v>1</v>
      </c>
      <c r="AH10" s="40">
        <v>1</v>
      </c>
    </row>
    <row r="11" spans="2:34" s="40" customFormat="1" ht="15.75">
      <c r="B11" s="35" t="s">
        <v>98</v>
      </c>
      <c r="C11" s="36" t="s">
        <v>31</v>
      </c>
      <c r="D11" s="40" t="s">
        <v>25</v>
      </c>
      <c r="E11" s="31">
        <f>($D$3*G11+$D$6*J11+$D$9*M11)/F11</f>
        <v>43.300000000000004</v>
      </c>
      <c r="F11" s="35">
        <f t="shared" si="0"/>
        <v>3</v>
      </c>
      <c r="G11" s="36">
        <v>1</v>
      </c>
      <c r="H11" s="36">
        <v>0</v>
      </c>
      <c r="I11" s="36">
        <v>0</v>
      </c>
      <c r="J11" s="36">
        <v>0.5</v>
      </c>
      <c r="K11" s="36">
        <v>0</v>
      </c>
      <c r="L11" s="36">
        <v>0</v>
      </c>
      <c r="M11" s="36">
        <v>1.5</v>
      </c>
      <c r="N11" s="36">
        <v>0.80730000000000002</v>
      </c>
      <c r="O11" s="36">
        <v>59.7</v>
      </c>
      <c r="P11" s="36">
        <v>11.91</v>
      </c>
      <c r="Q11" s="37">
        <v>9.9999999999999998E-20</v>
      </c>
      <c r="R11" s="38">
        <v>9.9999999999999995E-8</v>
      </c>
      <c r="S11" s="37">
        <v>1000000000000</v>
      </c>
      <c r="T11" s="37">
        <v>2.5699999999999999E-20</v>
      </c>
      <c r="U11" s="37">
        <v>5.1399999999999999E-6</v>
      </c>
      <c r="V11" s="37">
        <v>199500000000000</v>
      </c>
      <c r="W11" s="12" t="s">
        <v>50</v>
      </c>
      <c r="X11" s="12" t="s">
        <v>107</v>
      </c>
      <c r="Y11" s="39"/>
      <c r="AF11" s="40">
        <v>1</v>
      </c>
      <c r="AG11" s="40">
        <v>1</v>
      </c>
      <c r="AH11" s="40">
        <v>2</v>
      </c>
    </row>
    <row r="12" spans="2:34" s="40" customFormat="1" ht="15.75">
      <c r="B12" s="35" t="s">
        <v>98</v>
      </c>
      <c r="C12" s="36" t="s">
        <v>31</v>
      </c>
      <c r="D12" s="40" t="s">
        <v>25</v>
      </c>
      <c r="E12" s="31">
        <f>($D$3*G12+$D$6*J12+$D$9*M12)/F12</f>
        <v>19.283333333333335</v>
      </c>
      <c r="F12" s="35">
        <f t="shared" si="0"/>
        <v>3</v>
      </c>
      <c r="G12" s="36">
        <v>1.5</v>
      </c>
      <c r="H12" s="36">
        <v>0</v>
      </c>
      <c r="I12" s="36">
        <v>0</v>
      </c>
      <c r="J12" s="36">
        <v>1</v>
      </c>
      <c r="K12" s="36">
        <v>0</v>
      </c>
      <c r="L12" s="36">
        <v>0</v>
      </c>
      <c r="M12" s="36">
        <v>0.5</v>
      </c>
      <c r="N12" s="36">
        <v>0.86750000000000005</v>
      </c>
      <c r="O12" s="36">
        <v>59</v>
      </c>
      <c r="P12" s="36">
        <v>12.35</v>
      </c>
      <c r="Q12" s="37">
        <v>9.9999999999999995E-21</v>
      </c>
      <c r="R12" s="38">
        <v>9.9999999999999995E-8</v>
      </c>
      <c r="S12" s="37">
        <v>10000000000000</v>
      </c>
      <c r="T12" s="37">
        <v>1.01E-21</v>
      </c>
      <c r="U12" s="37">
        <v>1.6200000000000001E-5</v>
      </c>
      <c r="V12" s="37">
        <v>1.604E+16</v>
      </c>
      <c r="W12" s="12" t="s">
        <v>53</v>
      </c>
      <c r="X12" s="12" t="s">
        <v>108</v>
      </c>
      <c r="Y12" s="39"/>
      <c r="AF12" s="40">
        <v>1</v>
      </c>
      <c r="AG12" s="40">
        <v>1</v>
      </c>
      <c r="AH12" s="40">
        <v>3</v>
      </c>
    </row>
    <row r="13" spans="2:34" s="40" customFormat="1" ht="15.75">
      <c r="B13" s="35" t="s">
        <v>98</v>
      </c>
      <c r="C13" s="36" t="s">
        <v>31</v>
      </c>
      <c r="D13" s="40" t="s">
        <v>21</v>
      </c>
      <c r="E13" s="31">
        <f>($D$3*G13+$D$7*K13+$D$9*M13)/F13</f>
        <v>25.633333333333336</v>
      </c>
      <c r="F13" s="35">
        <f t="shared" si="0"/>
        <v>3</v>
      </c>
      <c r="G13" s="36">
        <v>1</v>
      </c>
      <c r="H13" s="36">
        <v>0</v>
      </c>
      <c r="I13" s="36">
        <v>0</v>
      </c>
      <c r="J13" s="36">
        <v>0</v>
      </c>
      <c r="K13" s="36">
        <v>1.5</v>
      </c>
      <c r="L13" s="36">
        <v>0</v>
      </c>
      <c r="M13" s="36">
        <v>0.5</v>
      </c>
      <c r="N13" s="36">
        <v>0.88070000000000004</v>
      </c>
      <c r="O13" s="36">
        <v>59.2</v>
      </c>
      <c r="P13" s="36">
        <v>11.91</v>
      </c>
      <c r="Q13" s="37">
        <v>9.9999999999999991E-22</v>
      </c>
      <c r="R13" s="38">
        <v>9.9999999999999995E-8</v>
      </c>
      <c r="S13" s="37">
        <v>100000000000000</v>
      </c>
      <c r="T13" s="37">
        <v>8.3500000000000002E-25</v>
      </c>
      <c r="U13" s="37">
        <v>8.9579999999999996E-6</v>
      </c>
      <c r="V13" s="37">
        <v>1.072E+19</v>
      </c>
      <c r="W13" s="12" t="s">
        <v>54</v>
      </c>
      <c r="X13" s="12" t="s">
        <v>109</v>
      </c>
      <c r="Y13" s="39"/>
    </row>
    <row r="14" spans="2:34" s="40" customFormat="1" ht="15.75">
      <c r="B14" s="35" t="s">
        <v>98</v>
      </c>
      <c r="C14" s="36" t="s">
        <v>31</v>
      </c>
      <c r="D14" s="40" t="s">
        <v>21</v>
      </c>
      <c r="E14" s="31">
        <f t="shared" ref="E14:E22" si="1">($D$3*G14+$D$7*K14+$D$9*M14)/F14</f>
        <v>12.950000000000001</v>
      </c>
      <c r="F14" s="35">
        <f t="shared" ref="F14:F22" si="2">SUM(G14:M14)</f>
        <v>3</v>
      </c>
      <c r="G14" s="36">
        <v>1.5</v>
      </c>
      <c r="H14" s="36">
        <v>0</v>
      </c>
      <c r="I14" s="36">
        <v>0</v>
      </c>
      <c r="J14" s="36">
        <v>0</v>
      </c>
      <c r="K14" s="36">
        <v>1.5</v>
      </c>
      <c r="L14" s="36">
        <v>0</v>
      </c>
      <c r="M14" s="36">
        <v>0</v>
      </c>
      <c r="N14" s="36">
        <v>0.73240000000000005</v>
      </c>
      <c r="O14" s="36">
        <v>63</v>
      </c>
      <c r="P14" s="36">
        <v>22.78</v>
      </c>
      <c r="Q14" s="37">
        <v>1.0000000000000001E-17</v>
      </c>
      <c r="R14" s="38">
        <v>9.9999999999999995E-8</v>
      </c>
      <c r="S14" s="37">
        <v>10000000000</v>
      </c>
      <c r="T14" s="37">
        <v>1.086E-18</v>
      </c>
      <c r="U14" s="37">
        <v>2.12E-5</v>
      </c>
      <c r="V14" s="37">
        <v>19500000000000</v>
      </c>
      <c r="W14" s="12" t="s">
        <v>55</v>
      </c>
      <c r="X14" s="12"/>
      <c r="Y14" s="39"/>
    </row>
    <row r="15" spans="2:34" s="40" customFormat="1" ht="15.75">
      <c r="B15" s="35" t="s">
        <v>98</v>
      </c>
      <c r="C15" s="36" t="s">
        <v>31</v>
      </c>
      <c r="D15" s="40" t="s">
        <v>21</v>
      </c>
      <c r="E15" s="31">
        <f t="shared" si="1"/>
        <v>70.333333333333329</v>
      </c>
      <c r="F15" s="35">
        <f t="shared" si="2"/>
        <v>3</v>
      </c>
      <c r="G15" s="36">
        <v>0</v>
      </c>
      <c r="H15" s="36">
        <v>0</v>
      </c>
      <c r="I15" s="36">
        <v>0</v>
      </c>
      <c r="J15" s="36">
        <v>0</v>
      </c>
      <c r="K15" s="36">
        <v>0.5</v>
      </c>
      <c r="L15" s="36">
        <v>0</v>
      </c>
      <c r="M15" s="36">
        <v>2.5</v>
      </c>
      <c r="N15" s="36">
        <v>0.99099999999999999</v>
      </c>
      <c r="O15" s="36">
        <v>57.8</v>
      </c>
      <c r="P15" s="36">
        <v>7.39</v>
      </c>
      <c r="Q15" s="37">
        <v>9.9999999999999994E-30</v>
      </c>
      <c r="R15" s="38">
        <v>9.9999999999999995E-8</v>
      </c>
      <c r="S15" s="37">
        <v>1E+22</v>
      </c>
      <c r="T15" s="37">
        <v>4.1599999999999999E-32</v>
      </c>
      <c r="U15" s="37">
        <v>8.7099999999999996E-6</v>
      </c>
      <c r="V15" s="37">
        <v>2.09E+26</v>
      </c>
      <c r="W15" s="12" t="s">
        <v>57</v>
      </c>
      <c r="X15" s="12"/>
      <c r="Y15" s="39"/>
    </row>
    <row r="16" spans="2:34" s="40" customFormat="1" ht="15.75">
      <c r="B16" s="35" t="s">
        <v>98</v>
      </c>
      <c r="C16" s="36" t="s">
        <v>31</v>
      </c>
      <c r="D16" s="40" t="s">
        <v>21</v>
      </c>
      <c r="E16" s="31">
        <f t="shared" si="1"/>
        <v>9.9333333333333336</v>
      </c>
      <c r="F16" s="35">
        <f t="shared" si="2"/>
        <v>3</v>
      </c>
      <c r="G16" s="36">
        <v>2</v>
      </c>
      <c r="H16" s="36">
        <v>0</v>
      </c>
      <c r="I16" s="36">
        <v>0</v>
      </c>
      <c r="J16" s="36">
        <v>0</v>
      </c>
      <c r="K16" s="36">
        <v>1</v>
      </c>
      <c r="L16" s="36">
        <v>0</v>
      </c>
      <c r="M16" s="36">
        <v>0</v>
      </c>
      <c r="N16" s="36">
        <v>0.73240000000000005</v>
      </c>
      <c r="O16" s="36">
        <v>63</v>
      </c>
      <c r="P16" s="36">
        <v>22.78</v>
      </c>
      <c r="Q16" s="37">
        <v>1.0000000000000001E-17</v>
      </c>
      <c r="R16" s="38">
        <v>9.9999999999999995E-8</v>
      </c>
      <c r="S16" s="37">
        <v>10000000</v>
      </c>
      <c r="T16" s="37">
        <v>1.0869E-18</v>
      </c>
      <c r="U16" s="37">
        <v>2.12E-5</v>
      </c>
      <c r="V16" s="37">
        <v>19500000000000</v>
      </c>
      <c r="W16" s="12" t="s">
        <v>56</v>
      </c>
      <c r="X16" s="12"/>
      <c r="Y16" s="39"/>
    </row>
    <row r="17" spans="1:25" s="40" customFormat="1" ht="15.75">
      <c r="B17" s="35" t="s">
        <v>98</v>
      </c>
      <c r="C17" s="36" t="s">
        <v>31</v>
      </c>
      <c r="D17" s="40" t="s">
        <v>21</v>
      </c>
      <c r="E17" s="31">
        <f t="shared" si="1"/>
        <v>80</v>
      </c>
      <c r="F17" s="35">
        <f t="shared" si="2"/>
        <v>3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f>-L172</f>
        <v>0</v>
      </c>
      <c r="M17" s="36">
        <v>3</v>
      </c>
      <c r="N17" s="36">
        <f>N9</f>
        <v>1.0034000000000001</v>
      </c>
      <c r="O17" s="36">
        <f t="shared" ref="O17:V17" si="3">O9</f>
        <v>58.9</v>
      </c>
      <c r="P17" s="36">
        <f t="shared" si="3"/>
        <v>20.87</v>
      </c>
      <c r="Q17" s="36">
        <f t="shared" si="3"/>
        <v>1E-22</v>
      </c>
      <c r="R17" s="36">
        <f t="shared" si="3"/>
        <v>9.9999999999999995E-8</v>
      </c>
      <c r="S17" s="36">
        <f t="shared" si="3"/>
        <v>1000000000000000</v>
      </c>
      <c r="T17" s="36">
        <f t="shared" si="3"/>
        <v>4.8600000000000002E-24</v>
      </c>
      <c r="U17" s="36">
        <f t="shared" si="3"/>
        <v>6.1700000000000002E-6</v>
      </c>
      <c r="V17" s="36">
        <f t="shared" si="3"/>
        <v>1.269E+18</v>
      </c>
      <c r="W17" s="12" t="s">
        <v>58</v>
      </c>
      <c r="X17" s="12"/>
      <c r="Y17" s="39"/>
    </row>
    <row r="18" spans="1:25" s="40" customFormat="1" ht="15.75">
      <c r="A18" s="40" t="s">
        <v>99</v>
      </c>
      <c r="B18" s="35" t="s">
        <v>98</v>
      </c>
      <c r="C18" s="36" t="s">
        <v>31</v>
      </c>
      <c r="D18" s="40" t="s">
        <v>25</v>
      </c>
      <c r="E18" s="31">
        <f>($D$3*G18+$D$6*K18+$D$9*M18)/F18</f>
        <v>40.65</v>
      </c>
      <c r="F18" s="35">
        <f t="shared" si="2"/>
        <v>3</v>
      </c>
      <c r="G18" s="36">
        <v>0.5</v>
      </c>
      <c r="H18" s="36">
        <v>0</v>
      </c>
      <c r="I18" s="36">
        <v>0</v>
      </c>
      <c r="J18" s="36">
        <v>1</v>
      </c>
      <c r="K18" s="36">
        <v>0</v>
      </c>
      <c r="L18" s="36">
        <v>0</v>
      </c>
      <c r="M18" s="36">
        <v>1.5</v>
      </c>
      <c r="N18" s="36">
        <v>0.88690000000000002</v>
      </c>
      <c r="O18" s="36">
        <v>61.6</v>
      </c>
      <c r="P18" s="36">
        <v>20.43</v>
      </c>
      <c r="Q18" s="37">
        <v>9.9999999999999991E-22</v>
      </c>
      <c r="R18" s="37">
        <v>9.9999999999999995E-8</v>
      </c>
      <c r="S18" s="37">
        <v>100000000000000</v>
      </c>
      <c r="T18" s="37">
        <v>1.3000000000000001E-26</v>
      </c>
      <c r="U18" s="37">
        <v>1.1260000000000001E-5</v>
      </c>
      <c r="V18" s="37">
        <v>8.62E+20</v>
      </c>
      <c r="W18" s="12"/>
      <c r="X18" s="12"/>
      <c r="Y18" s="39"/>
    </row>
    <row r="19" spans="1:25" s="40" customFormat="1" ht="15.75">
      <c r="B19" s="35"/>
      <c r="C19" s="36"/>
      <c r="E19" s="31"/>
      <c r="F19" s="35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7"/>
      <c r="R19" s="37"/>
      <c r="S19" s="37"/>
      <c r="T19" s="37"/>
      <c r="U19" s="37"/>
      <c r="V19" s="37"/>
      <c r="W19" s="12"/>
      <c r="X19" s="12"/>
      <c r="Y19" s="39"/>
    </row>
    <row r="20" spans="1:25" s="20" customFormat="1" ht="15.75">
      <c r="A20" s="13"/>
      <c r="B20" s="30" t="s">
        <v>46</v>
      </c>
      <c r="C20" s="27" t="s">
        <v>31</v>
      </c>
      <c r="D20" s="42" t="s">
        <v>21</v>
      </c>
      <c r="E20" s="45">
        <f t="shared" si="1"/>
        <v>80</v>
      </c>
      <c r="F20" s="41">
        <f t="shared" si="2"/>
        <v>3</v>
      </c>
      <c r="G20" s="27">
        <v>0</v>
      </c>
      <c r="H20" s="27">
        <v>0</v>
      </c>
      <c r="I20" s="27"/>
      <c r="J20" s="27"/>
      <c r="K20" s="27"/>
      <c r="L20" s="27"/>
      <c r="M20" s="27">
        <v>3</v>
      </c>
      <c r="N20" s="27"/>
      <c r="O20" s="27"/>
      <c r="P20" s="27"/>
      <c r="Q20" s="28"/>
      <c r="R20" s="29"/>
      <c r="S20" s="28"/>
      <c r="T20" s="28"/>
      <c r="U20" s="28"/>
      <c r="V20" s="28"/>
      <c r="W20" s="27"/>
      <c r="X20" s="27"/>
      <c r="Y20" s="21"/>
    </row>
    <row r="21" spans="1:25" s="20" customFormat="1" ht="15.75">
      <c r="A21" s="13"/>
      <c r="B21" s="30" t="s">
        <v>46</v>
      </c>
      <c r="C21" s="27" t="s">
        <v>31</v>
      </c>
      <c r="D21" s="42" t="s">
        <v>21</v>
      </c>
      <c r="E21" s="45">
        <f t="shared" si="1"/>
        <v>27.966666666666669</v>
      </c>
      <c r="F21" s="41">
        <f t="shared" si="2"/>
        <v>3</v>
      </c>
      <c r="G21" s="27">
        <v>1</v>
      </c>
      <c r="H21" s="27">
        <v>1</v>
      </c>
      <c r="I21" s="27"/>
      <c r="J21" s="27"/>
      <c r="K21" s="27"/>
      <c r="L21" s="27"/>
      <c r="M21" s="27">
        <v>1</v>
      </c>
      <c r="N21" s="27"/>
      <c r="O21" s="27"/>
      <c r="P21" s="27"/>
      <c r="Q21" s="28"/>
      <c r="R21" s="29"/>
      <c r="S21" s="28"/>
      <c r="T21" s="28"/>
      <c r="U21" s="28"/>
      <c r="V21" s="28"/>
      <c r="W21" s="27"/>
      <c r="X21" s="27"/>
      <c r="Y21" s="21"/>
    </row>
    <row r="22" spans="1:25" s="20" customFormat="1" ht="15.75">
      <c r="A22" s="13"/>
      <c r="B22" s="30" t="s">
        <v>46</v>
      </c>
      <c r="C22" s="27" t="s">
        <v>31</v>
      </c>
      <c r="D22" s="42" t="s">
        <v>21</v>
      </c>
      <c r="E22" s="45">
        <f t="shared" si="1"/>
        <v>53.983333333333327</v>
      </c>
      <c r="F22" s="41">
        <f t="shared" si="2"/>
        <v>3</v>
      </c>
      <c r="G22" s="27">
        <v>0.5</v>
      </c>
      <c r="H22" s="27">
        <v>0.5</v>
      </c>
      <c r="I22" s="27"/>
      <c r="J22" s="27"/>
      <c r="K22" s="27"/>
      <c r="L22" s="27"/>
      <c r="M22" s="27">
        <v>2</v>
      </c>
      <c r="N22" s="27"/>
      <c r="O22" s="27"/>
      <c r="P22" s="27"/>
      <c r="Q22" s="28"/>
      <c r="R22" s="29"/>
      <c r="S22" s="28"/>
      <c r="T22" s="28"/>
      <c r="U22" s="28"/>
      <c r="V22" s="28"/>
      <c r="W22" s="27"/>
      <c r="X22" s="27"/>
      <c r="Y22" s="21"/>
    </row>
    <row r="23" spans="1:25" s="2" customFormat="1">
      <c r="Y23" s="12"/>
    </row>
    <row r="24" spans="1:25" s="2" customFormat="1">
      <c r="O24" s="3"/>
      <c r="P24" s="3"/>
      <c r="Q24" s="3"/>
      <c r="R24" s="3"/>
      <c r="Y24" s="12"/>
    </row>
    <row r="25" spans="1:25" s="1" customFormat="1">
      <c r="G25" s="2"/>
      <c r="H25" s="2"/>
      <c r="I25" s="2"/>
      <c r="J25" s="2"/>
      <c r="K25" s="2"/>
      <c r="L25" s="2"/>
      <c r="M25" s="2"/>
      <c r="O25" s="4"/>
      <c r="P25" s="4"/>
      <c r="Q25" s="4"/>
      <c r="R25" s="4"/>
      <c r="S25" s="4"/>
      <c r="T25" s="33"/>
      <c r="W25" s="12"/>
      <c r="Y25" s="12"/>
    </row>
    <row r="26" spans="1:25" s="2" customFormat="1">
      <c r="T26" s="32"/>
      <c r="W26" s="32"/>
    </row>
    <row r="27" spans="1:25" s="2" customFormat="1">
      <c r="O27" s="3"/>
      <c r="P27" s="3"/>
      <c r="Q27" s="3"/>
      <c r="R27" s="3"/>
      <c r="T27" s="33"/>
      <c r="W27" s="12"/>
    </row>
    <row r="28" spans="1:25" s="1" customFormat="1">
      <c r="G28" s="2"/>
      <c r="H28" s="2"/>
      <c r="I28" s="2"/>
      <c r="J28" s="2"/>
      <c r="K28" s="2"/>
      <c r="L28" s="2"/>
      <c r="M28" s="2"/>
      <c r="O28" s="4"/>
      <c r="P28" s="4"/>
      <c r="Q28" s="4"/>
      <c r="R28" s="4"/>
      <c r="S28" s="4"/>
      <c r="T28" s="33"/>
      <c r="W28" s="12"/>
    </row>
    <row r="29" spans="1:25" s="2" customFormat="1">
      <c r="T29" s="33"/>
      <c r="W29" s="12"/>
    </row>
    <row r="30" spans="1:25" s="2" customFormat="1">
      <c r="O30" s="3"/>
      <c r="P30" s="3"/>
      <c r="Q30" s="3"/>
      <c r="R30" s="3"/>
      <c r="T30" s="33"/>
      <c r="W30" s="12"/>
    </row>
    <row r="31" spans="1:25">
      <c r="T31" s="33"/>
      <c r="W31" s="12"/>
    </row>
    <row r="32" spans="1:25">
      <c r="T32" s="33"/>
      <c r="W32" s="12"/>
    </row>
    <row r="33" spans="20:23">
      <c r="T33" s="33"/>
      <c r="W33" s="12"/>
    </row>
    <row r="34" spans="20:23">
      <c r="T34" s="33"/>
      <c r="W34" s="12"/>
    </row>
    <row r="35" spans="20:23">
      <c r="T35" s="33"/>
      <c r="W35" s="12"/>
    </row>
    <row r="36" spans="20:23">
      <c r="T36" s="33"/>
      <c r="W36" s="12"/>
    </row>
    <row r="37" spans="20:23">
      <c r="T37" s="34"/>
    </row>
    <row r="57" spans="2:25" s="6" customFormat="1" ht="47.25">
      <c r="B57" s="23" t="s">
        <v>32</v>
      </c>
      <c r="C57" s="23" t="s">
        <v>27</v>
      </c>
      <c r="D57" s="23" t="s">
        <v>24</v>
      </c>
      <c r="E57" s="23" t="s">
        <v>74</v>
      </c>
      <c r="F57" s="25" t="s">
        <v>75</v>
      </c>
      <c r="G57" s="23" t="s">
        <v>76</v>
      </c>
      <c r="H57" s="23" t="s">
        <v>77</v>
      </c>
      <c r="I57" s="23" t="s">
        <v>78</v>
      </c>
      <c r="J57" s="23" t="s">
        <v>79</v>
      </c>
      <c r="K57" s="23" t="s">
        <v>80</v>
      </c>
      <c r="L57" s="23" t="s">
        <v>81</v>
      </c>
      <c r="M57" s="23" t="s">
        <v>82</v>
      </c>
      <c r="N57" s="25" t="s">
        <v>92</v>
      </c>
      <c r="O57" s="25" t="s">
        <v>97</v>
      </c>
      <c r="P57" s="25" t="s">
        <v>61</v>
      </c>
      <c r="Q57" s="23" t="s">
        <v>12</v>
      </c>
      <c r="R57" s="23" t="s">
        <v>3</v>
      </c>
      <c r="S57" s="25" t="s">
        <v>94</v>
      </c>
      <c r="T57" s="25" t="s">
        <v>89</v>
      </c>
      <c r="U57" s="25" t="s">
        <v>88</v>
      </c>
      <c r="V57" s="23" t="s">
        <v>7</v>
      </c>
      <c r="W57" s="43" t="s">
        <v>52</v>
      </c>
      <c r="X57" s="26"/>
      <c r="Y57" s="12"/>
    </row>
    <row r="58" spans="2:25" ht="47.25">
      <c r="D58" s="67" t="s">
        <v>84</v>
      </c>
      <c r="E58" s="25" t="s">
        <v>83</v>
      </c>
      <c r="F58" s="25" t="s">
        <v>37</v>
      </c>
      <c r="G58" s="23" t="s">
        <v>13</v>
      </c>
      <c r="H58" s="23" t="s">
        <v>40</v>
      </c>
      <c r="I58" s="23" t="s">
        <v>39</v>
      </c>
      <c r="J58" s="23" t="s">
        <v>33</v>
      </c>
      <c r="K58" s="23" t="s">
        <v>85</v>
      </c>
      <c r="L58" s="23" t="s">
        <v>26</v>
      </c>
      <c r="M58" s="23" t="s">
        <v>34</v>
      </c>
    </row>
    <row r="59" spans="2:25" ht="15.75">
      <c r="D59" s="68"/>
      <c r="E59" s="23"/>
      <c r="F59" s="1"/>
      <c r="N59" s="55">
        <f t="shared" ref="N59:V59" si="4">N3</f>
        <v>0.51790000000000003</v>
      </c>
      <c r="O59" s="44">
        <f t="shared" si="4"/>
        <v>71.3</v>
      </c>
      <c r="P59" s="44">
        <f t="shared" si="4"/>
        <v>57.74</v>
      </c>
      <c r="Q59" s="54">
        <f t="shared" si="4"/>
        <v>1E-14</v>
      </c>
      <c r="R59" s="54">
        <f t="shared" si="4"/>
        <v>9.9999999999999995E-8</v>
      </c>
      <c r="S59" s="54">
        <f t="shared" si="4"/>
        <v>10000000</v>
      </c>
      <c r="T59" s="54">
        <f t="shared" si="4"/>
        <v>1.505E-15</v>
      </c>
      <c r="U59" s="54">
        <f t="shared" si="4"/>
        <v>1.5650000000000001E-5</v>
      </c>
      <c r="V59" s="54">
        <f t="shared" si="4"/>
        <v>10400000000</v>
      </c>
    </row>
    <row r="60" spans="2:25" ht="15.75">
      <c r="B60" s="48" t="s">
        <v>23</v>
      </c>
      <c r="D60" s="73" t="s">
        <v>23</v>
      </c>
      <c r="E60" s="69">
        <f t="shared" ref="E60:M60" si="5">E3</f>
        <v>3.9</v>
      </c>
      <c r="F60" s="70">
        <f t="shared" si="5"/>
        <v>3</v>
      </c>
      <c r="G60" s="70">
        <f t="shared" si="5"/>
        <v>3</v>
      </c>
      <c r="H60" s="70">
        <f t="shared" si="5"/>
        <v>0</v>
      </c>
      <c r="I60" s="70">
        <f t="shared" si="5"/>
        <v>0</v>
      </c>
      <c r="J60" s="70">
        <f t="shared" si="5"/>
        <v>0</v>
      </c>
      <c r="K60" s="70">
        <f t="shared" si="5"/>
        <v>0</v>
      </c>
      <c r="L60" s="70">
        <f t="shared" si="5"/>
        <v>0</v>
      </c>
      <c r="M60" s="70">
        <f t="shared" si="5"/>
        <v>0</v>
      </c>
      <c r="N60" s="55">
        <f t="shared" ref="N60:V60" si="6">N16</f>
        <v>0.73240000000000005</v>
      </c>
      <c r="O60" s="44">
        <f t="shared" si="6"/>
        <v>63</v>
      </c>
      <c r="P60" s="44">
        <f t="shared" si="6"/>
        <v>22.78</v>
      </c>
      <c r="Q60" s="54">
        <f t="shared" si="6"/>
        <v>1.0000000000000001E-17</v>
      </c>
      <c r="R60" s="54">
        <f t="shared" si="6"/>
        <v>9.9999999999999995E-8</v>
      </c>
      <c r="S60" s="54">
        <f t="shared" si="6"/>
        <v>10000000</v>
      </c>
      <c r="T60" s="54">
        <f t="shared" si="6"/>
        <v>1.0869E-18</v>
      </c>
      <c r="U60" s="54">
        <f t="shared" si="6"/>
        <v>2.12E-5</v>
      </c>
      <c r="V60" s="54">
        <f t="shared" si="6"/>
        <v>19500000000000</v>
      </c>
    </row>
    <row r="61" spans="2:25" ht="15.75">
      <c r="B61" s="48" t="s">
        <v>28</v>
      </c>
      <c r="C61" s="354" t="s">
        <v>86</v>
      </c>
      <c r="D61" s="72" t="s">
        <v>66</v>
      </c>
      <c r="E61" s="69">
        <f t="shared" ref="E61:M61" si="7">E16</f>
        <v>9.9333333333333336</v>
      </c>
      <c r="F61" s="70">
        <f t="shared" si="7"/>
        <v>3</v>
      </c>
      <c r="G61" s="70">
        <f t="shared" si="7"/>
        <v>2</v>
      </c>
      <c r="H61" s="70">
        <f t="shared" si="7"/>
        <v>0</v>
      </c>
      <c r="I61" s="70">
        <f t="shared" si="7"/>
        <v>0</v>
      </c>
      <c r="J61" s="70">
        <f t="shared" si="7"/>
        <v>0</v>
      </c>
      <c r="K61" s="70">
        <f t="shared" si="7"/>
        <v>1</v>
      </c>
      <c r="L61" s="70">
        <f t="shared" si="7"/>
        <v>0</v>
      </c>
      <c r="M61" s="70">
        <f t="shared" si="7"/>
        <v>0</v>
      </c>
      <c r="N61" s="55">
        <f t="shared" ref="N61:V61" si="8">N14</f>
        <v>0.73240000000000005</v>
      </c>
      <c r="O61" s="44">
        <f t="shared" si="8"/>
        <v>63</v>
      </c>
      <c r="P61" s="44">
        <f t="shared" si="8"/>
        <v>22.78</v>
      </c>
      <c r="Q61" s="54">
        <f t="shared" si="8"/>
        <v>1.0000000000000001E-17</v>
      </c>
      <c r="R61" s="54">
        <f t="shared" si="8"/>
        <v>9.9999999999999995E-8</v>
      </c>
      <c r="S61" s="54">
        <f t="shared" si="8"/>
        <v>10000000000</v>
      </c>
      <c r="T61" s="54">
        <f t="shared" si="8"/>
        <v>1.086E-18</v>
      </c>
      <c r="U61" s="54">
        <f t="shared" si="8"/>
        <v>2.12E-5</v>
      </c>
      <c r="V61" s="54">
        <f t="shared" si="8"/>
        <v>19500000000000</v>
      </c>
    </row>
    <row r="62" spans="2:25" ht="15.75">
      <c r="B62" s="48" t="s">
        <v>39</v>
      </c>
      <c r="C62" s="355"/>
      <c r="D62" s="71" t="s">
        <v>67</v>
      </c>
      <c r="E62" s="69">
        <f t="shared" ref="E62:M62" si="9">E14</f>
        <v>12.950000000000001</v>
      </c>
      <c r="F62" s="70">
        <f t="shared" si="9"/>
        <v>3</v>
      </c>
      <c r="G62" s="70">
        <f t="shared" si="9"/>
        <v>1.5</v>
      </c>
      <c r="H62" s="70">
        <f t="shared" si="9"/>
        <v>0</v>
      </c>
      <c r="I62" s="70">
        <f t="shared" si="9"/>
        <v>0</v>
      </c>
      <c r="J62" s="70">
        <f t="shared" si="9"/>
        <v>0</v>
      </c>
      <c r="K62" s="70">
        <f t="shared" si="9"/>
        <v>1.5</v>
      </c>
      <c r="L62" s="70">
        <f t="shared" si="9"/>
        <v>0</v>
      </c>
      <c r="M62" s="70">
        <f t="shared" si="9"/>
        <v>0</v>
      </c>
      <c r="N62" s="55">
        <f t="shared" ref="N62:V62" si="10">N12</f>
        <v>0.86750000000000005</v>
      </c>
      <c r="O62" s="44">
        <f t="shared" si="10"/>
        <v>59</v>
      </c>
      <c r="P62" s="44">
        <f t="shared" si="10"/>
        <v>12.35</v>
      </c>
      <c r="Q62" s="54">
        <f t="shared" si="10"/>
        <v>9.9999999999999995E-21</v>
      </c>
      <c r="R62" s="54">
        <f t="shared" si="10"/>
        <v>9.9999999999999995E-8</v>
      </c>
      <c r="S62" s="54">
        <f t="shared" si="10"/>
        <v>10000000000000</v>
      </c>
      <c r="T62" s="54">
        <f t="shared" si="10"/>
        <v>1.01E-21</v>
      </c>
      <c r="U62" s="54">
        <f t="shared" si="10"/>
        <v>1.6200000000000001E-5</v>
      </c>
      <c r="V62" s="54">
        <f t="shared" si="10"/>
        <v>1.604E+16</v>
      </c>
    </row>
    <row r="63" spans="2:25" ht="15.75">
      <c r="B63" s="48" t="s">
        <v>21</v>
      </c>
      <c r="C63" s="355"/>
      <c r="D63" s="72" t="s">
        <v>68</v>
      </c>
      <c r="E63" s="69">
        <f t="shared" ref="E63:M63" si="11">E12</f>
        <v>19.283333333333335</v>
      </c>
      <c r="F63" s="70">
        <f t="shared" si="11"/>
        <v>3</v>
      </c>
      <c r="G63" s="70">
        <f t="shared" si="11"/>
        <v>1.5</v>
      </c>
      <c r="H63" s="70">
        <f t="shared" si="11"/>
        <v>0</v>
      </c>
      <c r="I63" s="70">
        <f t="shared" si="11"/>
        <v>0</v>
      </c>
      <c r="J63" s="70">
        <f t="shared" si="11"/>
        <v>1</v>
      </c>
      <c r="K63" s="70">
        <f t="shared" si="11"/>
        <v>0</v>
      </c>
      <c r="L63" s="70">
        <f t="shared" si="11"/>
        <v>0</v>
      </c>
      <c r="M63" s="70">
        <f t="shared" si="11"/>
        <v>0.5</v>
      </c>
      <c r="N63" s="55">
        <f t="shared" ref="N63:V63" si="12">N13</f>
        <v>0.88070000000000004</v>
      </c>
      <c r="O63" s="44">
        <f t="shared" si="12"/>
        <v>59.2</v>
      </c>
      <c r="P63" s="44">
        <f t="shared" si="12"/>
        <v>11.91</v>
      </c>
      <c r="Q63" s="54">
        <f t="shared" si="12"/>
        <v>9.9999999999999991E-22</v>
      </c>
      <c r="R63" s="54">
        <f t="shared" si="12"/>
        <v>9.9999999999999995E-8</v>
      </c>
      <c r="S63" s="54">
        <f t="shared" si="12"/>
        <v>100000000000000</v>
      </c>
      <c r="T63" s="54">
        <f t="shared" si="12"/>
        <v>8.3500000000000002E-25</v>
      </c>
      <c r="U63" s="54">
        <f t="shared" si="12"/>
        <v>8.9579999999999996E-6</v>
      </c>
      <c r="V63" s="54">
        <f t="shared" si="12"/>
        <v>1.072E+19</v>
      </c>
    </row>
    <row r="64" spans="2:25" ht="15.75">
      <c r="B64" s="48" t="s">
        <v>26</v>
      </c>
      <c r="C64" s="355"/>
      <c r="D64" s="71" t="s">
        <v>69</v>
      </c>
      <c r="E64" s="69">
        <f t="shared" ref="E64:M64" si="13">E13</f>
        <v>25.633333333333336</v>
      </c>
      <c r="F64" s="70">
        <f t="shared" si="13"/>
        <v>3</v>
      </c>
      <c r="G64" s="70">
        <f t="shared" si="13"/>
        <v>1</v>
      </c>
      <c r="H64" s="70">
        <f t="shared" si="13"/>
        <v>0</v>
      </c>
      <c r="I64" s="70">
        <f t="shared" si="13"/>
        <v>0</v>
      </c>
      <c r="J64" s="70">
        <f t="shared" si="13"/>
        <v>0</v>
      </c>
      <c r="K64" s="70">
        <f t="shared" si="13"/>
        <v>1.5</v>
      </c>
      <c r="L64" s="70">
        <f t="shared" si="13"/>
        <v>0</v>
      </c>
      <c r="M64" s="70">
        <f t="shared" si="13"/>
        <v>0.5</v>
      </c>
      <c r="N64" s="55">
        <f t="shared" ref="N64:V64" si="14">N10</f>
        <v>0.78900000000000003</v>
      </c>
      <c r="O64" s="44">
        <f t="shared" si="14"/>
        <v>60.7</v>
      </c>
      <c r="P64" s="44">
        <f t="shared" si="14"/>
        <v>12.09</v>
      </c>
      <c r="Q64" s="54">
        <f t="shared" si="14"/>
        <v>9.9999999999999998E-20</v>
      </c>
      <c r="R64" s="54">
        <f t="shared" si="14"/>
        <v>9.9999999999999995E-8</v>
      </c>
      <c r="S64" s="54">
        <f t="shared" si="14"/>
        <v>1000000000000</v>
      </c>
      <c r="T64" s="54">
        <f t="shared" si="14"/>
        <v>2.24E-20</v>
      </c>
      <c r="U64" s="54">
        <f t="shared" si="14"/>
        <v>8.1699999999999997E-6</v>
      </c>
      <c r="V64" s="54">
        <f t="shared" si="14"/>
        <v>345000000000000</v>
      </c>
    </row>
    <row r="65" spans="2:22" ht="15.75">
      <c r="B65" s="48" t="s">
        <v>20</v>
      </c>
      <c r="C65" s="355"/>
      <c r="D65" s="72" t="s">
        <v>70</v>
      </c>
      <c r="E65" s="69">
        <f t="shared" ref="E65:M65" si="15">E10</f>
        <v>31.966666666666669</v>
      </c>
      <c r="F65" s="70">
        <f t="shared" si="15"/>
        <v>3</v>
      </c>
      <c r="G65" s="70">
        <f t="shared" si="15"/>
        <v>1</v>
      </c>
      <c r="H65" s="70">
        <f t="shared" si="15"/>
        <v>0</v>
      </c>
      <c r="I65" s="70">
        <f t="shared" si="15"/>
        <v>0</v>
      </c>
      <c r="J65" s="70">
        <f t="shared" si="15"/>
        <v>1</v>
      </c>
      <c r="K65" s="70">
        <f t="shared" si="15"/>
        <v>0</v>
      </c>
      <c r="L65" s="70">
        <f t="shared" si="15"/>
        <v>0</v>
      </c>
      <c r="M65" s="70">
        <f t="shared" si="15"/>
        <v>1</v>
      </c>
      <c r="N65" s="55">
        <f t="shared" ref="N65:V65" si="16">N11</f>
        <v>0.80730000000000002</v>
      </c>
      <c r="O65" s="44">
        <f t="shared" si="16"/>
        <v>59.7</v>
      </c>
      <c r="P65" s="44">
        <f t="shared" si="16"/>
        <v>11.91</v>
      </c>
      <c r="Q65" s="54">
        <f t="shared" si="16"/>
        <v>9.9999999999999998E-20</v>
      </c>
      <c r="R65" s="54">
        <f t="shared" si="16"/>
        <v>9.9999999999999995E-8</v>
      </c>
      <c r="S65" s="54">
        <f t="shared" si="16"/>
        <v>1000000000000</v>
      </c>
      <c r="T65" s="54">
        <f t="shared" si="16"/>
        <v>2.5699999999999999E-20</v>
      </c>
      <c r="U65" s="54">
        <f t="shared" si="16"/>
        <v>5.1399999999999999E-6</v>
      </c>
      <c r="V65" s="54">
        <f t="shared" si="16"/>
        <v>199500000000000</v>
      </c>
    </row>
    <row r="66" spans="2:22">
      <c r="C66" s="355"/>
      <c r="D66" s="71" t="s">
        <v>71</v>
      </c>
      <c r="E66" s="69">
        <f t="shared" ref="E66:M66" si="17">E11</f>
        <v>43.300000000000004</v>
      </c>
      <c r="F66" s="70">
        <f t="shared" si="17"/>
        <v>3</v>
      </c>
      <c r="G66" s="70">
        <f t="shared" si="17"/>
        <v>1</v>
      </c>
      <c r="H66" s="70">
        <f t="shared" si="17"/>
        <v>0</v>
      </c>
      <c r="I66" s="70">
        <f t="shared" si="17"/>
        <v>0</v>
      </c>
      <c r="J66" s="70">
        <f t="shared" si="17"/>
        <v>0.5</v>
      </c>
      <c r="K66" s="70">
        <f t="shared" si="17"/>
        <v>0</v>
      </c>
      <c r="L66" s="70">
        <f t="shared" si="17"/>
        <v>0</v>
      </c>
      <c r="M66" s="70">
        <f t="shared" si="17"/>
        <v>1.5</v>
      </c>
      <c r="N66" s="55">
        <f t="shared" ref="N66:V66" si="18">N15</f>
        <v>0.99099999999999999</v>
      </c>
      <c r="O66" s="44">
        <f t="shared" si="18"/>
        <v>57.8</v>
      </c>
      <c r="P66" s="44">
        <f t="shared" si="18"/>
        <v>7.39</v>
      </c>
      <c r="Q66" s="54">
        <f t="shared" si="18"/>
        <v>9.9999999999999994E-30</v>
      </c>
      <c r="R66" s="54">
        <f t="shared" si="18"/>
        <v>9.9999999999999995E-8</v>
      </c>
      <c r="S66" s="54">
        <f t="shared" si="18"/>
        <v>1E+22</v>
      </c>
      <c r="T66" s="54">
        <f t="shared" si="18"/>
        <v>4.1599999999999999E-32</v>
      </c>
      <c r="U66" s="54">
        <f t="shared" si="18"/>
        <v>8.7099999999999996E-6</v>
      </c>
      <c r="V66" s="54">
        <f t="shared" si="18"/>
        <v>2.09E+26</v>
      </c>
    </row>
    <row r="67" spans="2:22">
      <c r="C67" s="356"/>
      <c r="D67" s="72" t="s">
        <v>72</v>
      </c>
      <c r="E67" s="69">
        <f t="shared" ref="E67:M67" si="19">E15</f>
        <v>70.333333333333329</v>
      </c>
      <c r="F67" s="70">
        <f t="shared" si="19"/>
        <v>3</v>
      </c>
      <c r="G67" s="70">
        <f t="shared" si="19"/>
        <v>0</v>
      </c>
      <c r="H67" s="70">
        <f t="shared" si="19"/>
        <v>0</v>
      </c>
      <c r="I67" s="70">
        <f t="shared" si="19"/>
        <v>0</v>
      </c>
      <c r="J67" s="70">
        <f t="shared" si="19"/>
        <v>0</v>
      </c>
      <c r="K67" s="70">
        <f t="shared" si="19"/>
        <v>0.5</v>
      </c>
      <c r="L67" s="70">
        <f t="shared" si="19"/>
        <v>0</v>
      </c>
      <c r="M67" s="70">
        <f t="shared" si="19"/>
        <v>2.5</v>
      </c>
      <c r="N67" s="55">
        <f t="shared" ref="N67:V67" si="20">N17</f>
        <v>1.0034000000000001</v>
      </c>
      <c r="O67" s="44">
        <f t="shared" si="20"/>
        <v>58.9</v>
      </c>
      <c r="P67" s="44">
        <f t="shared" si="20"/>
        <v>20.87</v>
      </c>
      <c r="Q67" s="54">
        <f t="shared" si="20"/>
        <v>1E-22</v>
      </c>
      <c r="R67" s="54">
        <f t="shared" si="20"/>
        <v>9.9999999999999995E-8</v>
      </c>
      <c r="S67" s="54">
        <f t="shared" si="20"/>
        <v>1000000000000000</v>
      </c>
      <c r="T67" s="54">
        <f t="shared" si="20"/>
        <v>4.8600000000000002E-24</v>
      </c>
      <c r="U67" s="54">
        <f t="shared" si="20"/>
        <v>6.1700000000000002E-6</v>
      </c>
      <c r="V67" s="54">
        <f t="shared" si="20"/>
        <v>1.269E+18</v>
      </c>
    </row>
    <row r="68" spans="2:22">
      <c r="D68" s="74" t="s">
        <v>20</v>
      </c>
      <c r="E68" s="69">
        <f t="shared" ref="E68:M68" si="21">E17</f>
        <v>80</v>
      </c>
      <c r="F68" s="70">
        <f t="shared" si="21"/>
        <v>3</v>
      </c>
      <c r="G68" s="70">
        <f t="shared" si="21"/>
        <v>0</v>
      </c>
      <c r="H68" s="70">
        <f t="shared" si="21"/>
        <v>0</v>
      </c>
      <c r="I68" s="70">
        <f t="shared" si="21"/>
        <v>0</v>
      </c>
      <c r="J68" s="70">
        <f t="shared" si="21"/>
        <v>0</v>
      </c>
      <c r="K68" s="70">
        <f t="shared" si="21"/>
        <v>0</v>
      </c>
      <c r="L68" s="70">
        <f t="shared" si="21"/>
        <v>0</v>
      </c>
      <c r="M68" s="70">
        <f t="shared" si="21"/>
        <v>3</v>
      </c>
      <c r="N68">
        <f>N17</f>
        <v>1.0034000000000001</v>
      </c>
      <c r="O68">
        <f>O17</f>
        <v>58.9</v>
      </c>
      <c r="P68">
        <f>P17</f>
        <v>20.87</v>
      </c>
    </row>
    <row r="101" spans="1:14" ht="15.75" thickBot="1">
      <c r="K101" s="32" t="s">
        <v>93</v>
      </c>
    </row>
    <row r="102" spans="1:14" ht="47.25">
      <c r="A102" s="56" t="s">
        <v>31</v>
      </c>
      <c r="B102" s="56" t="s">
        <v>37</v>
      </c>
      <c r="C102" s="56" t="s">
        <v>73</v>
      </c>
      <c r="D102" s="57" t="s">
        <v>62</v>
      </c>
      <c r="E102" s="57" t="s">
        <v>63</v>
      </c>
      <c r="F102" s="57" t="s">
        <v>64</v>
      </c>
      <c r="G102" s="58" t="s">
        <v>65</v>
      </c>
      <c r="H102" s="23" t="s">
        <v>59</v>
      </c>
      <c r="I102" s="23" t="s">
        <v>34</v>
      </c>
    </row>
    <row r="103" spans="1:14" ht="15.75">
      <c r="A103" s="59" t="s">
        <v>23</v>
      </c>
      <c r="B103" s="59">
        <f t="shared" ref="B103:B110" si="22">SUM(D103:G103)</f>
        <v>3</v>
      </c>
      <c r="C103" s="59"/>
      <c r="D103" s="59">
        <v>1</v>
      </c>
      <c r="E103" s="59">
        <v>1</v>
      </c>
      <c r="F103" s="59">
        <v>0</v>
      </c>
      <c r="G103" s="59">
        <v>1</v>
      </c>
      <c r="H103" s="36">
        <v>0</v>
      </c>
      <c r="I103" s="36">
        <v>1</v>
      </c>
      <c r="N103" s="66"/>
    </row>
    <row r="104" spans="1:14" ht="15.75">
      <c r="A104" s="59" t="s">
        <v>66</v>
      </c>
      <c r="B104" s="59">
        <f t="shared" si="22"/>
        <v>3</v>
      </c>
      <c r="C104" s="59"/>
      <c r="D104" s="59">
        <v>1</v>
      </c>
      <c r="E104" s="59">
        <v>0.5</v>
      </c>
      <c r="F104" s="59">
        <v>0</v>
      </c>
      <c r="G104" s="59">
        <v>1.5</v>
      </c>
      <c r="H104" s="36">
        <v>0</v>
      </c>
      <c r="I104" s="36">
        <v>1.5</v>
      </c>
      <c r="M104" s="64"/>
    </row>
    <row r="105" spans="1:14" ht="15.75">
      <c r="A105" s="59" t="s">
        <v>67</v>
      </c>
      <c r="B105" s="59">
        <f t="shared" si="22"/>
        <v>3</v>
      </c>
      <c r="C105" s="59"/>
      <c r="D105" s="59">
        <v>1.5</v>
      </c>
      <c r="E105" s="59">
        <v>1</v>
      </c>
      <c r="F105" s="59">
        <v>0</v>
      </c>
      <c r="G105" s="59">
        <v>0.5</v>
      </c>
      <c r="H105" s="36">
        <v>0</v>
      </c>
      <c r="I105" s="36">
        <v>0.5</v>
      </c>
      <c r="K105" s="63"/>
      <c r="M105" s="65"/>
    </row>
    <row r="106" spans="1:14" ht="15.75">
      <c r="A106" s="59" t="s">
        <v>68</v>
      </c>
      <c r="B106" s="59">
        <f t="shared" si="22"/>
        <v>3</v>
      </c>
      <c r="C106" s="59"/>
      <c r="D106" s="59">
        <v>1</v>
      </c>
      <c r="E106" s="59">
        <v>0</v>
      </c>
      <c r="F106" s="59">
        <v>1.5</v>
      </c>
      <c r="G106" s="59">
        <v>0.5</v>
      </c>
      <c r="H106" s="62">
        <v>0</v>
      </c>
      <c r="I106" s="62">
        <v>0.5</v>
      </c>
      <c r="J106" s="64"/>
    </row>
    <row r="107" spans="1:14" ht="15.75">
      <c r="A107" s="59" t="s">
        <v>69</v>
      </c>
      <c r="B107" s="59">
        <f t="shared" si="22"/>
        <v>3</v>
      </c>
      <c r="C107" s="59"/>
      <c r="D107" s="59">
        <v>1.5</v>
      </c>
      <c r="E107" s="59">
        <v>0</v>
      </c>
      <c r="F107" s="59">
        <v>1.5</v>
      </c>
      <c r="G107" s="59">
        <v>0</v>
      </c>
      <c r="H107" s="36">
        <v>0</v>
      </c>
      <c r="I107" s="36">
        <v>0</v>
      </c>
    </row>
    <row r="108" spans="1:14" ht="15.75">
      <c r="A108" s="59" t="s">
        <v>70</v>
      </c>
      <c r="B108" s="59">
        <f t="shared" si="22"/>
        <v>3</v>
      </c>
      <c r="C108" s="59"/>
      <c r="D108" s="59">
        <v>0</v>
      </c>
      <c r="E108" s="59">
        <v>0</v>
      </c>
      <c r="F108" s="59">
        <v>0.5</v>
      </c>
      <c r="G108" s="59">
        <v>2.5</v>
      </c>
      <c r="H108" s="36">
        <v>0</v>
      </c>
      <c r="I108" s="36">
        <v>2.5</v>
      </c>
    </row>
    <row r="109" spans="1:14" ht="15.75">
      <c r="A109" s="59" t="s">
        <v>71</v>
      </c>
      <c r="B109" s="59">
        <f t="shared" si="22"/>
        <v>3</v>
      </c>
      <c r="C109" s="59"/>
      <c r="D109" s="59">
        <v>2</v>
      </c>
      <c r="E109" s="59">
        <v>0</v>
      </c>
      <c r="F109" s="59">
        <v>1</v>
      </c>
      <c r="G109" s="59">
        <v>0</v>
      </c>
      <c r="H109" s="36">
        <v>0</v>
      </c>
      <c r="I109" s="36">
        <v>0</v>
      </c>
    </row>
    <row r="110" spans="1:14" ht="16.5" thickBot="1">
      <c r="A110" s="60" t="s">
        <v>72</v>
      </c>
      <c r="B110" s="60">
        <f t="shared" si="22"/>
        <v>3</v>
      </c>
      <c r="C110" s="60"/>
      <c r="D110" s="60">
        <v>0</v>
      </c>
      <c r="E110" s="60">
        <v>0</v>
      </c>
      <c r="F110" s="60">
        <v>0</v>
      </c>
      <c r="G110" s="60">
        <v>3</v>
      </c>
      <c r="H110" s="36">
        <f>-H263</f>
        <v>0</v>
      </c>
      <c r="I110" s="36">
        <v>3</v>
      </c>
    </row>
    <row r="111" spans="1:14" ht="15.75">
      <c r="A111" s="61" t="s">
        <v>20</v>
      </c>
    </row>
  </sheetData>
  <mergeCells count="1">
    <mergeCell ref="C61:C67"/>
  </mergeCell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50"/>
  <sheetViews>
    <sheetView zoomScale="75" zoomScaleNormal="130" workbookViewId="0">
      <selection activeCell="C3" sqref="C3:D9"/>
    </sheetView>
  </sheetViews>
  <sheetFormatPr defaultRowHeight="15"/>
  <cols>
    <col min="1" max="1" width="13.140625" bestFit="1" customWidth="1"/>
    <col min="2" max="2" width="14.42578125" customWidth="1"/>
    <col min="3" max="3" width="9.42578125" bestFit="1" customWidth="1"/>
    <col min="4" max="4" width="14.28515625" bestFit="1" customWidth="1"/>
    <col min="5" max="5" width="17.42578125" bestFit="1" customWidth="1"/>
    <col min="6" max="6" width="12.7109375" customWidth="1"/>
    <col min="7" max="7" width="11.28515625" style="2" customWidth="1"/>
    <col min="8" max="10" width="13.5703125" style="2" customWidth="1"/>
    <col min="11" max="11" width="11.28515625" style="2" customWidth="1"/>
    <col min="12" max="13" width="13.5703125" style="2" customWidth="1"/>
    <col min="14" max="14" width="11.42578125" bestFit="1" customWidth="1"/>
    <col min="15" max="15" width="11.7109375" bestFit="1" customWidth="1"/>
    <col min="16" max="16" width="12.140625" bestFit="1" customWidth="1"/>
    <col min="17" max="17" width="9.7109375" bestFit="1" customWidth="1"/>
    <col min="18" max="18" width="14.42578125" customWidth="1"/>
    <col min="19" max="19" width="20.42578125" bestFit="1" customWidth="1"/>
    <col min="20" max="20" width="13.28515625" bestFit="1" customWidth="1"/>
    <col min="21" max="21" width="12.140625" bestFit="1" customWidth="1"/>
    <col min="22" max="22" width="21.5703125" bestFit="1" customWidth="1"/>
    <col min="23" max="23" width="44.140625" bestFit="1" customWidth="1"/>
    <col min="24" max="24" width="39" customWidth="1"/>
    <col min="32" max="34" width="9" bestFit="1" customWidth="1"/>
  </cols>
  <sheetData>
    <row r="1" spans="1:34" ht="15.75">
      <c r="B1" s="22"/>
      <c r="C1" s="22"/>
      <c r="D1" s="22"/>
      <c r="E1" s="22"/>
      <c r="F1" s="22"/>
      <c r="G1" s="23" t="s">
        <v>23</v>
      </c>
      <c r="H1" s="23" t="s">
        <v>25</v>
      </c>
      <c r="I1" s="23"/>
      <c r="J1" s="23"/>
      <c r="K1" s="23"/>
      <c r="L1" s="23"/>
      <c r="M1" s="23" t="s">
        <v>34</v>
      </c>
      <c r="N1" s="24" t="s">
        <v>10</v>
      </c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34" s="6" customFormat="1" ht="63">
      <c r="A2" s="6" t="s">
        <v>114</v>
      </c>
      <c r="B2" s="23" t="s">
        <v>127</v>
      </c>
      <c r="C2" s="23" t="s">
        <v>27</v>
      </c>
      <c r="D2" s="23" t="s">
        <v>24</v>
      </c>
      <c r="E2" s="23" t="s">
        <v>38</v>
      </c>
      <c r="F2" s="25" t="s">
        <v>37</v>
      </c>
      <c r="G2" s="23" t="s">
        <v>13</v>
      </c>
      <c r="H2" s="23" t="s">
        <v>40</v>
      </c>
      <c r="I2" s="23" t="s">
        <v>39</v>
      </c>
      <c r="J2" s="23" t="s">
        <v>33</v>
      </c>
      <c r="K2" s="23" t="s">
        <v>14</v>
      </c>
      <c r="L2" s="23" t="s">
        <v>139</v>
      </c>
      <c r="M2" s="23" t="s">
        <v>34</v>
      </c>
      <c r="N2" s="25" t="s">
        <v>91</v>
      </c>
      <c r="O2" s="25" t="s">
        <v>96</v>
      </c>
      <c r="P2" s="25" t="s">
        <v>60</v>
      </c>
      <c r="Q2" s="23" t="s">
        <v>12</v>
      </c>
      <c r="R2" s="23" t="s">
        <v>3</v>
      </c>
      <c r="S2" s="25" t="s">
        <v>95</v>
      </c>
      <c r="T2" s="25" t="s">
        <v>90</v>
      </c>
      <c r="U2" s="25" t="s">
        <v>87</v>
      </c>
      <c r="V2" s="23" t="s">
        <v>7</v>
      </c>
      <c r="W2" s="43" t="s">
        <v>52</v>
      </c>
      <c r="X2" s="12" t="s">
        <v>100</v>
      </c>
      <c r="Y2" s="12"/>
    </row>
    <row r="3" spans="1:34" s="46" customFormat="1" ht="15.75">
      <c r="A3" s="77" t="s">
        <v>113</v>
      </c>
      <c r="B3" s="47" t="s">
        <v>128</v>
      </c>
      <c r="C3" s="48" t="s">
        <v>23</v>
      </c>
      <c r="D3" s="48">
        <v>3.9</v>
      </c>
      <c r="E3" s="48">
        <v>3.9</v>
      </c>
      <c r="F3" s="47">
        <f t="shared" ref="F3:F13" si="0">SUM(G3:M3)</f>
        <v>3</v>
      </c>
      <c r="G3" s="49">
        <v>3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0.51790000000000003</v>
      </c>
      <c r="O3" s="49">
        <v>71.3</v>
      </c>
      <c r="P3" s="49">
        <v>57.74</v>
      </c>
      <c r="Q3" s="50">
        <v>1E-14</v>
      </c>
      <c r="R3" s="51">
        <v>9.9999999999999995E-8</v>
      </c>
      <c r="S3" s="50">
        <v>10000000</v>
      </c>
      <c r="T3" s="50">
        <v>1.505E-15</v>
      </c>
      <c r="U3" s="50">
        <v>1.5650000000000001E-5</v>
      </c>
      <c r="V3" s="50">
        <v>10400000000</v>
      </c>
      <c r="W3" s="52" t="s">
        <v>41</v>
      </c>
      <c r="X3" s="32"/>
      <c r="Y3" s="52"/>
      <c r="AF3" s="46">
        <v>1</v>
      </c>
      <c r="AG3" s="46">
        <v>1</v>
      </c>
      <c r="AH3" s="46">
        <v>1</v>
      </c>
    </row>
    <row r="4" spans="1:34" s="46" customFormat="1" ht="15.75">
      <c r="A4" s="77" t="s">
        <v>113</v>
      </c>
      <c r="B4" s="47" t="s">
        <v>128</v>
      </c>
      <c r="C4" s="48" t="s">
        <v>28</v>
      </c>
      <c r="D4" s="48">
        <v>7.5</v>
      </c>
      <c r="E4" s="48">
        <v>7.5</v>
      </c>
      <c r="F4" s="47">
        <f t="shared" si="0"/>
        <v>3</v>
      </c>
      <c r="G4" s="49">
        <v>0</v>
      </c>
      <c r="H4" s="49">
        <v>3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0.748</v>
      </c>
      <c r="O4" s="49">
        <v>64.400000000000006</v>
      </c>
      <c r="P4" s="49">
        <v>38.61</v>
      </c>
      <c r="Q4" s="50">
        <v>1.0000000000000001E-18</v>
      </c>
      <c r="R4" s="51">
        <v>9.9999999999999995E-8</v>
      </c>
      <c r="S4" s="50">
        <v>100000000000</v>
      </c>
      <c r="T4" s="50">
        <v>5.6499999999999998E-19</v>
      </c>
      <c r="U4" s="50">
        <v>1.2799999999999999E-5</v>
      </c>
      <c r="V4" s="50">
        <v>22600000000000</v>
      </c>
      <c r="W4" s="52" t="s">
        <v>42</v>
      </c>
      <c r="X4" s="12" t="s">
        <v>119</v>
      </c>
      <c r="Y4" s="52"/>
      <c r="AF4" s="46">
        <v>2</v>
      </c>
      <c r="AG4" s="46">
        <v>1</v>
      </c>
      <c r="AH4" s="46">
        <v>1</v>
      </c>
    </row>
    <row r="5" spans="1:34" s="53" customFormat="1" ht="15.75">
      <c r="A5" s="77" t="s">
        <v>113</v>
      </c>
      <c r="B5" s="47" t="s">
        <v>128</v>
      </c>
      <c r="C5" s="48" t="s">
        <v>39</v>
      </c>
      <c r="D5" s="48">
        <v>12</v>
      </c>
      <c r="E5" s="48">
        <v>12</v>
      </c>
      <c r="F5" s="47">
        <f t="shared" si="0"/>
        <v>3</v>
      </c>
      <c r="G5" s="49">
        <v>0</v>
      </c>
      <c r="H5" s="49">
        <v>0</v>
      </c>
      <c r="I5" s="49">
        <v>3</v>
      </c>
      <c r="J5" s="49">
        <v>0</v>
      </c>
      <c r="K5" s="49">
        <v>0</v>
      </c>
      <c r="L5" s="49">
        <v>0</v>
      </c>
      <c r="M5" s="49">
        <v>0</v>
      </c>
      <c r="N5" s="49">
        <v>0.85229999999999995</v>
      </c>
      <c r="O5" s="49">
        <v>60.4</v>
      </c>
      <c r="P5" s="49">
        <v>31.57</v>
      </c>
      <c r="Q5" s="50">
        <v>9.9999999999999998E-20</v>
      </c>
      <c r="R5" s="51">
        <v>9.9999999999999995E-8</v>
      </c>
      <c r="S5" s="50">
        <v>1000000000000</v>
      </c>
      <c r="T5" s="50">
        <v>1.283E-20</v>
      </c>
      <c r="U5" s="50">
        <v>8.8170000000000005E-6</v>
      </c>
      <c r="V5" s="50">
        <v>686000000000000</v>
      </c>
      <c r="W5" s="52" t="s">
        <v>43</v>
      </c>
      <c r="X5" s="12" t="s">
        <v>120</v>
      </c>
      <c r="Y5" s="52"/>
      <c r="AF5" s="53">
        <v>3</v>
      </c>
      <c r="AG5" s="53">
        <v>1</v>
      </c>
      <c r="AH5" s="53">
        <v>1</v>
      </c>
    </row>
    <row r="6" spans="1:34" s="53" customFormat="1" ht="15.75">
      <c r="A6" s="77" t="s">
        <v>113</v>
      </c>
      <c r="B6" s="47" t="s">
        <v>128</v>
      </c>
      <c r="C6" s="48" t="s">
        <v>25</v>
      </c>
      <c r="D6" s="48">
        <v>12</v>
      </c>
      <c r="E6" s="48">
        <v>12</v>
      </c>
      <c r="F6" s="47">
        <f t="shared" si="0"/>
        <v>3</v>
      </c>
      <c r="G6" s="49">
        <v>0</v>
      </c>
      <c r="H6" s="49">
        <v>0</v>
      </c>
      <c r="I6" s="49">
        <v>0</v>
      </c>
      <c r="J6" s="49">
        <v>3</v>
      </c>
      <c r="K6" s="49">
        <v>0</v>
      </c>
      <c r="L6" s="49">
        <v>0</v>
      </c>
      <c r="M6" s="49">
        <v>0</v>
      </c>
      <c r="N6" s="49">
        <v>0.85229999999999995</v>
      </c>
      <c r="O6" s="49">
        <v>60.4</v>
      </c>
      <c r="P6" s="49">
        <v>31.57</v>
      </c>
      <c r="Q6" s="50">
        <v>9.9999999999999998E-20</v>
      </c>
      <c r="R6" s="51">
        <v>9.9999999999999995E-8</v>
      </c>
      <c r="S6" s="50">
        <v>1000000000000</v>
      </c>
      <c r="T6" s="50">
        <v>1.283E-20</v>
      </c>
      <c r="U6" s="50">
        <v>8.8170000000000005E-6</v>
      </c>
      <c r="V6" s="50">
        <v>686000000000000</v>
      </c>
      <c r="W6" s="52" t="s">
        <v>44</v>
      </c>
      <c r="X6" s="12" t="s">
        <v>121</v>
      </c>
      <c r="Y6" s="52"/>
    </row>
    <row r="7" spans="1:34" s="46" customFormat="1" ht="15.75">
      <c r="A7" s="77" t="s">
        <v>113</v>
      </c>
      <c r="B7" s="47" t="s">
        <v>128</v>
      </c>
      <c r="C7" s="48" t="s">
        <v>21</v>
      </c>
      <c r="D7" s="48">
        <v>22</v>
      </c>
      <c r="E7" s="48">
        <v>22</v>
      </c>
      <c r="F7" s="47">
        <f t="shared" si="0"/>
        <v>3</v>
      </c>
      <c r="G7" s="49">
        <v>0</v>
      </c>
      <c r="H7" s="49">
        <v>0</v>
      </c>
      <c r="I7" s="49">
        <v>0</v>
      </c>
      <c r="J7" s="49">
        <v>0</v>
      </c>
      <c r="K7" s="49">
        <v>3</v>
      </c>
      <c r="L7" s="49">
        <v>0</v>
      </c>
      <c r="M7" s="49">
        <v>0</v>
      </c>
      <c r="N7" s="49">
        <v>0.92500000000000004</v>
      </c>
      <c r="O7" s="49">
        <v>58.1</v>
      </c>
      <c r="P7" s="49">
        <v>19.829999999999998</v>
      </c>
      <c r="Q7" s="50">
        <v>9.9999999999999991E-22</v>
      </c>
      <c r="R7" s="51">
        <v>9.9999999999999995E-8</v>
      </c>
      <c r="S7" s="50">
        <v>100000000000000</v>
      </c>
      <c r="T7" s="50">
        <v>4.6599999999999996E-22</v>
      </c>
      <c r="U7" s="50">
        <v>6.1727999999999996E-6</v>
      </c>
      <c r="V7" s="50">
        <v>1.32E+16</v>
      </c>
      <c r="W7" s="52" t="s">
        <v>45</v>
      </c>
      <c r="X7" s="12" t="s">
        <v>122</v>
      </c>
      <c r="Y7" s="52"/>
      <c r="AF7" s="46">
        <v>1</v>
      </c>
      <c r="AG7" s="46">
        <v>1</v>
      </c>
      <c r="AH7" s="46">
        <v>1</v>
      </c>
    </row>
    <row r="8" spans="1:34" s="46" customFormat="1" ht="15.75">
      <c r="A8" s="77" t="s">
        <v>113</v>
      </c>
      <c r="B8" s="47" t="s">
        <v>128</v>
      </c>
      <c r="C8" s="48" t="s">
        <v>26</v>
      </c>
      <c r="D8" s="48">
        <v>27</v>
      </c>
      <c r="E8" s="48"/>
      <c r="F8" s="47">
        <f t="shared" si="0"/>
        <v>3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3</v>
      </c>
      <c r="M8" s="49">
        <v>0</v>
      </c>
      <c r="N8" s="49">
        <v>0.94210000000000005</v>
      </c>
      <c r="O8" s="49">
        <v>57.9</v>
      </c>
      <c r="P8" s="49">
        <v>26.35</v>
      </c>
      <c r="Q8" s="50">
        <v>9.9999999999999991E-22</v>
      </c>
      <c r="R8" s="51">
        <v>9.9999999999999995E-8</v>
      </c>
      <c r="S8" s="50">
        <v>100000000000000</v>
      </c>
      <c r="T8" s="50">
        <v>3.3900000000000001E-22</v>
      </c>
      <c r="U8" s="50">
        <v>1.06E-5</v>
      </c>
      <c r="V8" s="50">
        <v>3.1294E+16</v>
      </c>
      <c r="W8" s="52" t="s">
        <v>47</v>
      </c>
      <c r="X8" s="12" t="s">
        <v>111</v>
      </c>
      <c r="Y8" s="52"/>
      <c r="AF8" s="46">
        <v>1</v>
      </c>
      <c r="AG8" s="46">
        <v>2</v>
      </c>
      <c r="AH8" s="46">
        <v>1</v>
      </c>
    </row>
    <row r="9" spans="1:34" s="53" customFormat="1" ht="15.75">
      <c r="A9" s="77" t="s">
        <v>113</v>
      </c>
      <c r="B9" s="47" t="s">
        <v>128</v>
      </c>
      <c r="C9" s="48" t="s">
        <v>20</v>
      </c>
      <c r="D9" s="48">
        <v>80</v>
      </c>
      <c r="E9" s="48"/>
      <c r="F9" s="47">
        <f t="shared" si="0"/>
        <v>3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3</v>
      </c>
      <c r="N9" s="49">
        <v>1.0034000000000001</v>
      </c>
      <c r="O9" s="49">
        <v>58.9</v>
      </c>
      <c r="P9" s="49">
        <v>20.87</v>
      </c>
      <c r="Q9" s="50">
        <v>1E-22</v>
      </c>
      <c r="R9" s="51">
        <v>9.9999999999999995E-8</v>
      </c>
      <c r="S9" s="50">
        <v>1000000000000000</v>
      </c>
      <c r="T9" s="50">
        <v>4.8600000000000002E-24</v>
      </c>
      <c r="U9" s="50">
        <v>6.1700000000000002E-6</v>
      </c>
      <c r="V9" s="50">
        <v>1.269E+18</v>
      </c>
      <c r="W9" s="52" t="s">
        <v>48</v>
      </c>
      <c r="X9" s="12" t="s">
        <v>49</v>
      </c>
      <c r="Y9" s="52"/>
      <c r="AF9" s="53">
        <v>1</v>
      </c>
      <c r="AG9" s="53">
        <v>3</v>
      </c>
      <c r="AH9" s="53">
        <v>1</v>
      </c>
    </row>
    <row r="10" spans="1:34" s="40" customFormat="1" ht="15.75">
      <c r="A10" s="77" t="s">
        <v>113</v>
      </c>
      <c r="B10" s="35" t="s">
        <v>23</v>
      </c>
      <c r="C10" s="36" t="s">
        <v>31</v>
      </c>
      <c r="D10" s="40" t="s">
        <v>25</v>
      </c>
      <c r="E10" s="31">
        <f>($D$3*G10+$D$6*J10+$D$9*M10)/F10</f>
        <v>31.966666666666669</v>
      </c>
      <c r="F10" s="35">
        <f t="shared" si="0"/>
        <v>3</v>
      </c>
      <c r="G10" s="36">
        <v>1</v>
      </c>
      <c r="H10" s="36">
        <v>0</v>
      </c>
      <c r="I10" s="36">
        <v>0</v>
      </c>
      <c r="J10" s="36">
        <v>1</v>
      </c>
      <c r="K10" s="36">
        <v>0</v>
      </c>
      <c r="L10" s="36">
        <v>0</v>
      </c>
      <c r="M10" s="36">
        <v>1</v>
      </c>
      <c r="N10" s="36">
        <v>0.78900000000000003</v>
      </c>
      <c r="O10" s="36">
        <v>60.7</v>
      </c>
      <c r="P10" s="36">
        <v>12.09</v>
      </c>
      <c r="Q10" s="37">
        <v>9.9999999999999998E-20</v>
      </c>
      <c r="R10" s="38">
        <v>9.9999999999999995E-8</v>
      </c>
      <c r="S10" s="37">
        <v>1000000000000</v>
      </c>
      <c r="T10" s="37">
        <v>2.24E-20</v>
      </c>
      <c r="U10" s="37">
        <v>8.1699999999999997E-6</v>
      </c>
      <c r="V10" s="37">
        <v>345000000000000</v>
      </c>
      <c r="W10" s="12" t="s">
        <v>51</v>
      </c>
      <c r="X10" s="12" t="s">
        <v>112</v>
      </c>
      <c r="Y10" s="39"/>
      <c r="AF10" s="40">
        <v>1</v>
      </c>
      <c r="AG10" s="40">
        <v>1</v>
      </c>
      <c r="AH10" s="40">
        <v>1</v>
      </c>
    </row>
    <row r="11" spans="1:34" s="40" customFormat="1" ht="15.75">
      <c r="A11" s="77" t="s">
        <v>113</v>
      </c>
      <c r="B11" s="35" t="s">
        <v>23</v>
      </c>
      <c r="C11" s="36" t="s">
        <v>31</v>
      </c>
      <c r="D11" s="40" t="s">
        <v>25</v>
      </c>
      <c r="E11" s="31">
        <f>($D$3*G11+$D$6*J11+$D$9*M11)/F11</f>
        <v>43.300000000000004</v>
      </c>
      <c r="F11" s="35">
        <f t="shared" si="0"/>
        <v>3</v>
      </c>
      <c r="G11" s="36">
        <v>1</v>
      </c>
      <c r="H11" s="36">
        <v>0</v>
      </c>
      <c r="I11" s="36">
        <v>0</v>
      </c>
      <c r="J11" s="36">
        <v>0.5</v>
      </c>
      <c r="K11" s="36">
        <v>0</v>
      </c>
      <c r="L11" s="36">
        <v>0</v>
      </c>
      <c r="M11" s="36">
        <v>1.5</v>
      </c>
      <c r="N11" s="36">
        <v>0.80730000000000002</v>
      </c>
      <c r="O11" s="36">
        <v>59.7</v>
      </c>
      <c r="P11" s="36">
        <v>11.91</v>
      </c>
      <c r="Q11" s="37">
        <v>9.9999999999999998E-20</v>
      </c>
      <c r="R11" s="38">
        <v>9.9999999999999995E-8</v>
      </c>
      <c r="S11" s="37">
        <v>1000000000000</v>
      </c>
      <c r="T11" s="37">
        <v>2.5699999999999999E-20</v>
      </c>
      <c r="U11" s="37">
        <v>5.1399999999999999E-6</v>
      </c>
      <c r="V11" s="37">
        <v>199500000000000</v>
      </c>
      <c r="W11" s="12" t="s">
        <v>50</v>
      </c>
      <c r="X11" s="12" t="s">
        <v>123</v>
      </c>
      <c r="Y11" s="39"/>
      <c r="AF11" s="40">
        <v>1</v>
      </c>
      <c r="AG11" s="40">
        <v>1</v>
      </c>
      <c r="AH11" s="40">
        <v>2</v>
      </c>
    </row>
    <row r="12" spans="1:34" s="40" customFormat="1" ht="15.75">
      <c r="A12" s="77" t="s">
        <v>113</v>
      </c>
      <c r="B12" s="35" t="s">
        <v>23</v>
      </c>
      <c r="C12" s="36" t="s">
        <v>31</v>
      </c>
      <c r="D12" s="40" t="s">
        <v>25</v>
      </c>
      <c r="E12" s="31">
        <f>($D$3*G12+$D$6*J12+$D$9*M12)/F12</f>
        <v>19.283333333333335</v>
      </c>
      <c r="F12" s="35">
        <f t="shared" si="0"/>
        <v>3</v>
      </c>
      <c r="G12" s="36">
        <v>1.5</v>
      </c>
      <c r="H12" s="36">
        <v>0</v>
      </c>
      <c r="I12" s="36">
        <v>0</v>
      </c>
      <c r="J12" s="36">
        <v>1</v>
      </c>
      <c r="K12" s="36">
        <v>0</v>
      </c>
      <c r="L12" s="36">
        <v>0</v>
      </c>
      <c r="M12" s="36">
        <v>0.5</v>
      </c>
      <c r="N12" s="36">
        <v>0.86750000000000005</v>
      </c>
      <c r="O12" s="36">
        <v>59</v>
      </c>
      <c r="P12" s="36">
        <v>12.35</v>
      </c>
      <c r="Q12" s="37">
        <v>9.9999999999999995E-21</v>
      </c>
      <c r="R12" s="38">
        <v>9.9999999999999995E-8</v>
      </c>
      <c r="S12" s="37">
        <v>10000000000000</v>
      </c>
      <c r="T12" s="37">
        <v>1.01E-21</v>
      </c>
      <c r="U12" s="37">
        <v>1.6200000000000001E-5</v>
      </c>
      <c r="V12" s="37">
        <v>1.604E+16</v>
      </c>
      <c r="W12" s="12" t="s">
        <v>53</v>
      </c>
      <c r="X12" s="12" t="s">
        <v>124</v>
      </c>
      <c r="Y12" s="39"/>
      <c r="AF12" s="40">
        <v>1</v>
      </c>
      <c r="AG12" s="40">
        <v>1</v>
      </c>
      <c r="AH12" s="40">
        <v>3</v>
      </c>
    </row>
    <row r="13" spans="1:34" s="40" customFormat="1" ht="15.75">
      <c r="A13" s="77" t="s">
        <v>113</v>
      </c>
      <c r="B13" s="35" t="s">
        <v>23</v>
      </c>
      <c r="C13" s="36" t="s">
        <v>31</v>
      </c>
      <c r="D13" s="40" t="s">
        <v>21</v>
      </c>
      <c r="E13" s="31">
        <f>($D$3*G13+$D$7*K13+$D$9*M13)/F13</f>
        <v>25.633333333333336</v>
      </c>
      <c r="F13" s="35">
        <f t="shared" si="0"/>
        <v>3</v>
      </c>
      <c r="G13" s="36">
        <v>1</v>
      </c>
      <c r="H13" s="36">
        <v>0</v>
      </c>
      <c r="I13" s="36">
        <v>0</v>
      </c>
      <c r="J13" s="36">
        <v>0</v>
      </c>
      <c r="K13" s="36">
        <v>1.5</v>
      </c>
      <c r="L13" s="36">
        <v>0</v>
      </c>
      <c r="M13" s="36">
        <v>0.5</v>
      </c>
      <c r="N13" s="36">
        <v>0.88070000000000004</v>
      </c>
      <c r="O13" s="36">
        <v>59.2</v>
      </c>
      <c r="P13" s="36">
        <v>11.91</v>
      </c>
      <c r="Q13" s="37">
        <v>9.9999999999999991E-22</v>
      </c>
      <c r="R13" s="38">
        <v>9.9999999999999995E-8</v>
      </c>
      <c r="S13" s="37">
        <v>100000000000000</v>
      </c>
      <c r="T13" s="37">
        <v>8.3500000000000002E-25</v>
      </c>
      <c r="U13" s="37">
        <v>8.9579999999999996E-6</v>
      </c>
      <c r="V13" s="37">
        <v>1.072E+19</v>
      </c>
      <c r="W13" s="12" t="s">
        <v>54</v>
      </c>
      <c r="X13" s="12" t="s">
        <v>125</v>
      </c>
      <c r="Y13" s="39"/>
    </row>
    <row r="14" spans="1:34" s="40" customFormat="1" ht="15.75">
      <c r="A14" s="77" t="s">
        <v>113</v>
      </c>
      <c r="B14" s="35" t="s">
        <v>23</v>
      </c>
      <c r="C14" s="36" t="s">
        <v>31</v>
      </c>
      <c r="D14" s="40" t="s">
        <v>21</v>
      </c>
      <c r="E14" s="31">
        <f>($D$3*G14+$D$7*K14+$D$9*M14)/F14</f>
        <v>12.950000000000001</v>
      </c>
      <c r="F14" s="35">
        <f>SUM(G14:M14)</f>
        <v>3</v>
      </c>
      <c r="G14" s="36">
        <v>1.5</v>
      </c>
      <c r="H14" s="36">
        <v>0</v>
      </c>
      <c r="I14" s="36">
        <v>0</v>
      </c>
      <c r="J14" s="36">
        <v>0</v>
      </c>
      <c r="K14" s="36">
        <v>1.5</v>
      </c>
      <c r="L14" s="36">
        <v>0</v>
      </c>
      <c r="M14" s="36">
        <v>0</v>
      </c>
      <c r="N14" s="36">
        <v>0.73240000000000005</v>
      </c>
      <c r="O14" s="36">
        <v>63</v>
      </c>
      <c r="P14" s="36">
        <v>22.78</v>
      </c>
      <c r="Q14" s="37">
        <v>1.0000000000000001E-17</v>
      </c>
      <c r="R14" s="38">
        <v>9.9999999999999995E-8</v>
      </c>
      <c r="S14" s="37">
        <v>10000000000</v>
      </c>
      <c r="T14" s="37">
        <v>1.086E-18</v>
      </c>
      <c r="U14" s="37">
        <v>2.12E-5</v>
      </c>
      <c r="V14" s="37">
        <v>19500000000000</v>
      </c>
      <c r="W14" s="12" t="s">
        <v>55</v>
      </c>
      <c r="X14" s="12"/>
      <c r="Y14" s="39"/>
    </row>
    <row r="15" spans="1:34" s="40" customFormat="1" ht="15.75">
      <c r="A15" s="77" t="s">
        <v>113</v>
      </c>
      <c r="B15" s="35" t="s">
        <v>23</v>
      </c>
      <c r="C15" s="36" t="s">
        <v>31</v>
      </c>
      <c r="D15" s="40" t="s">
        <v>21</v>
      </c>
      <c r="E15" s="31">
        <f>($D$3*G15+$D$7*K15+$D$9*M15)/F15</f>
        <v>70.333333333333329</v>
      </c>
      <c r="F15" s="35">
        <f>SUM(G15:M15)</f>
        <v>3</v>
      </c>
      <c r="G15" s="36">
        <v>0</v>
      </c>
      <c r="H15" s="36">
        <v>0</v>
      </c>
      <c r="I15" s="36">
        <v>0</v>
      </c>
      <c r="J15" s="36">
        <v>0</v>
      </c>
      <c r="K15" s="36">
        <v>0.5</v>
      </c>
      <c r="L15" s="36">
        <v>0</v>
      </c>
      <c r="M15" s="36">
        <v>2.5</v>
      </c>
      <c r="N15" s="36">
        <v>0.99099999999999999</v>
      </c>
      <c r="O15" s="36">
        <v>57.8</v>
      </c>
      <c r="P15" s="36">
        <v>7.39</v>
      </c>
      <c r="Q15" s="37">
        <v>9.9999999999999994E-30</v>
      </c>
      <c r="R15" s="38">
        <v>9.9999999999999995E-8</v>
      </c>
      <c r="S15" s="37">
        <v>1E+22</v>
      </c>
      <c r="T15" s="37">
        <v>4.1599999999999999E-32</v>
      </c>
      <c r="U15" s="37">
        <v>8.7099999999999996E-6</v>
      </c>
      <c r="V15" s="37">
        <v>2.09E+26</v>
      </c>
      <c r="W15" s="12" t="s">
        <v>57</v>
      </c>
      <c r="X15" s="12"/>
      <c r="Y15" s="39"/>
    </row>
    <row r="16" spans="1:34" s="40" customFormat="1" ht="15.75">
      <c r="A16" s="77" t="s">
        <v>113</v>
      </c>
      <c r="B16" s="35" t="s">
        <v>23</v>
      </c>
      <c r="C16" s="36" t="s">
        <v>31</v>
      </c>
      <c r="D16" s="40" t="s">
        <v>21</v>
      </c>
      <c r="E16" s="31">
        <f>($D$3*G16+$D$7*K16+$D$9*M16)/F16</f>
        <v>9.9333333333333336</v>
      </c>
      <c r="F16" s="35">
        <f>SUM(G16:M16)</f>
        <v>3</v>
      </c>
      <c r="G16" s="36">
        <v>2</v>
      </c>
      <c r="H16" s="36">
        <v>0</v>
      </c>
      <c r="I16" s="36">
        <v>0</v>
      </c>
      <c r="J16" s="36">
        <v>0</v>
      </c>
      <c r="K16" s="36">
        <v>1</v>
      </c>
      <c r="L16" s="36">
        <v>0</v>
      </c>
      <c r="M16" s="36">
        <v>0</v>
      </c>
      <c r="N16" s="36">
        <v>0.73240000000000005</v>
      </c>
      <c r="O16" s="36">
        <v>63</v>
      </c>
      <c r="P16" s="36">
        <v>22.78</v>
      </c>
      <c r="Q16" s="37">
        <v>1.0000000000000001E-17</v>
      </c>
      <c r="R16" s="38">
        <v>9.9999999999999995E-8</v>
      </c>
      <c r="S16" s="37">
        <v>10000000</v>
      </c>
      <c r="T16" s="37">
        <v>1.0869E-18</v>
      </c>
      <c r="U16" s="37">
        <v>2.12E-5</v>
      </c>
      <c r="V16" s="37">
        <v>19500000000000</v>
      </c>
      <c r="W16" s="12" t="s">
        <v>56</v>
      </c>
      <c r="X16" s="12"/>
      <c r="Y16" s="39"/>
    </row>
    <row r="17" spans="1:25" s="40" customFormat="1" ht="15.75">
      <c r="A17" s="77" t="s">
        <v>113</v>
      </c>
      <c r="B17" s="35" t="s">
        <v>23</v>
      </c>
      <c r="C17" s="36" t="s">
        <v>31</v>
      </c>
      <c r="D17" s="40" t="s">
        <v>21</v>
      </c>
      <c r="E17" s="31">
        <f>($D$3*G17+$D$7*K17+$D$9*M17)/F17</f>
        <v>80</v>
      </c>
      <c r="F17" s="35">
        <f>SUM(G17:M17)</f>
        <v>3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f>-L183</f>
        <v>0</v>
      </c>
      <c r="M17" s="36">
        <v>3</v>
      </c>
      <c r="N17" s="36">
        <f>N9</f>
        <v>1.0034000000000001</v>
      </c>
      <c r="O17" s="36">
        <f t="shared" ref="O17:V17" si="1">O9</f>
        <v>58.9</v>
      </c>
      <c r="P17" s="36">
        <f t="shared" si="1"/>
        <v>20.87</v>
      </c>
      <c r="Q17" s="36">
        <f t="shared" si="1"/>
        <v>1E-22</v>
      </c>
      <c r="R17" s="36">
        <f t="shared" si="1"/>
        <v>9.9999999999999995E-8</v>
      </c>
      <c r="S17" s="36">
        <f t="shared" si="1"/>
        <v>1000000000000000</v>
      </c>
      <c r="T17" s="36">
        <f t="shared" si="1"/>
        <v>4.8600000000000002E-24</v>
      </c>
      <c r="U17" s="36">
        <f t="shared" si="1"/>
        <v>6.1700000000000002E-6</v>
      </c>
      <c r="V17" s="36">
        <f t="shared" si="1"/>
        <v>1.269E+18</v>
      </c>
      <c r="W17" s="12" t="s">
        <v>58</v>
      </c>
      <c r="X17" s="12"/>
      <c r="Y17" s="39"/>
    </row>
    <row r="18" spans="1:25" s="42" customFormat="1" ht="15.75">
      <c r="A18" s="42" t="s">
        <v>99</v>
      </c>
      <c r="B18" s="77" t="s">
        <v>25</v>
      </c>
      <c r="C18" s="75" t="s">
        <v>31</v>
      </c>
      <c r="D18" s="42" t="s">
        <v>25</v>
      </c>
      <c r="E18" s="45">
        <f>($D$3*G18+$D$6*K18+$D$9*M18)/F18</f>
        <v>40.65</v>
      </c>
      <c r="F18" s="41">
        <f>SUM(G18:M18)</f>
        <v>3</v>
      </c>
      <c r="G18" s="75">
        <v>0.5</v>
      </c>
      <c r="H18" s="75">
        <v>0</v>
      </c>
      <c r="I18" s="75">
        <v>0</v>
      </c>
      <c r="J18" s="75">
        <v>1</v>
      </c>
      <c r="K18" s="75">
        <v>0</v>
      </c>
      <c r="L18" s="75">
        <v>0</v>
      </c>
      <c r="M18" s="75">
        <v>1.5</v>
      </c>
      <c r="N18" s="75">
        <v>0.88690000000000002</v>
      </c>
      <c r="O18" s="75">
        <v>61.6</v>
      </c>
      <c r="P18" s="75">
        <v>20.43</v>
      </c>
      <c r="Q18" s="76">
        <v>9.9999999999999991E-22</v>
      </c>
      <c r="R18" s="76">
        <v>9.9999999999999995E-8</v>
      </c>
      <c r="S18" s="76">
        <v>100000000000000</v>
      </c>
      <c r="T18" s="76">
        <v>1.3000000000000001E-26</v>
      </c>
      <c r="U18" s="76">
        <v>1.1260000000000001E-5</v>
      </c>
      <c r="V18" s="76">
        <v>8.62E+20</v>
      </c>
      <c r="W18" s="21" t="s">
        <v>58</v>
      </c>
      <c r="X18" s="21"/>
      <c r="Y18" s="21"/>
    </row>
    <row r="19" spans="1:25" s="77" customFormat="1" ht="15.75">
      <c r="A19" s="77" t="s">
        <v>113</v>
      </c>
      <c r="B19" s="77" t="s">
        <v>25</v>
      </c>
      <c r="C19" s="79" t="s">
        <v>31</v>
      </c>
      <c r="D19" s="77" t="s">
        <v>25</v>
      </c>
      <c r="E19" s="80">
        <f t="shared" ref="E19:E28" si="2">($D$6*J19+$D$7*K19+$D$9*M19)/F19</f>
        <v>38</v>
      </c>
      <c r="F19" s="78">
        <v>3</v>
      </c>
      <c r="G19" s="79">
        <v>0</v>
      </c>
      <c r="H19" s="79">
        <v>0</v>
      </c>
      <c r="I19" s="79">
        <v>0</v>
      </c>
      <c r="J19" s="79">
        <v>1</v>
      </c>
      <c r="K19" s="79">
        <v>1</v>
      </c>
      <c r="L19" s="79">
        <v>0</v>
      </c>
      <c r="M19" s="79">
        <v>1</v>
      </c>
      <c r="N19" s="79">
        <v>0.92800000000000005</v>
      </c>
      <c r="O19" s="79">
        <v>58.3</v>
      </c>
      <c r="P19" s="79">
        <v>6.87</v>
      </c>
      <c r="Q19" s="81">
        <v>9.9999999999999991E-22</v>
      </c>
      <c r="R19" s="81">
        <v>9.9999999999999995E-8</v>
      </c>
      <c r="S19" s="81">
        <v>100000000000000</v>
      </c>
      <c r="T19" s="81">
        <v>4.4500000000000001E-23</v>
      </c>
      <c r="U19" s="81">
        <v>9.0000000000000002E-6</v>
      </c>
      <c r="V19" s="81">
        <v>2.03E+17</v>
      </c>
      <c r="W19" s="82" t="s">
        <v>110</v>
      </c>
      <c r="X19" s="82"/>
      <c r="Y19" s="82"/>
    </row>
    <row r="20" spans="1:25" s="77" customFormat="1" ht="15.75">
      <c r="A20" s="77" t="s">
        <v>113</v>
      </c>
      <c r="B20" s="77" t="s">
        <v>25</v>
      </c>
      <c r="C20" s="79" t="s">
        <v>31</v>
      </c>
      <c r="D20" s="77" t="s">
        <v>25</v>
      </c>
      <c r="E20" s="80">
        <f t="shared" si="2"/>
        <v>59</v>
      </c>
      <c r="F20" s="78">
        <v>3</v>
      </c>
      <c r="G20" s="79">
        <v>0</v>
      </c>
      <c r="H20" s="79">
        <v>0</v>
      </c>
      <c r="I20" s="79">
        <v>0</v>
      </c>
      <c r="J20" s="79">
        <v>0.5</v>
      </c>
      <c r="K20" s="79">
        <v>0.5</v>
      </c>
      <c r="L20" s="79">
        <v>0</v>
      </c>
      <c r="M20" s="79">
        <v>2</v>
      </c>
      <c r="N20" s="79">
        <v>0.96440000000000003</v>
      </c>
      <c r="O20" s="79">
        <v>57.6</v>
      </c>
      <c r="P20" s="79">
        <v>9.57</v>
      </c>
      <c r="Q20" s="81">
        <v>1E-22</v>
      </c>
      <c r="R20" s="81">
        <v>9.9999999999999995E-8</v>
      </c>
      <c r="S20" s="81">
        <v>1000000000000000</v>
      </c>
      <c r="T20" s="81">
        <v>8.2699999999999997E-24</v>
      </c>
      <c r="U20" s="81">
        <v>7.4000000000000003E-6</v>
      </c>
      <c r="V20" s="81">
        <v>8.95E+17</v>
      </c>
      <c r="W20" s="82" t="s">
        <v>116</v>
      </c>
      <c r="X20" s="82"/>
      <c r="Y20" s="82"/>
    </row>
    <row r="21" spans="1:25" s="77" customFormat="1" ht="15.75">
      <c r="A21" s="77" t="s">
        <v>113</v>
      </c>
      <c r="B21" s="77" t="s">
        <v>25</v>
      </c>
      <c r="C21" s="79" t="s">
        <v>31</v>
      </c>
      <c r="D21" s="77" t="s">
        <v>25</v>
      </c>
      <c r="E21" s="80">
        <f t="shared" si="2"/>
        <v>12</v>
      </c>
      <c r="F21" s="78">
        <v>3</v>
      </c>
      <c r="G21" s="79">
        <v>0</v>
      </c>
      <c r="H21" s="79">
        <v>0</v>
      </c>
      <c r="I21" s="79">
        <v>0</v>
      </c>
      <c r="J21" s="79">
        <v>3</v>
      </c>
      <c r="K21" s="79">
        <v>0</v>
      </c>
      <c r="L21" s="79">
        <v>0</v>
      </c>
      <c r="M21" s="79">
        <v>0</v>
      </c>
      <c r="N21" s="79">
        <v>0.87390000000000001</v>
      </c>
      <c r="O21" s="79">
        <v>59.3</v>
      </c>
      <c r="P21" s="79">
        <v>15.83</v>
      </c>
      <c r="Q21" s="81">
        <v>9.9999999999999995E-21</v>
      </c>
      <c r="R21" s="81">
        <v>9.9999999999999995E-8</v>
      </c>
      <c r="S21" s="81">
        <v>10000000000000</v>
      </c>
      <c r="T21" s="81">
        <v>2.95E-22</v>
      </c>
      <c r="U21" s="81">
        <v>1.63E-5</v>
      </c>
      <c r="V21" s="81">
        <v>5.51E+16</v>
      </c>
      <c r="W21" s="82" t="s">
        <v>115</v>
      </c>
      <c r="X21" s="82"/>
      <c r="Y21" s="82"/>
    </row>
    <row r="22" spans="1:25" s="77" customFormat="1" ht="15.75">
      <c r="A22" s="77" t="s">
        <v>113</v>
      </c>
      <c r="B22" s="77" t="s">
        <v>25</v>
      </c>
      <c r="C22" s="79" t="s">
        <v>31</v>
      </c>
      <c r="D22" s="77" t="s">
        <v>25</v>
      </c>
      <c r="E22" s="80">
        <f t="shared" si="2"/>
        <v>22</v>
      </c>
      <c r="F22" s="78">
        <v>3</v>
      </c>
      <c r="G22" s="79">
        <v>0</v>
      </c>
      <c r="H22" s="79">
        <v>0</v>
      </c>
      <c r="I22" s="79">
        <v>0</v>
      </c>
      <c r="J22" s="79">
        <v>0</v>
      </c>
      <c r="K22" s="79">
        <v>3</v>
      </c>
      <c r="L22" s="79">
        <v>0</v>
      </c>
      <c r="M22" s="79">
        <v>0</v>
      </c>
      <c r="N22" s="79">
        <v>0.93089999999999995</v>
      </c>
      <c r="O22" s="79">
        <v>58.4</v>
      </c>
      <c r="P22" s="79">
        <v>8.35</v>
      </c>
      <c r="Q22" s="81">
        <v>1E-22</v>
      </c>
      <c r="R22" s="81">
        <v>9.9999999999999995E-8</v>
      </c>
      <c r="S22" s="81">
        <v>1000000000000000</v>
      </c>
      <c r="T22" s="81">
        <v>3.1500000000000001E-23</v>
      </c>
      <c r="U22" s="81">
        <v>8.1499999999999999E-6</v>
      </c>
      <c r="V22" s="81">
        <v>2.58E+17</v>
      </c>
      <c r="W22" s="82" t="s">
        <v>118</v>
      </c>
      <c r="X22" s="82"/>
      <c r="Y22" s="82"/>
    </row>
    <row r="23" spans="1:25" s="77" customFormat="1" ht="15.75">
      <c r="A23" s="77" t="s">
        <v>113</v>
      </c>
      <c r="B23" s="77" t="s">
        <v>25</v>
      </c>
      <c r="C23" s="79" t="s">
        <v>31</v>
      </c>
      <c r="D23" s="77" t="s">
        <v>25</v>
      </c>
      <c r="E23" s="80">
        <f t="shared" si="2"/>
        <v>80</v>
      </c>
      <c r="F23" s="78">
        <v>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3</v>
      </c>
      <c r="N23" s="79">
        <v>1.0038</v>
      </c>
      <c r="O23" s="79">
        <v>56.8</v>
      </c>
      <c r="P23" s="79">
        <v>7.39</v>
      </c>
      <c r="Q23" s="81">
        <v>9.9999999999999994E-30</v>
      </c>
      <c r="R23" s="81">
        <v>9.9999999999999995E-8</v>
      </c>
      <c r="S23" s="81">
        <v>1E+22</v>
      </c>
      <c r="T23" s="81">
        <v>7.0319999999999996E-32</v>
      </c>
      <c r="U23" s="81">
        <v>7.3699999999999997E-6</v>
      </c>
      <c r="V23" s="81">
        <v>1.048E+26</v>
      </c>
      <c r="W23" s="82" t="s">
        <v>126</v>
      </c>
      <c r="X23" s="82"/>
      <c r="Y23" s="82"/>
    </row>
    <row r="24" spans="1:25" s="77" customFormat="1" ht="15.75">
      <c r="A24" s="77" t="s">
        <v>113</v>
      </c>
      <c r="B24" s="77" t="s">
        <v>25</v>
      </c>
      <c r="C24" s="79" t="s">
        <v>31</v>
      </c>
      <c r="D24" s="77" t="s">
        <v>25</v>
      </c>
      <c r="E24" s="80">
        <f t="shared" si="2"/>
        <v>70.333333333333329</v>
      </c>
      <c r="F24" s="78">
        <v>3</v>
      </c>
      <c r="G24" s="79">
        <v>0</v>
      </c>
      <c r="H24" s="79">
        <v>0</v>
      </c>
      <c r="I24" s="79">
        <v>0</v>
      </c>
      <c r="J24" s="79">
        <v>0</v>
      </c>
      <c r="K24" s="79">
        <v>0.5</v>
      </c>
      <c r="L24" s="79">
        <v>0</v>
      </c>
      <c r="M24" s="79">
        <v>2.5</v>
      </c>
      <c r="N24" s="79">
        <v>0.99239999999999995</v>
      </c>
      <c r="O24" s="79">
        <v>56.6</v>
      </c>
      <c r="P24" s="79">
        <v>7.39</v>
      </c>
      <c r="Q24" s="81">
        <v>1E-27</v>
      </c>
      <c r="R24" s="81">
        <v>9.9999999999999995E-8</v>
      </c>
      <c r="S24" s="81">
        <v>1E+20</v>
      </c>
      <c r="T24" s="81">
        <v>4.0789999999999998E-31</v>
      </c>
      <c r="U24" s="81">
        <v>7.525E-6</v>
      </c>
      <c r="V24" s="81">
        <v>1.844E+25</v>
      </c>
      <c r="W24" s="82" t="s">
        <v>134</v>
      </c>
      <c r="X24" s="82"/>
      <c r="Y24" s="82"/>
    </row>
    <row r="25" spans="1:25" s="77" customFormat="1" ht="15.75">
      <c r="A25" s="77" t="s">
        <v>113</v>
      </c>
      <c r="B25" s="77" t="s">
        <v>25</v>
      </c>
      <c r="C25" s="79" t="s">
        <v>31</v>
      </c>
      <c r="D25" s="77" t="s">
        <v>25</v>
      </c>
      <c r="E25" s="80">
        <f t="shared" si="2"/>
        <v>49.333333333333336</v>
      </c>
      <c r="F25" s="78">
        <v>3</v>
      </c>
      <c r="G25" s="79">
        <v>0</v>
      </c>
      <c r="H25" s="79">
        <v>0</v>
      </c>
      <c r="I25" s="79">
        <v>0</v>
      </c>
      <c r="J25" s="79">
        <v>0.5</v>
      </c>
      <c r="K25" s="79">
        <v>1</v>
      </c>
      <c r="L25" s="79">
        <v>0</v>
      </c>
      <c r="M25" s="79">
        <v>1.5</v>
      </c>
      <c r="N25" s="79">
        <v>0.94820000000000004</v>
      </c>
      <c r="O25" s="79">
        <v>58</v>
      </c>
      <c r="P25" s="79">
        <v>10.61</v>
      </c>
      <c r="Q25" s="81">
        <v>1E-26</v>
      </c>
      <c r="R25" s="81">
        <v>9.9999999999999995E-8</v>
      </c>
      <c r="S25" s="81">
        <v>1000000000000000</v>
      </c>
      <c r="T25" s="81">
        <v>1.7399999999999998E-24</v>
      </c>
      <c r="U25" s="81">
        <v>1.2300000000000001E-5</v>
      </c>
      <c r="V25" s="81">
        <v>7.07E+18</v>
      </c>
      <c r="W25" s="82" t="s">
        <v>135</v>
      </c>
      <c r="X25" s="82"/>
      <c r="Y25" s="82"/>
    </row>
    <row r="26" spans="1:25" s="77" customFormat="1" ht="15.75">
      <c r="A26" s="77" t="s">
        <v>113</v>
      </c>
      <c r="B26" s="77" t="s">
        <v>25</v>
      </c>
      <c r="C26" s="79" t="s">
        <v>31</v>
      </c>
      <c r="D26" s="77" t="s">
        <v>25</v>
      </c>
      <c r="E26" s="80">
        <f t="shared" si="2"/>
        <v>30</v>
      </c>
      <c r="F26" s="78">
        <v>3</v>
      </c>
      <c r="G26" s="79">
        <v>0</v>
      </c>
      <c r="H26" s="79">
        <v>0</v>
      </c>
      <c r="I26" s="79">
        <v>0</v>
      </c>
      <c r="J26" s="79">
        <v>0.5</v>
      </c>
      <c r="K26" s="79">
        <v>2</v>
      </c>
      <c r="L26" s="79">
        <v>0</v>
      </c>
      <c r="M26" s="79">
        <v>0.5</v>
      </c>
      <c r="N26" s="79">
        <v>0.92900000000000005</v>
      </c>
      <c r="O26" s="79">
        <v>58.4</v>
      </c>
      <c r="P26" s="79">
        <v>7.3</v>
      </c>
      <c r="Q26" s="81">
        <v>1E-22</v>
      </c>
      <c r="R26" s="81">
        <v>9.9999999999999995E-8</v>
      </c>
      <c r="S26" s="81">
        <v>1000000000000000</v>
      </c>
      <c r="T26" s="81">
        <v>3.3550000000000002E-23</v>
      </c>
      <c r="U26" s="81">
        <v>1.1029999999999999E-5</v>
      </c>
      <c r="V26" s="81">
        <v>3.288E+17</v>
      </c>
      <c r="W26" s="82" t="s">
        <v>136</v>
      </c>
      <c r="X26" s="82"/>
      <c r="Y26" s="82"/>
    </row>
    <row r="27" spans="1:25" s="94" customFormat="1" ht="15.75">
      <c r="A27" s="94" t="s">
        <v>113</v>
      </c>
      <c r="B27" s="94" t="s">
        <v>25</v>
      </c>
      <c r="C27" s="95" t="s">
        <v>25</v>
      </c>
      <c r="D27" s="94" t="s">
        <v>25</v>
      </c>
      <c r="E27" s="96">
        <f t="shared" si="2"/>
        <v>12</v>
      </c>
      <c r="F27" s="97">
        <v>3</v>
      </c>
      <c r="G27" s="95">
        <v>0</v>
      </c>
      <c r="H27" s="95">
        <v>0</v>
      </c>
      <c r="I27" s="95">
        <v>0</v>
      </c>
      <c r="J27" s="95">
        <v>3</v>
      </c>
      <c r="K27" s="95">
        <v>0</v>
      </c>
      <c r="L27" s="95">
        <v>0</v>
      </c>
      <c r="M27" s="95">
        <v>0</v>
      </c>
      <c r="N27" s="95">
        <v>0.87390000000000001</v>
      </c>
      <c r="O27" s="95">
        <v>59.3</v>
      </c>
      <c r="P27" s="95">
        <v>15.83</v>
      </c>
      <c r="Q27" s="98">
        <v>9.9999999999999995E-21</v>
      </c>
      <c r="R27" s="98">
        <v>9.9999999999999995E-8</v>
      </c>
      <c r="S27" s="98">
        <v>10000000000000</v>
      </c>
      <c r="T27" s="98">
        <v>2.95E-22</v>
      </c>
      <c r="U27" s="98">
        <v>1.63E-5</v>
      </c>
      <c r="V27" s="98">
        <v>5.51E+16</v>
      </c>
      <c r="W27" s="99" t="s">
        <v>115</v>
      </c>
      <c r="X27" s="99"/>
      <c r="Y27" s="99"/>
    </row>
    <row r="28" spans="1:25" s="77" customFormat="1" ht="15.75">
      <c r="A28" s="77" t="s">
        <v>113</v>
      </c>
      <c r="B28" s="77" t="s">
        <v>25</v>
      </c>
      <c r="C28" s="95" t="s">
        <v>25</v>
      </c>
      <c r="D28" s="77" t="s">
        <v>21</v>
      </c>
      <c r="E28" s="80">
        <f t="shared" si="2"/>
        <v>22</v>
      </c>
      <c r="F28" s="78">
        <v>3</v>
      </c>
      <c r="G28" s="79">
        <v>0</v>
      </c>
      <c r="H28" s="79">
        <v>0</v>
      </c>
      <c r="I28" s="79">
        <v>0</v>
      </c>
      <c r="J28" s="79">
        <v>0</v>
      </c>
      <c r="K28" s="79">
        <v>3</v>
      </c>
      <c r="L28" s="79">
        <v>0</v>
      </c>
      <c r="M28" s="79">
        <v>0</v>
      </c>
      <c r="N28" s="79">
        <v>0.93089999999999995</v>
      </c>
      <c r="O28" s="79">
        <v>58.4</v>
      </c>
      <c r="P28" s="79">
        <v>8.35</v>
      </c>
      <c r="Q28" s="81">
        <v>1E-22</v>
      </c>
      <c r="R28" s="81">
        <v>9.9999999999999995E-8</v>
      </c>
      <c r="S28" s="81">
        <v>1000000000000000</v>
      </c>
      <c r="T28" s="81">
        <v>3.1500000000000001E-23</v>
      </c>
      <c r="U28" s="81">
        <v>8.1499999999999999E-6</v>
      </c>
      <c r="V28" s="81">
        <v>2.58E+17</v>
      </c>
      <c r="W28" s="82" t="s">
        <v>118</v>
      </c>
      <c r="X28" s="82"/>
      <c r="Y28" s="82"/>
    </row>
    <row r="29" spans="1:25" s="94" customFormat="1" ht="15.75">
      <c r="A29" s="94" t="s">
        <v>113</v>
      </c>
      <c r="B29" s="94" t="s">
        <v>25</v>
      </c>
      <c r="C29" s="100" t="s">
        <v>138</v>
      </c>
      <c r="D29" s="100" t="s">
        <v>138</v>
      </c>
      <c r="E29" s="96">
        <v>25</v>
      </c>
      <c r="F29" s="78">
        <v>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3</v>
      </c>
      <c r="M29" s="79">
        <v>0</v>
      </c>
      <c r="N29" s="95">
        <v>0.93089999999999995</v>
      </c>
      <c r="O29" s="95">
        <v>58.4</v>
      </c>
      <c r="P29" s="95">
        <v>8.35</v>
      </c>
      <c r="Q29" s="81">
        <v>1E-22</v>
      </c>
      <c r="R29" s="81">
        <v>9.9999999999999995E-8</v>
      </c>
      <c r="S29" s="81">
        <v>1000000000000000</v>
      </c>
      <c r="T29" s="81">
        <v>3.1500000000000001E-23</v>
      </c>
      <c r="U29" s="81">
        <v>8.1499999999999999E-6</v>
      </c>
      <c r="V29" s="81">
        <v>2.58E+17</v>
      </c>
      <c r="W29" s="82" t="s">
        <v>137</v>
      </c>
      <c r="X29" s="99"/>
      <c r="Y29" s="99"/>
    </row>
    <row r="30" spans="1:25" s="94" customFormat="1" ht="15.75">
      <c r="A30" s="94" t="s">
        <v>113</v>
      </c>
      <c r="B30" s="94" t="s">
        <v>25</v>
      </c>
      <c r="C30" s="95" t="s">
        <v>31</v>
      </c>
      <c r="D30" s="94" t="s">
        <v>25</v>
      </c>
      <c r="E30" s="96">
        <f>($D$6*J30+$D$7*K30+$D$9*M30)/F30</f>
        <v>80</v>
      </c>
      <c r="F30" s="97">
        <v>3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0</v>
      </c>
      <c r="M30" s="95">
        <v>3</v>
      </c>
      <c r="N30" s="95">
        <v>1.0038</v>
      </c>
      <c r="O30" s="95">
        <v>56.8</v>
      </c>
      <c r="P30" s="95">
        <v>7.39</v>
      </c>
      <c r="Q30" s="98">
        <v>9.9999999999999994E-30</v>
      </c>
      <c r="R30" s="98">
        <v>9.9999999999999995E-8</v>
      </c>
      <c r="S30" s="98">
        <v>1E+22</v>
      </c>
      <c r="T30" s="98">
        <v>7.0319999999999996E-32</v>
      </c>
      <c r="U30" s="98">
        <v>7.3699999999999997E-6</v>
      </c>
      <c r="V30" s="98">
        <v>1.048E+26</v>
      </c>
      <c r="W30" s="99" t="s">
        <v>126</v>
      </c>
      <c r="X30" s="99"/>
      <c r="Y30" s="99"/>
    </row>
    <row r="31" spans="1:25" s="77" customFormat="1" ht="15.75">
      <c r="C31" s="79"/>
      <c r="E31" s="80"/>
      <c r="F31" s="78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81"/>
      <c r="R31" s="81"/>
      <c r="S31" s="81"/>
      <c r="T31" s="81"/>
      <c r="U31" s="81"/>
      <c r="V31" s="81"/>
      <c r="W31" s="82"/>
      <c r="X31" s="82"/>
      <c r="Y31" s="82"/>
    </row>
    <row r="32" spans="1:25" s="77" customFormat="1" ht="15.75">
      <c r="C32" s="79"/>
      <c r="E32" s="80"/>
      <c r="F32" s="78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81"/>
      <c r="R32" s="81"/>
      <c r="S32" s="81"/>
      <c r="T32" s="81"/>
      <c r="U32" s="81"/>
      <c r="V32" s="81"/>
      <c r="W32" s="82"/>
      <c r="X32" s="82"/>
      <c r="Y32" s="82"/>
    </row>
    <row r="33" spans="1:25" s="20" customFormat="1" ht="15.75">
      <c r="A33" s="13"/>
      <c r="B33" s="30" t="s">
        <v>46</v>
      </c>
      <c r="C33" s="27" t="s">
        <v>31</v>
      </c>
      <c r="D33" s="42" t="s">
        <v>21</v>
      </c>
      <c r="E33" s="45">
        <f>($D$3*G33+$D$7*K33+$D$9*M33)/F33</f>
        <v>80</v>
      </c>
      <c r="F33" s="41">
        <f>SUM(G33:M33)</f>
        <v>3</v>
      </c>
      <c r="G33" s="27">
        <v>0</v>
      </c>
      <c r="H33" s="27">
        <v>0</v>
      </c>
      <c r="I33" s="27"/>
      <c r="J33" s="27"/>
      <c r="K33" s="27"/>
      <c r="L33" s="27"/>
      <c r="M33" s="27">
        <v>3</v>
      </c>
      <c r="N33" s="27"/>
      <c r="O33" s="27"/>
      <c r="P33" s="27"/>
      <c r="Q33" s="28"/>
      <c r="R33" s="29"/>
      <c r="S33" s="28"/>
      <c r="T33" s="28"/>
      <c r="U33" s="28"/>
      <c r="V33" s="28"/>
      <c r="W33" s="27"/>
      <c r="X33" s="27"/>
      <c r="Y33" s="21"/>
    </row>
    <row r="34" spans="1:25" s="20" customFormat="1" ht="15.75">
      <c r="A34" s="13"/>
      <c r="B34" s="30" t="s">
        <v>46</v>
      </c>
      <c r="C34" s="27" t="s">
        <v>31</v>
      </c>
      <c r="D34" s="42" t="s">
        <v>21</v>
      </c>
      <c r="E34" s="45">
        <f>($D$3*G34+$D$7*K34+$D$9*M34)/F34</f>
        <v>27.966666666666669</v>
      </c>
      <c r="F34" s="41">
        <f>SUM(G34:M34)</f>
        <v>3</v>
      </c>
      <c r="G34" s="27">
        <v>1</v>
      </c>
      <c r="H34" s="27">
        <v>1</v>
      </c>
      <c r="I34" s="27"/>
      <c r="J34" s="27"/>
      <c r="K34" s="27"/>
      <c r="L34" s="27"/>
      <c r="M34" s="27">
        <v>1</v>
      </c>
      <c r="N34" s="27"/>
      <c r="O34" s="27"/>
      <c r="P34" s="27"/>
      <c r="Q34" s="28"/>
      <c r="R34" s="29"/>
      <c r="S34" s="28"/>
      <c r="T34" s="28"/>
      <c r="U34" s="28"/>
      <c r="V34" s="28"/>
      <c r="W34" s="27"/>
      <c r="X34" s="27"/>
      <c r="Y34" s="21"/>
    </row>
    <row r="35" spans="1:25" s="20" customFormat="1" ht="15.75">
      <c r="A35" s="13"/>
      <c r="B35" s="30" t="s">
        <v>46</v>
      </c>
      <c r="C35" s="27" t="s">
        <v>31</v>
      </c>
      <c r="D35" s="42" t="s">
        <v>21</v>
      </c>
      <c r="E35" s="45">
        <f>($D$3*G35+$D$7*K35+$D$9*M35)/F35</f>
        <v>53.983333333333327</v>
      </c>
      <c r="F35" s="41">
        <f>SUM(G35:M35)</f>
        <v>3</v>
      </c>
      <c r="G35" s="27">
        <v>0.5</v>
      </c>
      <c r="H35" s="27">
        <v>0.5</v>
      </c>
      <c r="I35" s="27"/>
      <c r="J35" s="27"/>
      <c r="K35" s="27"/>
      <c r="L35" s="27"/>
      <c r="M35" s="27">
        <v>2</v>
      </c>
      <c r="N35" s="27"/>
      <c r="O35" s="27"/>
      <c r="P35" s="27"/>
      <c r="Q35" s="28"/>
      <c r="R35" s="29"/>
      <c r="S35" s="28"/>
      <c r="T35" s="28"/>
      <c r="U35" s="28"/>
      <c r="V35" s="28"/>
      <c r="W35" s="27"/>
      <c r="X35" s="27"/>
      <c r="Y35" s="21"/>
    </row>
    <row r="36" spans="1:25" s="2" customFormat="1">
      <c r="Y36" s="12"/>
    </row>
    <row r="37" spans="1:25" s="2" customFormat="1">
      <c r="O37" s="3"/>
      <c r="P37" s="3"/>
      <c r="Q37" s="3"/>
      <c r="R37" s="3"/>
      <c r="Y37" s="12"/>
    </row>
    <row r="38" spans="1:25" s="1" customFormat="1">
      <c r="G38" s="2"/>
      <c r="H38" s="2"/>
      <c r="I38" s="2"/>
      <c r="J38" s="2"/>
      <c r="K38" s="2"/>
      <c r="L38" s="2"/>
      <c r="M38" s="2"/>
      <c r="O38" s="4"/>
      <c r="P38" s="4"/>
      <c r="Q38" s="4"/>
      <c r="R38" s="4"/>
      <c r="S38" s="4"/>
      <c r="T38" s="33"/>
      <c r="W38" s="12"/>
      <c r="Y38" s="12"/>
    </row>
    <row r="39" spans="1:25" s="2" customFormat="1">
      <c r="T39" s="32"/>
      <c r="W39" s="32"/>
    </row>
    <row r="40" spans="1:25" s="2" customFormat="1">
      <c r="O40" s="3"/>
      <c r="P40" s="3"/>
      <c r="Q40" s="3"/>
      <c r="R40" s="3"/>
      <c r="T40" s="33"/>
      <c r="W40" s="12"/>
    </row>
    <row r="41" spans="1:25" s="1" customFormat="1">
      <c r="G41" s="2"/>
      <c r="H41" s="2"/>
      <c r="I41" s="2"/>
      <c r="J41" s="2"/>
      <c r="K41" s="2"/>
      <c r="L41" s="2"/>
      <c r="M41" s="2"/>
      <c r="O41" s="4"/>
      <c r="P41" s="4"/>
      <c r="Q41" s="4"/>
      <c r="R41" s="4"/>
      <c r="S41" s="4"/>
      <c r="T41" s="33"/>
      <c r="W41" s="12"/>
    </row>
    <row r="42" spans="1:25" s="2" customFormat="1">
      <c r="T42" s="33"/>
      <c r="W42" s="12"/>
    </row>
    <row r="43" spans="1:25" s="2" customFormat="1">
      <c r="O43" s="3"/>
      <c r="P43" s="3"/>
      <c r="Q43" s="3"/>
      <c r="R43" s="3"/>
      <c r="T43" s="33"/>
      <c r="W43" s="12"/>
    </row>
    <row r="44" spans="1:25">
      <c r="T44" s="33"/>
      <c r="W44" s="12"/>
    </row>
    <row r="45" spans="1:25">
      <c r="T45" s="33"/>
      <c r="W45" s="12"/>
    </row>
    <row r="46" spans="1:25">
      <c r="T46" s="33"/>
      <c r="W46" s="12"/>
    </row>
    <row r="47" spans="1:25">
      <c r="T47" s="33"/>
      <c r="W47" s="12"/>
    </row>
    <row r="48" spans="1:25">
      <c r="T48" s="33"/>
      <c r="W48" s="12"/>
    </row>
    <row r="49" spans="20:23">
      <c r="T49" s="33"/>
      <c r="W49" s="12"/>
    </row>
    <row r="50" spans="20:23">
      <c r="T50" s="34"/>
    </row>
    <row r="70" spans="2:25" s="6" customFormat="1" ht="47.25">
      <c r="B70" s="23" t="s">
        <v>32</v>
      </c>
      <c r="C70" s="23" t="s">
        <v>27</v>
      </c>
      <c r="D70" s="23" t="s">
        <v>24</v>
      </c>
      <c r="E70" s="23" t="s">
        <v>74</v>
      </c>
      <c r="F70" s="25" t="s">
        <v>75</v>
      </c>
      <c r="G70" s="23" t="s">
        <v>76</v>
      </c>
      <c r="H70" s="23" t="s">
        <v>77</v>
      </c>
      <c r="I70" s="23" t="s">
        <v>78</v>
      </c>
      <c r="J70" s="23" t="s">
        <v>79</v>
      </c>
      <c r="K70" s="23" t="s">
        <v>80</v>
      </c>
      <c r="L70" s="23" t="s">
        <v>81</v>
      </c>
      <c r="M70" s="23" t="s">
        <v>82</v>
      </c>
      <c r="N70" s="25" t="s">
        <v>92</v>
      </c>
      <c r="O70" s="25" t="s">
        <v>97</v>
      </c>
      <c r="P70" s="25" t="s">
        <v>61</v>
      </c>
      <c r="Q70" s="23" t="s">
        <v>12</v>
      </c>
      <c r="R70" s="23" t="s">
        <v>3</v>
      </c>
      <c r="S70" s="25" t="s">
        <v>94</v>
      </c>
      <c r="T70" s="25" t="s">
        <v>89</v>
      </c>
      <c r="U70" s="25" t="s">
        <v>88</v>
      </c>
      <c r="V70" s="23" t="s">
        <v>7</v>
      </c>
      <c r="W70" s="43" t="s">
        <v>52</v>
      </c>
      <c r="X70" s="26"/>
      <c r="Y70" s="12"/>
    </row>
    <row r="71" spans="2:25" ht="47.25">
      <c r="D71" s="67" t="s">
        <v>84</v>
      </c>
      <c r="E71" s="25" t="s">
        <v>83</v>
      </c>
      <c r="F71" s="25" t="s">
        <v>37</v>
      </c>
      <c r="G71" s="23" t="s">
        <v>13</v>
      </c>
      <c r="H71" s="23" t="s">
        <v>40</v>
      </c>
      <c r="I71" s="23" t="s">
        <v>39</v>
      </c>
      <c r="J71" s="23" t="s">
        <v>33</v>
      </c>
      <c r="K71" s="23" t="s">
        <v>85</v>
      </c>
      <c r="L71" s="23" t="s">
        <v>26</v>
      </c>
      <c r="M71" s="23" t="s">
        <v>34</v>
      </c>
    </row>
    <row r="72" spans="2:25" ht="15.75">
      <c r="D72" s="68"/>
      <c r="E72" s="23"/>
      <c r="F72" s="1"/>
      <c r="N72" s="55">
        <f t="shared" ref="N72:V72" si="3">N3</f>
        <v>0.51790000000000003</v>
      </c>
      <c r="O72" s="44">
        <f t="shared" si="3"/>
        <v>71.3</v>
      </c>
      <c r="P72" s="44">
        <f t="shared" si="3"/>
        <v>57.74</v>
      </c>
      <c r="Q72" s="54">
        <f t="shared" si="3"/>
        <v>1E-14</v>
      </c>
      <c r="R72" s="54">
        <f t="shared" si="3"/>
        <v>9.9999999999999995E-8</v>
      </c>
      <c r="S72" s="54">
        <f t="shared" si="3"/>
        <v>10000000</v>
      </c>
      <c r="T72" s="54">
        <f t="shared" si="3"/>
        <v>1.505E-15</v>
      </c>
      <c r="U72" s="54">
        <f t="shared" si="3"/>
        <v>1.5650000000000001E-5</v>
      </c>
      <c r="V72" s="54">
        <f t="shared" si="3"/>
        <v>10400000000</v>
      </c>
    </row>
    <row r="73" spans="2:25" ht="15.75">
      <c r="B73" s="48" t="s">
        <v>23</v>
      </c>
      <c r="D73" s="73" t="s">
        <v>23</v>
      </c>
      <c r="E73" s="69">
        <f t="shared" ref="E73:M73" si="4">E3</f>
        <v>3.9</v>
      </c>
      <c r="F73" s="70">
        <f t="shared" si="4"/>
        <v>3</v>
      </c>
      <c r="G73" s="70">
        <f t="shared" si="4"/>
        <v>3</v>
      </c>
      <c r="H73" s="70">
        <f t="shared" si="4"/>
        <v>0</v>
      </c>
      <c r="I73" s="70">
        <f t="shared" si="4"/>
        <v>0</v>
      </c>
      <c r="J73" s="70">
        <f t="shared" si="4"/>
        <v>0</v>
      </c>
      <c r="K73" s="70">
        <f t="shared" si="4"/>
        <v>0</v>
      </c>
      <c r="L73" s="70">
        <f t="shared" si="4"/>
        <v>0</v>
      </c>
      <c r="M73" s="70">
        <f t="shared" si="4"/>
        <v>0</v>
      </c>
      <c r="N73" s="55">
        <f t="shared" ref="N73:V73" si="5">N16</f>
        <v>0.73240000000000005</v>
      </c>
      <c r="O73" s="44">
        <f t="shared" si="5"/>
        <v>63</v>
      </c>
      <c r="P73" s="44">
        <f t="shared" si="5"/>
        <v>22.78</v>
      </c>
      <c r="Q73" s="54">
        <f t="shared" si="5"/>
        <v>1.0000000000000001E-17</v>
      </c>
      <c r="R73" s="54">
        <f t="shared" si="5"/>
        <v>9.9999999999999995E-8</v>
      </c>
      <c r="S73" s="54">
        <f t="shared" si="5"/>
        <v>10000000</v>
      </c>
      <c r="T73" s="54">
        <f t="shared" si="5"/>
        <v>1.0869E-18</v>
      </c>
      <c r="U73" s="54">
        <f t="shared" si="5"/>
        <v>2.12E-5</v>
      </c>
      <c r="V73" s="54">
        <f t="shared" si="5"/>
        <v>19500000000000</v>
      </c>
    </row>
    <row r="74" spans="2:25" ht="15.75">
      <c r="B74" s="48" t="s">
        <v>28</v>
      </c>
      <c r="C74" s="354" t="s">
        <v>86</v>
      </c>
      <c r="D74" s="72" t="s">
        <v>66</v>
      </c>
      <c r="E74" s="69">
        <f t="shared" ref="E74:M74" si="6">E16</f>
        <v>9.9333333333333336</v>
      </c>
      <c r="F74" s="70">
        <f t="shared" si="6"/>
        <v>3</v>
      </c>
      <c r="G74" s="70">
        <f t="shared" si="6"/>
        <v>2</v>
      </c>
      <c r="H74" s="70">
        <f t="shared" si="6"/>
        <v>0</v>
      </c>
      <c r="I74" s="70">
        <f t="shared" si="6"/>
        <v>0</v>
      </c>
      <c r="J74" s="70">
        <f t="shared" si="6"/>
        <v>0</v>
      </c>
      <c r="K74" s="70">
        <f t="shared" si="6"/>
        <v>1</v>
      </c>
      <c r="L74" s="70">
        <f t="shared" si="6"/>
        <v>0</v>
      </c>
      <c r="M74" s="70">
        <f t="shared" si="6"/>
        <v>0</v>
      </c>
      <c r="N74" s="55">
        <f t="shared" ref="N74:V74" si="7">N14</f>
        <v>0.73240000000000005</v>
      </c>
      <c r="O74" s="44">
        <f t="shared" si="7"/>
        <v>63</v>
      </c>
      <c r="P74" s="44">
        <f t="shared" si="7"/>
        <v>22.78</v>
      </c>
      <c r="Q74" s="54">
        <f t="shared" si="7"/>
        <v>1.0000000000000001E-17</v>
      </c>
      <c r="R74" s="54">
        <f t="shared" si="7"/>
        <v>9.9999999999999995E-8</v>
      </c>
      <c r="S74" s="54">
        <f t="shared" si="7"/>
        <v>10000000000</v>
      </c>
      <c r="T74" s="54">
        <f t="shared" si="7"/>
        <v>1.086E-18</v>
      </c>
      <c r="U74" s="54">
        <f t="shared" si="7"/>
        <v>2.12E-5</v>
      </c>
      <c r="V74" s="54">
        <f t="shared" si="7"/>
        <v>19500000000000</v>
      </c>
    </row>
    <row r="75" spans="2:25" ht="15.75">
      <c r="B75" s="48" t="s">
        <v>39</v>
      </c>
      <c r="C75" s="355"/>
      <c r="D75" s="71" t="s">
        <v>67</v>
      </c>
      <c r="E75" s="69">
        <f t="shared" ref="E75:M75" si="8">E14</f>
        <v>12.950000000000001</v>
      </c>
      <c r="F75" s="70">
        <f t="shared" si="8"/>
        <v>3</v>
      </c>
      <c r="G75" s="70">
        <f t="shared" si="8"/>
        <v>1.5</v>
      </c>
      <c r="H75" s="70">
        <f t="shared" si="8"/>
        <v>0</v>
      </c>
      <c r="I75" s="70">
        <f t="shared" si="8"/>
        <v>0</v>
      </c>
      <c r="J75" s="70">
        <f t="shared" si="8"/>
        <v>0</v>
      </c>
      <c r="K75" s="70">
        <f t="shared" si="8"/>
        <v>1.5</v>
      </c>
      <c r="L75" s="70">
        <f t="shared" si="8"/>
        <v>0</v>
      </c>
      <c r="M75" s="70">
        <f t="shared" si="8"/>
        <v>0</v>
      </c>
      <c r="N75" s="55">
        <f t="shared" ref="N75:V75" si="9">N12</f>
        <v>0.86750000000000005</v>
      </c>
      <c r="O75" s="44">
        <f t="shared" si="9"/>
        <v>59</v>
      </c>
      <c r="P75" s="44">
        <f t="shared" si="9"/>
        <v>12.35</v>
      </c>
      <c r="Q75" s="54">
        <f t="shared" si="9"/>
        <v>9.9999999999999995E-21</v>
      </c>
      <c r="R75" s="54">
        <f t="shared" si="9"/>
        <v>9.9999999999999995E-8</v>
      </c>
      <c r="S75" s="54">
        <f t="shared" si="9"/>
        <v>10000000000000</v>
      </c>
      <c r="T75" s="54">
        <f t="shared" si="9"/>
        <v>1.01E-21</v>
      </c>
      <c r="U75" s="54">
        <f t="shared" si="9"/>
        <v>1.6200000000000001E-5</v>
      </c>
      <c r="V75" s="54">
        <f t="shared" si="9"/>
        <v>1.604E+16</v>
      </c>
    </row>
    <row r="76" spans="2:25" ht="15.75">
      <c r="B76" s="48" t="s">
        <v>21</v>
      </c>
      <c r="C76" s="355"/>
      <c r="D76" s="72" t="s">
        <v>68</v>
      </c>
      <c r="E76" s="69">
        <f t="shared" ref="E76:M76" si="10">E12</f>
        <v>19.283333333333335</v>
      </c>
      <c r="F76" s="70">
        <f t="shared" si="10"/>
        <v>3</v>
      </c>
      <c r="G76" s="70">
        <f t="shared" si="10"/>
        <v>1.5</v>
      </c>
      <c r="H76" s="70">
        <f t="shared" si="10"/>
        <v>0</v>
      </c>
      <c r="I76" s="70">
        <f t="shared" si="10"/>
        <v>0</v>
      </c>
      <c r="J76" s="70">
        <f t="shared" si="10"/>
        <v>1</v>
      </c>
      <c r="K76" s="70">
        <f t="shared" si="10"/>
        <v>0</v>
      </c>
      <c r="L76" s="70">
        <f t="shared" si="10"/>
        <v>0</v>
      </c>
      <c r="M76" s="70">
        <f t="shared" si="10"/>
        <v>0.5</v>
      </c>
      <c r="N76" s="55">
        <f t="shared" ref="N76:V76" si="11">N13</f>
        <v>0.88070000000000004</v>
      </c>
      <c r="O76" s="44">
        <f t="shared" si="11"/>
        <v>59.2</v>
      </c>
      <c r="P76" s="44">
        <f t="shared" si="11"/>
        <v>11.91</v>
      </c>
      <c r="Q76" s="54">
        <f t="shared" si="11"/>
        <v>9.9999999999999991E-22</v>
      </c>
      <c r="R76" s="54">
        <f t="shared" si="11"/>
        <v>9.9999999999999995E-8</v>
      </c>
      <c r="S76" s="54">
        <f t="shared" si="11"/>
        <v>100000000000000</v>
      </c>
      <c r="T76" s="54">
        <f t="shared" si="11"/>
        <v>8.3500000000000002E-25</v>
      </c>
      <c r="U76" s="54">
        <f t="shared" si="11"/>
        <v>8.9579999999999996E-6</v>
      </c>
      <c r="V76" s="54">
        <f t="shared" si="11"/>
        <v>1.072E+19</v>
      </c>
    </row>
    <row r="77" spans="2:25" ht="15.75">
      <c r="B77" s="48" t="s">
        <v>26</v>
      </c>
      <c r="C77" s="355"/>
      <c r="D77" s="71" t="s">
        <v>69</v>
      </c>
      <c r="E77" s="69">
        <f t="shared" ref="E77:M77" si="12">E13</f>
        <v>25.633333333333336</v>
      </c>
      <c r="F77" s="70">
        <f t="shared" si="12"/>
        <v>3</v>
      </c>
      <c r="G77" s="70">
        <f t="shared" si="12"/>
        <v>1</v>
      </c>
      <c r="H77" s="70">
        <f t="shared" si="12"/>
        <v>0</v>
      </c>
      <c r="I77" s="70">
        <f t="shared" si="12"/>
        <v>0</v>
      </c>
      <c r="J77" s="70">
        <f t="shared" si="12"/>
        <v>0</v>
      </c>
      <c r="K77" s="70">
        <f t="shared" si="12"/>
        <v>1.5</v>
      </c>
      <c r="L77" s="70">
        <f t="shared" si="12"/>
        <v>0</v>
      </c>
      <c r="M77" s="70">
        <f t="shared" si="12"/>
        <v>0.5</v>
      </c>
      <c r="N77" s="55">
        <f t="shared" ref="N77:V77" si="13">N10</f>
        <v>0.78900000000000003</v>
      </c>
      <c r="O77" s="44">
        <f t="shared" si="13"/>
        <v>60.7</v>
      </c>
      <c r="P77" s="44">
        <f t="shared" si="13"/>
        <v>12.09</v>
      </c>
      <c r="Q77" s="54">
        <f t="shared" si="13"/>
        <v>9.9999999999999998E-20</v>
      </c>
      <c r="R77" s="54">
        <f t="shared" si="13"/>
        <v>9.9999999999999995E-8</v>
      </c>
      <c r="S77" s="54">
        <f t="shared" si="13"/>
        <v>1000000000000</v>
      </c>
      <c r="T77" s="54">
        <f t="shared" si="13"/>
        <v>2.24E-20</v>
      </c>
      <c r="U77" s="54">
        <f t="shared" si="13"/>
        <v>8.1699999999999997E-6</v>
      </c>
      <c r="V77" s="54">
        <f t="shared" si="13"/>
        <v>345000000000000</v>
      </c>
    </row>
    <row r="78" spans="2:25" ht="15.75">
      <c r="B78" s="48" t="s">
        <v>20</v>
      </c>
      <c r="C78" s="355"/>
      <c r="D78" s="72" t="s">
        <v>70</v>
      </c>
      <c r="E78" s="69">
        <f t="shared" ref="E78:M78" si="14">E10</f>
        <v>31.966666666666669</v>
      </c>
      <c r="F78" s="70">
        <f t="shared" si="14"/>
        <v>3</v>
      </c>
      <c r="G78" s="70">
        <f t="shared" si="14"/>
        <v>1</v>
      </c>
      <c r="H78" s="70">
        <f t="shared" si="14"/>
        <v>0</v>
      </c>
      <c r="I78" s="70">
        <f t="shared" si="14"/>
        <v>0</v>
      </c>
      <c r="J78" s="70">
        <f t="shared" si="14"/>
        <v>1</v>
      </c>
      <c r="K78" s="70">
        <f t="shared" si="14"/>
        <v>0</v>
      </c>
      <c r="L78" s="70">
        <f t="shared" si="14"/>
        <v>0</v>
      </c>
      <c r="M78" s="70">
        <f t="shared" si="14"/>
        <v>1</v>
      </c>
      <c r="N78" s="55">
        <f t="shared" ref="N78:V78" si="15">N11</f>
        <v>0.80730000000000002</v>
      </c>
      <c r="O78" s="44">
        <f t="shared" si="15"/>
        <v>59.7</v>
      </c>
      <c r="P78" s="44">
        <f t="shared" si="15"/>
        <v>11.91</v>
      </c>
      <c r="Q78" s="54">
        <f t="shared" si="15"/>
        <v>9.9999999999999998E-20</v>
      </c>
      <c r="R78" s="54">
        <f t="shared" si="15"/>
        <v>9.9999999999999995E-8</v>
      </c>
      <c r="S78" s="54">
        <f t="shared" si="15"/>
        <v>1000000000000</v>
      </c>
      <c r="T78" s="54">
        <f t="shared" si="15"/>
        <v>2.5699999999999999E-20</v>
      </c>
      <c r="U78" s="54">
        <f t="shared" si="15"/>
        <v>5.1399999999999999E-6</v>
      </c>
      <c r="V78" s="54">
        <f t="shared" si="15"/>
        <v>199500000000000</v>
      </c>
    </row>
    <row r="79" spans="2:25">
      <c r="C79" s="355"/>
      <c r="D79" s="71" t="s">
        <v>71</v>
      </c>
      <c r="E79" s="69">
        <f t="shared" ref="E79:M79" si="16">E11</f>
        <v>43.300000000000004</v>
      </c>
      <c r="F79" s="70">
        <f t="shared" si="16"/>
        <v>3</v>
      </c>
      <c r="G79" s="70">
        <f t="shared" si="16"/>
        <v>1</v>
      </c>
      <c r="H79" s="70">
        <f t="shared" si="16"/>
        <v>0</v>
      </c>
      <c r="I79" s="70">
        <f t="shared" si="16"/>
        <v>0</v>
      </c>
      <c r="J79" s="70">
        <f t="shared" si="16"/>
        <v>0.5</v>
      </c>
      <c r="K79" s="70">
        <f t="shared" si="16"/>
        <v>0</v>
      </c>
      <c r="L79" s="70">
        <f t="shared" si="16"/>
        <v>0</v>
      </c>
      <c r="M79" s="70">
        <f t="shared" si="16"/>
        <v>1.5</v>
      </c>
      <c r="N79" s="55">
        <f t="shared" ref="N79:V79" si="17">N15</f>
        <v>0.99099999999999999</v>
      </c>
      <c r="O79" s="44">
        <f t="shared" si="17"/>
        <v>57.8</v>
      </c>
      <c r="P79" s="44">
        <f t="shared" si="17"/>
        <v>7.39</v>
      </c>
      <c r="Q79" s="54">
        <f t="shared" si="17"/>
        <v>9.9999999999999994E-30</v>
      </c>
      <c r="R79" s="54">
        <f t="shared" si="17"/>
        <v>9.9999999999999995E-8</v>
      </c>
      <c r="S79" s="54">
        <f t="shared" si="17"/>
        <v>1E+22</v>
      </c>
      <c r="T79" s="54">
        <f t="shared" si="17"/>
        <v>4.1599999999999999E-32</v>
      </c>
      <c r="U79" s="54">
        <f t="shared" si="17"/>
        <v>8.7099999999999996E-6</v>
      </c>
      <c r="V79" s="54">
        <f t="shared" si="17"/>
        <v>2.09E+26</v>
      </c>
    </row>
    <row r="80" spans="2:25">
      <c r="C80" s="356"/>
      <c r="D80" s="72" t="s">
        <v>72</v>
      </c>
      <c r="E80" s="69">
        <f t="shared" ref="E80:M80" si="18">E15</f>
        <v>70.333333333333329</v>
      </c>
      <c r="F80" s="70">
        <f t="shared" si="18"/>
        <v>3</v>
      </c>
      <c r="G80" s="70">
        <f t="shared" si="18"/>
        <v>0</v>
      </c>
      <c r="H80" s="70">
        <f t="shared" si="18"/>
        <v>0</v>
      </c>
      <c r="I80" s="70">
        <f t="shared" si="18"/>
        <v>0</v>
      </c>
      <c r="J80" s="70">
        <f t="shared" si="18"/>
        <v>0</v>
      </c>
      <c r="K80" s="70">
        <f t="shared" si="18"/>
        <v>0.5</v>
      </c>
      <c r="L80" s="70">
        <f t="shared" si="18"/>
        <v>0</v>
      </c>
      <c r="M80" s="70">
        <f t="shared" si="18"/>
        <v>2.5</v>
      </c>
      <c r="N80" s="55">
        <f t="shared" ref="N80:V80" si="19">N17</f>
        <v>1.0034000000000001</v>
      </c>
      <c r="O80" s="44">
        <f t="shared" si="19"/>
        <v>58.9</v>
      </c>
      <c r="P80" s="44">
        <f t="shared" si="19"/>
        <v>20.87</v>
      </c>
      <c r="Q80" s="54">
        <f t="shared" si="19"/>
        <v>1E-22</v>
      </c>
      <c r="R80" s="54">
        <f t="shared" si="19"/>
        <v>9.9999999999999995E-8</v>
      </c>
      <c r="S80" s="54">
        <f t="shared" si="19"/>
        <v>1000000000000000</v>
      </c>
      <c r="T80" s="54">
        <f t="shared" si="19"/>
        <v>4.8600000000000002E-24</v>
      </c>
      <c r="U80" s="54">
        <f t="shared" si="19"/>
        <v>6.1700000000000002E-6</v>
      </c>
      <c r="V80" s="54">
        <f t="shared" si="19"/>
        <v>1.269E+18</v>
      </c>
    </row>
    <row r="81" spans="4:13">
      <c r="D81" s="74" t="s">
        <v>20</v>
      </c>
      <c r="E81" s="69">
        <f t="shared" ref="E81:M81" si="20">E17</f>
        <v>80</v>
      </c>
      <c r="F81" s="70">
        <f t="shared" si="20"/>
        <v>3</v>
      </c>
      <c r="G81" s="70">
        <f t="shared" si="20"/>
        <v>0</v>
      </c>
      <c r="H81" s="70">
        <f t="shared" si="20"/>
        <v>0</v>
      </c>
      <c r="I81" s="70">
        <f t="shared" si="20"/>
        <v>0</v>
      </c>
      <c r="J81" s="70">
        <f t="shared" si="20"/>
        <v>0</v>
      </c>
      <c r="K81" s="70">
        <f t="shared" si="20"/>
        <v>0</v>
      </c>
      <c r="L81" s="70">
        <f t="shared" si="20"/>
        <v>0</v>
      </c>
      <c r="M81" s="70">
        <f t="shared" si="20"/>
        <v>3</v>
      </c>
    </row>
    <row r="114" spans="1:14" ht="15.75" thickBot="1">
      <c r="K114" s="32" t="s">
        <v>93</v>
      </c>
    </row>
    <row r="115" spans="1:14" ht="47.25">
      <c r="A115" s="56" t="s">
        <v>31</v>
      </c>
      <c r="B115" s="56" t="s">
        <v>37</v>
      </c>
      <c r="C115" s="56" t="s">
        <v>73</v>
      </c>
      <c r="D115" s="57" t="s">
        <v>62</v>
      </c>
      <c r="E115" s="57" t="s">
        <v>63</v>
      </c>
      <c r="F115" s="57" t="s">
        <v>64</v>
      </c>
      <c r="G115" s="58" t="s">
        <v>65</v>
      </c>
      <c r="H115" s="23" t="s">
        <v>59</v>
      </c>
      <c r="I115" s="23" t="s">
        <v>34</v>
      </c>
    </row>
    <row r="116" spans="1:14" ht="15.75">
      <c r="A116" s="59" t="s">
        <v>23</v>
      </c>
      <c r="B116" s="59">
        <f t="shared" ref="B116:B123" si="21">SUM(D116:G116)</f>
        <v>3</v>
      </c>
      <c r="C116" s="59"/>
      <c r="D116" s="59">
        <v>1</v>
      </c>
      <c r="E116" s="59">
        <v>1</v>
      </c>
      <c r="F116" s="59">
        <v>0</v>
      </c>
      <c r="G116" s="59">
        <v>1</v>
      </c>
      <c r="H116" s="36">
        <v>0</v>
      </c>
      <c r="I116" s="36">
        <v>1</v>
      </c>
      <c r="N116" s="66"/>
    </row>
    <row r="117" spans="1:14" ht="15.75">
      <c r="A117" s="59" t="s">
        <v>66</v>
      </c>
      <c r="B117" s="59">
        <f t="shared" si="21"/>
        <v>3</v>
      </c>
      <c r="C117" s="59"/>
      <c r="D117" s="59">
        <v>1</v>
      </c>
      <c r="E117" s="59">
        <v>0.5</v>
      </c>
      <c r="F117" s="59">
        <v>0</v>
      </c>
      <c r="G117" s="59">
        <v>1.5</v>
      </c>
      <c r="H117" s="36">
        <v>0</v>
      </c>
      <c r="I117" s="36">
        <v>1.5</v>
      </c>
      <c r="M117" s="64"/>
    </row>
    <row r="118" spans="1:14" ht="15.75">
      <c r="A118" s="59" t="s">
        <v>67</v>
      </c>
      <c r="B118" s="59">
        <f t="shared" si="21"/>
        <v>3</v>
      </c>
      <c r="C118" s="59"/>
      <c r="D118" s="59">
        <v>1.5</v>
      </c>
      <c r="E118" s="59">
        <v>1</v>
      </c>
      <c r="F118" s="59">
        <v>0</v>
      </c>
      <c r="G118" s="59">
        <v>0.5</v>
      </c>
      <c r="H118" s="36">
        <v>0</v>
      </c>
      <c r="I118" s="36">
        <v>0.5</v>
      </c>
      <c r="K118" s="63"/>
      <c r="M118" s="65"/>
    </row>
    <row r="119" spans="1:14" ht="15.75">
      <c r="A119" s="59" t="s">
        <v>68</v>
      </c>
      <c r="B119" s="59">
        <f t="shared" si="21"/>
        <v>3</v>
      </c>
      <c r="C119" s="59"/>
      <c r="D119" s="59">
        <v>1</v>
      </c>
      <c r="E119" s="59">
        <v>0</v>
      </c>
      <c r="F119" s="59">
        <v>1.5</v>
      </c>
      <c r="G119" s="59">
        <v>0.5</v>
      </c>
      <c r="H119" s="62">
        <v>0</v>
      </c>
      <c r="I119" s="62">
        <v>0.5</v>
      </c>
      <c r="J119" s="64"/>
    </row>
    <row r="120" spans="1:14" ht="15.75">
      <c r="A120" s="59" t="s">
        <v>69</v>
      </c>
      <c r="B120" s="59">
        <f t="shared" si="21"/>
        <v>3</v>
      </c>
      <c r="C120" s="59"/>
      <c r="D120" s="59">
        <v>1.5</v>
      </c>
      <c r="E120" s="59">
        <v>0</v>
      </c>
      <c r="F120" s="59">
        <v>1.5</v>
      </c>
      <c r="G120" s="59">
        <v>0</v>
      </c>
      <c r="H120" s="36">
        <v>0</v>
      </c>
      <c r="I120" s="36">
        <v>0</v>
      </c>
    </row>
    <row r="121" spans="1:14" ht="15.75">
      <c r="A121" s="59" t="s">
        <v>70</v>
      </c>
      <c r="B121" s="59">
        <f t="shared" si="21"/>
        <v>3</v>
      </c>
      <c r="C121" s="59"/>
      <c r="D121" s="59">
        <v>0</v>
      </c>
      <c r="E121" s="59">
        <v>0</v>
      </c>
      <c r="F121" s="59">
        <v>0.5</v>
      </c>
      <c r="G121" s="59">
        <v>2.5</v>
      </c>
      <c r="H121" s="36">
        <v>0</v>
      </c>
      <c r="I121" s="36">
        <v>2.5</v>
      </c>
    </row>
    <row r="122" spans="1:14" ht="15.75">
      <c r="A122" s="59" t="s">
        <v>71</v>
      </c>
      <c r="B122" s="59">
        <f t="shared" si="21"/>
        <v>3</v>
      </c>
      <c r="C122" s="59"/>
      <c r="D122" s="59">
        <v>2</v>
      </c>
      <c r="E122" s="59">
        <v>0</v>
      </c>
      <c r="F122" s="59">
        <v>1</v>
      </c>
      <c r="G122" s="59">
        <v>0</v>
      </c>
      <c r="H122" s="36">
        <v>0</v>
      </c>
      <c r="I122" s="36">
        <v>0</v>
      </c>
    </row>
    <row r="123" spans="1:14" ht="16.5" thickBot="1">
      <c r="A123" s="60" t="s">
        <v>72</v>
      </c>
      <c r="B123" s="60">
        <f t="shared" si="21"/>
        <v>3</v>
      </c>
      <c r="C123" s="60"/>
      <c r="D123" s="60">
        <v>0</v>
      </c>
      <c r="E123" s="60">
        <v>0</v>
      </c>
      <c r="F123" s="60">
        <v>0</v>
      </c>
      <c r="G123" s="60">
        <v>3</v>
      </c>
      <c r="H123" s="36">
        <f>-H274</f>
        <v>0</v>
      </c>
      <c r="I123" s="36">
        <v>3</v>
      </c>
    </row>
    <row r="124" spans="1:14" ht="15.75">
      <c r="A124" s="61" t="s">
        <v>20</v>
      </c>
    </row>
    <row r="141" spans="3:22">
      <c r="C141" t="s">
        <v>117</v>
      </c>
    </row>
    <row r="142" spans="3:22" ht="47.25">
      <c r="D142" s="85" t="s">
        <v>84</v>
      </c>
      <c r="E142" s="86" t="s">
        <v>83</v>
      </c>
      <c r="F142" s="86" t="s">
        <v>37</v>
      </c>
      <c r="G142" s="87" t="s">
        <v>13</v>
      </c>
      <c r="H142" s="87" t="s">
        <v>40</v>
      </c>
      <c r="I142" s="87" t="s">
        <v>39</v>
      </c>
      <c r="J142" s="87" t="s">
        <v>33</v>
      </c>
      <c r="K142" s="87" t="s">
        <v>85</v>
      </c>
      <c r="L142" s="87" t="s">
        <v>26</v>
      </c>
      <c r="M142" s="87" t="s">
        <v>34</v>
      </c>
      <c r="N142" s="88" t="s">
        <v>92</v>
      </c>
      <c r="O142" s="88" t="s">
        <v>97</v>
      </c>
      <c r="P142" s="88" t="s">
        <v>61</v>
      </c>
      <c r="Q142" s="89" t="s">
        <v>12</v>
      </c>
      <c r="R142" s="89" t="s">
        <v>3</v>
      </c>
      <c r="S142" s="88" t="s">
        <v>94</v>
      </c>
      <c r="T142" s="88" t="s">
        <v>89</v>
      </c>
      <c r="U142" s="88" t="s">
        <v>88</v>
      </c>
      <c r="V142" s="89" t="s">
        <v>7</v>
      </c>
    </row>
    <row r="143" spans="3:22" ht="15.75">
      <c r="D143" s="90" t="s">
        <v>25</v>
      </c>
      <c r="E143" s="91">
        <f>E21</f>
        <v>12</v>
      </c>
      <c r="F143" s="91">
        <f t="shared" ref="F143:M143" si="22">F21</f>
        <v>3</v>
      </c>
      <c r="G143" s="91">
        <f t="shared" si="22"/>
        <v>0</v>
      </c>
      <c r="H143" s="91">
        <f t="shared" si="22"/>
        <v>0</v>
      </c>
      <c r="I143" s="91">
        <f t="shared" si="22"/>
        <v>0</v>
      </c>
      <c r="J143" s="91">
        <f t="shared" si="22"/>
        <v>3</v>
      </c>
      <c r="K143" s="91">
        <f t="shared" si="22"/>
        <v>0</v>
      </c>
      <c r="L143" s="91">
        <f t="shared" si="22"/>
        <v>0</v>
      </c>
      <c r="M143" s="91">
        <f t="shared" si="22"/>
        <v>0</v>
      </c>
      <c r="N143" s="83">
        <f>N21</f>
        <v>0.87390000000000001</v>
      </c>
      <c r="O143" s="83">
        <f t="shared" ref="O143:V143" si="23">O21</f>
        <v>59.3</v>
      </c>
      <c r="P143" s="83">
        <f t="shared" si="23"/>
        <v>15.83</v>
      </c>
      <c r="Q143" s="84">
        <f t="shared" si="23"/>
        <v>9.9999999999999995E-21</v>
      </c>
      <c r="R143" s="84">
        <f t="shared" si="23"/>
        <v>9.9999999999999995E-8</v>
      </c>
      <c r="S143" s="84">
        <f t="shared" si="23"/>
        <v>10000000000000</v>
      </c>
      <c r="T143" s="84">
        <f t="shared" si="23"/>
        <v>2.95E-22</v>
      </c>
      <c r="U143" s="84">
        <f t="shared" si="23"/>
        <v>1.63E-5</v>
      </c>
      <c r="V143" s="84">
        <f t="shared" si="23"/>
        <v>5.51E+16</v>
      </c>
    </row>
    <row r="144" spans="3:22" ht="15.75">
      <c r="D144" s="92" t="s">
        <v>21</v>
      </c>
      <c r="E144" s="93">
        <f>E22</f>
        <v>22</v>
      </c>
      <c r="F144" s="93">
        <f t="shared" ref="F144:M144" si="24">F22</f>
        <v>3</v>
      </c>
      <c r="G144" s="93">
        <f t="shared" si="24"/>
        <v>0</v>
      </c>
      <c r="H144" s="93">
        <f t="shared" si="24"/>
        <v>0</v>
      </c>
      <c r="I144" s="93">
        <f t="shared" si="24"/>
        <v>0</v>
      </c>
      <c r="J144" s="93">
        <f t="shared" si="24"/>
        <v>0</v>
      </c>
      <c r="K144" s="93">
        <f t="shared" si="24"/>
        <v>3</v>
      </c>
      <c r="L144" s="93">
        <f t="shared" si="24"/>
        <v>0</v>
      </c>
      <c r="M144" s="93">
        <f t="shared" si="24"/>
        <v>0</v>
      </c>
      <c r="N144" s="83">
        <f t="shared" ref="N144:V144" si="25">N22</f>
        <v>0.93089999999999995</v>
      </c>
      <c r="O144" s="83">
        <f t="shared" si="25"/>
        <v>58.4</v>
      </c>
      <c r="P144" s="83">
        <f t="shared" si="25"/>
        <v>8.35</v>
      </c>
      <c r="Q144" s="84">
        <f t="shared" si="25"/>
        <v>1E-22</v>
      </c>
      <c r="R144" s="84">
        <f t="shared" si="25"/>
        <v>9.9999999999999995E-8</v>
      </c>
      <c r="S144" s="84">
        <f t="shared" si="25"/>
        <v>1000000000000000</v>
      </c>
      <c r="T144" s="84">
        <f t="shared" si="25"/>
        <v>3.1500000000000001E-23</v>
      </c>
      <c r="U144" s="84">
        <f t="shared" si="25"/>
        <v>8.1499999999999999E-6</v>
      </c>
      <c r="V144" s="84">
        <f t="shared" si="25"/>
        <v>2.58E+17</v>
      </c>
    </row>
    <row r="145" spans="3:22" ht="15.75">
      <c r="C145">
        <v>30</v>
      </c>
      <c r="D145" s="90" t="s">
        <v>129</v>
      </c>
      <c r="E145" s="91">
        <f>E26</f>
        <v>30</v>
      </c>
      <c r="F145" s="91">
        <f t="shared" ref="F145:V145" si="26">F26</f>
        <v>3</v>
      </c>
      <c r="G145" s="91">
        <f t="shared" si="26"/>
        <v>0</v>
      </c>
      <c r="H145" s="91">
        <f t="shared" si="26"/>
        <v>0</v>
      </c>
      <c r="I145" s="91">
        <f t="shared" si="26"/>
        <v>0</v>
      </c>
      <c r="J145" s="91">
        <f t="shared" si="26"/>
        <v>0.5</v>
      </c>
      <c r="K145" s="91">
        <f t="shared" si="26"/>
        <v>2</v>
      </c>
      <c r="L145" s="91">
        <f t="shared" si="26"/>
        <v>0</v>
      </c>
      <c r="M145" s="91">
        <f t="shared" si="26"/>
        <v>0.5</v>
      </c>
      <c r="N145" s="83">
        <f t="shared" si="26"/>
        <v>0.92900000000000005</v>
      </c>
      <c r="O145" s="83">
        <f t="shared" si="26"/>
        <v>58.4</v>
      </c>
      <c r="P145" s="83">
        <f t="shared" si="26"/>
        <v>7.3</v>
      </c>
      <c r="Q145" s="84">
        <f t="shared" si="26"/>
        <v>1E-22</v>
      </c>
      <c r="R145" s="84">
        <f t="shared" si="26"/>
        <v>9.9999999999999995E-8</v>
      </c>
      <c r="S145" s="84">
        <f t="shared" si="26"/>
        <v>1000000000000000</v>
      </c>
      <c r="T145" s="84">
        <f t="shared" si="26"/>
        <v>3.3550000000000002E-23</v>
      </c>
      <c r="U145" s="84">
        <f t="shared" si="26"/>
        <v>1.1029999999999999E-5</v>
      </c>
      <c r="V145" s="84">
        <f t="shared" si="26"/>
        <v>3.288E+17</v>
      </c>
    </row>
    <row r="146" spans="3:22" ht="15.75">
      <c r="D146" s="92" t="s">
        <v>130</v>
      </c>
      <c r="E146" s="93">
        <f t="shared" ref="E146:V146" si="27">E19</f>
        <v>38</v>
      </c>
      <c r="F146" s="93">
        <f t="shared" si="27"/>
        <v>3</v>
      </c>
      <c r="G146" s="93">
        <f t="shared" si="27"/>
        <v>0</v>
      </c>
      <c r="H146" s="93">
        <f t="shared" si="27"/>
        <v>0</v>
      </c>
      <c r="I146" s="93">
        <f t="shared" si="27"/>
        <v>0</v>
      </c>
      <c r="J146" s="93">
        <f t="shared" si="27"/>
        <v>1</v>
      </c>
      <c r="K146" s="93">
        <f t="shared" si="27"/>
        <v>1</v>
      </c>
      <c r="L146" s="93">
        <f t="shared" si="27"/>
        <v>0</v>
      </c>
      <c r="M146" s="93">
        <f t="shared" si="27"/>
        <v>1</v>
      </c>
      <c r="N146" s="83">
        <f t="shared" si="27"/>
        <v>0.92800000000000005</v>
      </c>
      <c r="O146" s="83">
        <f t="shared" si="27"/>
        <v>58.3</v>
      </c>
      <c r="P146" s="83">
        <f t="shared" si="27"/>
        <v>6.87</v>
      </c>
      <c r="Q146" s="84">
        <f t="shared" si="27"/>
        <v>9.9999999999999991E-22</v>
      </c>
      <c r="R146" s="84">
        <f t="shared" si="27"/>
        <v>9.9999999999999995E-8</v>
      </c>
      <c r="S146" s="84">
        <f t="shared" si="27"/>
        <v>100000000000000</v>
      </c>
      <c r="T146" s="84">
        <f t="shared" si="27"/>
        <v>4.4500000000000001E-23</v>
      </c>
      <c r="U146" s="84">
        <f t="shared" si="27"/>
        <v>9.0000000000000002E-6</v>
      </c>
      <c r="V146" s="84">
        <f t="shared" si="27"/>
        <v>2.03E+17</v>
      </c>
    </row>
    <row r="147" spans="3:22" ht="15.75">
      <c r="D147" s="90" t="s">
        <v>131</v>
      </c>
      <c r="E147" s="91">
        <f>E25</f>
        <v>49.333333333333336</v>
      </c>
      <c r="F147" s="91">
        <f t="shared" ref="F147:V147" si="28">F25</f>
        <v>3</v>
      </c>
      <c r="G147" s="91">
        <f t="shared" si="28"/>
        <v>0</v>
      </c>
      <c r="H147" s="91">
        <f t="shared" si="28"/>
        <v>0</v>
      </c>
      <c r="I147" s="91">
        <f t="shared" si="28"/>
        <v>0</v>
      </c>
      <c r="J147" s="91">
        <f t="shared" si="28"/>
        <v>0.5</v>
      </c>
      <c r="K147" s="91">
        <f t="shared" si="28"/>
        <v>1</v>
      </c>
      <c r="L147" s="91">
        <f t="shared" si="28"/>
        <v>0</v>
      </c>
      <c r="M147" s="91">
        <f t="shared" si="28"/>
        <v>1.5</v>
      </c>
      <c r="N147" s="83">
        <f t="shared" si="28"/>
        <v>0.94820000000000004</v>
      </c>
      <c r="O147" s="83">
        <f t="shared" si="28"/>
        <v>58</v>
      </c>
      <c r="P147" s="83">
        <f t="shared" si="28"/>
        <v>10.61</v>
      </c>
      <c r="Q147" s="84">
        <f t="shared" si="28"/>
        <v>1E-26</v>
      </c>
      <c r="R147" s="84">
        <f t="shared" si="28"/>
        <v>9.9999999999999995E-8</v>
      </c>
      <c r="S147" s="84">
        <f t="shared" si="28"/>
        <v>1000000000000000</v>
      </c>
      <c r="T147" s="84">
        <f t="shared" si="28"/>
        <v>1.7399999999999998E-24</v>
      </c>
      <c r="U147" s="84">
        <f t="shared" si="28"/>
        <v>1.2300000000000001E-5</v>
      </c>
      <c r="V147" s="84">
        <f t="shared" si="28"/>
        <v>7.07E+18</v>
      </c>
    </row>
    <row r="148" spans="3:22" ht="15.75">
      <c r="D148" s="92" t="s">
        <v>132</v>
      </c>
      <c r="E148" s="93">
        <f>E20</f>
        <v>59</v>
      </c>
      <c r="F148" s="93">
        <f t="shared" ref="F148:V148" si="29">F20</f>
        <v>3</v>
      </c>
      <c r="G148" s="93">
        <f t="shared" si="29"/>
        <v>0</v>
      </c>
      <c r="H148" s="93">
        <f t="shared" si="29"/>
        <v>0</v>
      </c>
      <c r="I148" s="93">
        <f t="shared" si="29"/>
        <v>0</v>
      </c>
      <c r="J148" s="93">
        <f t="shared" si="29"/>
        <v>0.5</v>
      </c>
      <c r="K148" s="93">
        <f t="shared" si="29"/>
        <v>0.5</v>
      </c>
      <c r="L148" s="93">
        <f t="shared" si="29"/>
        <v>0</v>
      </c>
      <c r="M148" s="93">
        <f t="shared" si="29"/>
        <v>2</v>
      </c>
      <c r="N148" s="83">
        <f t="shared" si="29"/>
        <v>0.96440000000000003</v>
      </c>
      <c r="O148" s="83">
        <f t="shared" si="29"/>
        <v>57.6</v>
      </c>
      <c r="P148" s="83">
        <f t="shared" si="29"/>
        <v>9.57</v>
      </c>
      <c r="Q148" s="84">
        <f t="shared" si="29"/>
        <v>1E-22</v>
      </c>
      <c r="R148" s="84">
        <f t="shared" si="29"/>
        <v>9.9999999999999995E-8</v>
      </c>
      <c r="S148" s="84">
        <f t="shared" si="29"/>
        <v>1000000000000000</v>
      </c>
      <c r="T148" s="84">
        <f t="shared" si="29"/>
        <v>8.2699999999999997E-24</v>
      </c>
      <c r="U148" s="84">
        <f t="shared" si="29"/>
        <v>7.4000000000000003E-6</v>
      </c>
      <c r="V148" s="84">
        <f t="shared" si="29"/>
        <v>8.95E+17</v>
      </c>
    </row>
    <row r="149" spans="3:22" ht="15.75">
      <c r="D149" s="90" t="s">
        <v>133</v>
      </c>
      <c r="E149" s="91">
        <f>E24</f>
        <v>70.333333333333329</v>
      </c>
      <c r="F149" s="91">
        <f t="shared" ref="F149:V149" si="30">F24</f>
        <v>3</v>
      </c>
      <c r="G149" s="91">
        <f t="shared" si="30"/>
        <v>0</v>
      </c>
      <c r="H149" s="91">
        <f t="shared" si="30"/>
        <v>0</v>
      </c>
      <c r="I149" s="91">
        <f t="shared" si="30"/>
        <v>0</v>
      </c>
      <c r="J149" s="91">
        <f t="shared" si="30"/>
        <v>0</v>
      </c>
      <c r="K149" s="91">
        <f t="shared" si="30"/>
        <v>0.5</v>
      </c>
      <c r="L149" s="91">
        <f t="shared" si="30"/>
        <v>0</v>
      </c>
      <c r="M149" s="91">
        <f t="shared" si="30"/>
        <v>2.5</v>
      </c>
      <c r="N149" s="83">
        <f t="shared" si="30"/>
        <v>0.99239999999999995</v>
      </c>
      <c r="O149" s="83">
        <f t="shared" si="30"/>
        <v>56.6</v>
      </c>
      <c r="P149" s="83">
        <f t="shared" si="30"/>
        <v>7.39</v>
      </c>
      <c r="Q149" s="84">
        <f t="shared" si="30"/>
        <v>1E-27</v>
      </c>
      <c r="R149" s="84">
        <f t="shared" si="30"/>
        <v>9.9999999999999995E-8</v>
      </c>
      <c r="S149" s="84">
        <f t="shared" si="30"/>
        <v>1E+20</v>
      </c>
      <c r="T149" s="84">
        <f t="shared" si="30"/>
        <v>4.0789999999999998E-31</v>
      </c>
      <c r="U149" s="84">
        <f t="shared" si="30"/>
        <v>7.525E-6</v>
      </c>
      <c r="V149" s="84">
        <f t="shared" si="30"/>
        <v>1.844E+25</v>
      </c>
    </row>
    <row r="150" spans="3:22" ht="15.75">
      <c r="D150" s="92" t="s">
        <v>20</v>
      </c>
      <c r="E150" s="93">
        <f>E23</f>
        <v>80</v>
      </c>
      <c r="F150" s="93">
        <f t="shared" ref="F150:M150" si="31">F97</f>
        <v>0</v>
      </c>
      <c r="G150" s="93">
        <f t="shared" si="31"/>
        <v>0</v>
      </c>
      <c r="H150" s="93">
        <f t="shared" si="31"/>
        <v>0</v>
      </c>
      <c r="I150" s="93">
        <f t="shared" si="31"/>
        <v>0</v>
      </c>
      <c r="J150" s="93">
        <f t="shared" si="31"/>
        <v>0</v>
      </c>
      <c r="K150" s="93">
        <f t="shared" si="31"/>
        <v>0</v>
      </c>
      <c r="L150" s="93">
        <f t="shared" si="31"/>
        <v>0</v>
      </c>
      <c r="M150" s="93">
        <f t="shared" si="31"/>
        <v>0</v>
      </c>
      <c r="N150" s="83">
        <f t="shared" ref="N150:V150" si="32">N23</f>
        <v>1.0038</v>
      </c>
      <c r="O150" s="83">
        <f t="shared" si="32"/>
        <v>56.8</v>
      </c>
      <c r="P150" s="83">
        <f t="shared" si="32"/>
        <v>7.39</v>
      </c>
      <c r="Q150" s="84">
        <f t="shared" si="32"/>
        <v>9.9999999999999994E-30</v>
      </c>
      <c r="R150" s="84">
        <f t="shared" si="32"/>
        <v>9.9999999999999995E-8</v>
      </c>
      <c r="S150" s="84">
        <f t="shared" si="32"/>
        <v>1E+22</v>
      </c>
      <c r="T150" s="84">
        <f t="shared" si="32"/>
        <v>7.0319999999999996E-32</v>
      </c>
      <c r="U150" s="84">
        <f t="shared" si="32"/>
        <v>7.3699999999999997E-6</v>
      </c>
      <c r="V150" s="84">
        <f t="shared" si="32"/>
        <v>1.048E+26</v>
      </c>
    </row>
  </sheetData>
  <mergeCells count="1">
    <mergeCell ref="C74:C80"/>
  </mergeCell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106"/>
  <sheetViews>
    <sheetView zoomScale="68" zoomScaleNormal="115" workbookViewId="0">
      <selection activeCell="N6" sqref="N6"/>
    </sheetView>
  </sheetViews>
  <sheetFormatPr defaultColWidth="8.85546875" defaultRowHeight="12"/>
  <cols>
    <col min="1" max="1" width="17.7109375" style="102" customWidth="1"/>
    <col min="2" max="2" width="8.28515625" style="102" customWidth="1"/>
    <col min="3" max="3" width="11.42578125" style="102" bestFit="1" customWidth="1"/>
    <col min="4" max="4" width="14.28515625" style="102" customWidth="1"/>
    <col min="5" max="5" width="11.140625" style="102" customWidth="1"/>
    <col min="6" max="6" width="10.5703125" style="104" bestFit="1" customWidth="1"/>
    <col min="7" max="7" width="8.28515625" style="104" customWidth="1"/>
    <col min="8" max="8" width="9" style="105" bestFit="1" customWidth="1"/>
    <col min="9" max="9" width="9" style="105" customWidth="1"/>
    <col min="10" max="11" width="9" style="105" bestFit="1" customWidth="1"/>
    <col min="12" max="12" width="8.85546875" style="169"/>
    <col min="13" max="13" width="8.85546875" style="108" customWidth="1"/>
    <col min="14" max="14" width="8.85546875" style="108"/>
    <col min="15" max="15" width="8.85546875" style="108" customWidth="1"/>
    <col min="16" max="16" width="8.85546875" style="168"/>
    <col min="17" max="17" width="8.85546875" style="169" customWidth="1"/>
    <col min="18" max="19" width="8.85546875" style="168"/>
    <col min="20" max="23" width="8.85546875" style="108" customWidth="1"/>
    <col min="24" max="24" width="9" style="107" bestFit="1" customWidth="1"/>
    <col min="25" max="27" width="15.42578125" style="160" customWidth="1"/>
    <col min="28" max="28" width="15.42578125" style="108" customWidth="1"/>
    <col min="29" max="29" width="14.140625" style="151" bestFit="1" customWidth="1"/>
    <col min="30" max="30" width="10.7109375" style="143" bestFit="1" customWidth="1"/>
    <col min="31" max="31" width="15.7109375" style="143" customWidth="1"/>
    <col min="32" max="32" width="10.42578125" style="143" bestFit="1" customWidth="1"/>
    <col min="33" max="33" width="12.7109375" style="143" customWidth="1"/>
    <col min="34" max="34" width="15.28515625" style="143" bestFit="1" customWidth="1"/>
    <col min="35" max="35" width="12" style="102" bestFit="1" customWidth="1"/>
    <col min="36" max="37" width="8.85546875" style="102"/>
    <col min="38" max="38" width="15.85546875" style="102" customWidth="1"/>
    <col min="39" max="39" width="13.28515625" style="102" hidden="1" customWidth="1"/>
    <col min="40" max="40" width="14.28515625" style="102" hidden="1" customWidth="1"/>
    <col min="41" max="41" width="13.7109375" style="102" hidden="1" customWidth="1"/>
    <col min="42" max="42" width="14.28515625" style="102" hidden="1" customWidth="1"/>
    <col min="43" max="43" width="13.28515625" style="102" hidden="1" customWidth="1"/>
    <col min="44" max="44" width="14.140625" style="102" hidden="1" customWidth="1"/>
    <col min="45" max="45" width="11" style="102" bestFit="1" customWidth="1"/>
    <col min="46" max="47" width="10.7109375" style="102" bestFit="1" customWidth="1"/>
    <col min="48" max="48" width="11" style="102" bestFit="1" customWidth="1"/>
    <col min="49" max="50" width="10.7109375" style="102" bestFit="1" customWidth="1"/>
    <col min="51" max="52" width="11" style="102" bestFit="1" customWidth="1"/>
    <col min="53" max="53" width="10.5703125" style="102" bestFit="1" customWidth="1"/>
    <col min="54" max="54" width="10.7109375" style="102" bestFit="1" customWidth="1"/>
    <col min="55" max="55" width="10.5703125" style="102" bestFit="1" customWidth="1"/>
    <col min="56" max="56" width="11.42578125" style="102" customWidth="1"/>
    <col min="57" max="57" width="14.140625" style="102" bestFit="1" customWidth="1"/>
    <col min="58" max="16384" width="8.85546875" style="102"/>
  </cols>
  <sheetData>
    <row r="1" spans="1:35" s="103" customFormat="1" ht="164.25">
      <c r="E1" s="131" t="s">
        <v>147</v>
      </c>
      <c r="F1" s="132" t="s">
        <v>146</v>
      </c>
      <c r="G1" s="132" t="s">
        <v>157</v>
      </c>
      <c r="H1" s="132" t="s">
        <v>148</v>
      </c>
      <c r="I1" s="132" t="s">
        <v>209</v>
      </c>
      <c r="J1" s="132" t="s">
        <v>149</v>
      </c>
      <c r="K1" s="132" t="s">
        <v>146</v>
      </c>
      <c r="L1" s="161" t="s">
        <v>159</v>
      </c>
      <c r="M1" s="112" t="s">
        <v>163</v>
      </c>
      <c r="N1" s="112" t="s">
        <v>160</v>
      </c>
      <c r="O1" s="112" t="s">
        <v>164</v>
      </c>
      <c r="P1" s="161" t="s">
        <v>162</v>
      </c>
      <c r="Q1" s="161" t="s">
        <v>165</v>
      </c>
      <c r="R1" s="161" t="s">
        <v>161</v>
      </c>
      <c r="S1" s="161"/>
      <c r="T1" s="112" t="s">
        <v>174</v>
      </c>
      <c r="U1" s="112" t="s">
        <v>193</v>
      </c>
      <c r="V1" s="112" t="s">
        <v>173</v>
      </c>
      <c r="W1" s="112" t="s">
        <v>172</v>
      </c>
      <c r="X1" s="133" t="s">
        <v>149</v>
      </c>
      <c r="Y1" s="153" t="s">
        <v>188</v>
      </c>
      <c r="Z1" s="153" t="s">
        <v>189</v>
      </c>
      <c r="AA1" s="153" t="s">
        <v>190</v>
      </c>
      <c r="AB1" s="112"/>
      <c r="AC1" s="144" t="s">
        <v>183</v>
      </c>
      <c r="AD1" s="138"/>
      <c r="AE1" s="138"/>
      <c r="AF1" s="138"/>
      <c r="AG1" s="138"/>
      <c r="AH1" s="138"/>
    </row>
    <row r="2" spans="1:35" s="101" customFormat="1" ht="47.45" customHeight="1">
      <c r="A2" s="101" t="s">
        <v>87</v>
      </c>
      <c r="C2" s="101" t="s">
        <v>158</v>
      </c>
      <c r="D2" s="101" t="s">
        <v>52</v>
      </c>
      <c r="E2" s="113" t="s">
        <v>152</v>
      </c>
      <c r="F2" s="114">
        <v>3.9</v>
      </c>
      <c r="G2" s="114">
        <v>12</v>
      </c>
      <c r="H2" s="114">
        <v>22</v>
      </c>
      <c r="I2" s="114">
        <v>27</v>
      </c>
      <c r="J2" s="114">
        <v>80</v>
      </c>
      <c r="K2" s="114">
        <v>3.9</v>
      </c>
      <c r="L2" s="162"/>
      <c r="M2" s="115"/>
      <c r="N2" s="115"/>
      <c r="O2" s="115"/>
      <c r="P2" s="162"/>
      <c r="Q2" s="162"/>
      <c r="R2" s="162"/>
      <c r="S2" s="162"/>
      <c r="T2" s="115"/>
      <c r="U2" s="115"/>
      <c r="V2" s="115"/>
      <c r="W2" s="115"/>
      <c r="X2" s="124">
        <v>80</v>
      </c>
      <c r="Y2" s="154"/>
      <c r="Z2" s="154"/>
      <c r="AA2" s="154"/>
      <c r="AB2" s="115"/>
      <c r="AC2" s="145"/>
      <c r="AD2" s="139"/>
      <c r="AE2" s="139"/>
      <c r="AF2" s="139"/>
      <c r="AG2" s="139"/>
      <c r="AH2" s="139"/>
    </row>
    <row r="3" spans="1:35" s="101" customFormat="1" ht="47.45" customHeight="1">
      <c r="E3" s="113" t="s">
        <v>171</v>
      </c>
      <c r="F3" s="114">
        <v>9</v>
      </c>
      <c r="G3" s="114">
        <v>8.1999999999999993</v>
      </c>
      <c r="H3" s="114">
        <v>5.2</v>
      </c>
      <c r="I3" s="114">
        <v>5.2</v>
      </c>
      <c r="J3" s="114">
        <v>3.5</v>
      </c>
      <c r="K3" s="114">
        <v>9</v>
      </c>
      <c r="L3" s="163">
        <f>($B$5*L15+$B$8*L16+$B$9*L17+$B$11*L19)/L20</f>
        <v>7.4666666666666659</v>
      </c>
      <c r="M3" s="116">
        <f t="shared" ref="M3:W3" si="0">($B$5*M15+$B$8*M16+$B$9*M17+$B$11*M19)/M20</f>
        <v>6.333333333333333</v>
      </c>
      <c r="N3" s="116">
        <f t="shared" si="0"/>
        <v>5.7</v>
      </c>
      <c r="O3" s="116">
        <f t="shared" si="0"/>
        <v>5.416666666666667</v>
      </c>
      <c r="P3" s="163">
        <f t="shared" si="0"/>
        <v>6.8999999999999995</v>
      </c>
      <c r="Q3" s="163">
        <f t="shared" si="0"/>
        <v>5.8999999999999995</v>
      </c>
      <c r="R3" s="163">
        <f t="shared" si="0"/>
        <v>5.6333333333333329</v>
      </c>
      <c r="S3" s="116">
        <f>($B$5*S15+$B$8*S16+$B$9*S17+$B$11*S19)/S20</f>
        <v>6.25</v>
      </c>
      <c r="T3" s="116">
        <f t="shared" si="0"/>
        <v>6.1166666666666671</v>
      </c>
      <c r="U3" s="116">
        <f t="shared" si="0"/>
        <v>4.3500000000000005</v>
      </c>
      <c r="V3" s="116">
        <f t="shared" si="0"/>
        <v>4.5666666666666664</v>
      </c>
      <c r="W3" s="116">
        <f t="shared" si="0"/>
        <v>3.7833333333333332</v>
      </c>
      <c r="X3" s="124">
        <v>3.5</v>
      </c>
      <c r="Y3" s="155" t="s">
        <v>187</v>
      </c>
      <c r="Z3" s="155" t="s">
        <v>185</v>
      </c>
      <c r="AA3" s="155" t="s">
        <v>184</v>
      </c>
      <c r="AB3" s="116" t="s">
        <v>186</v>
      </c>
      <c r="AC3" s="146" t="s">
        <v>175</v>
      </c>
      <c r="AD3" s="140" t="s">
        <v>176</v>
      </c>
      <c r="AE3" s="140" t="s">
        <v>191</v>
      </c>
      <c r="AF3" s="140" t="s">
        <v>177</v>
      </c>
      <c r="AG3" s="140" t="s">
        <v>177</v>
      </c>
      <c r="AH3" s="140" t="s">
        <v>178</v>
      </c>
      <c r="AI3" s="140" t="s">
        <v>178</v>
      </c>
    </row>
    <row r="4" spans="1:35" s="101" customFormat="1" ht="24">
      <c r="A4" s="101" t="s">
        <v>169</v>
      </c>
      <c r="B4" s="101" t="s">
        <v>167</v>
      </c>
      <c r="C4" s="101" t="s">
        <v>168</v>
      </c>
      <c r="E4" s="113" t="s">
        <v>150</v>
      </c>
      <c r="F4" s="114">
        <f>($C$5*F15+$C$8*F16+$C$9*F17+$C$11*F19)/F20</f>
        <v>3.9</v>
      </c>
      <c r="G4" s="114">
        <f>($C$5*G15+$C$8*G16+$C$9*G17+$C$11*G19)/G20</f>
        <v>12</v>
      </c>
      <c r="H4" s="114">
        <f>($C$5*H15+$C$8*H16+$C$9*H17+$C$11*H19)/H20</f>
        <v>22</v>
      </c>
      <c r="I4" s="114">
        <v>27</v>
      </c>
      <c r="J4" s="114">
        <f>($C$5*J15+$C$8*J16+$C$9*J17+$C$11*J19)/J20</f>
        <v>80</v>
      </c>
      <c r="K4" s="114">
        <f>($C$5*K15+$C$8*K16+$C$9*K17+$C$11*K19)/K20</f>
        <v>3.9</v>
      </c>
      <c r="L4" s="163">
        <f t="shared" ref="L4:W4" si="1">($C$5*L15+$C$8*L16+$C$9*L17+$C$11*L19)/L20</f>
        <v>12.633333333333333</v>
      </c>
      <c r="M4" s="116">
        <f>($C$5*M15+$C$8*M16+$C$9*M17+$C$11*M19)/M20</f>
        <v>17.316666666666666</v>
      </c>
      <c r="N4" s="116">
        <f>($C$5*N15+$C$8*N16+$C$9*N17+$C$11*N19)/N20</f>
        <v>20.333333333333332</v>
      </c>
      <c r="O4" s="116">
        <f>($C$5*O15+$C$8*O16+$C$9*O17+$C$11*O19)/O20</f>
        <v>30</v>
      </c>
      <c r="P4" s="163">
        <f>($C$5*P15+$C$8*P16+$C$9*P17+$C$11*P19)/P20</f>
        <v>31.966666666666669</v>
      </c>
      <c r="Q4" s="163">
        <f t="shared" si="1"/>
        <v>35.300000000000004</v>
      </c>
      <c r="R4" s="163">
        <f>($C$5*R15+$C$8*R16+$C$9*R17+$C$11*R19)/R20</f>
        <v>38</v>
      </c>
      <c r="S4" s="116">
        <f>($C$5*S15+$C$8*S16+$C$9*S17+$C$11*S19)/S20</f>
        <v>41.949999999999996</v>
      </c>
      <c r="T4" s="116">
        <f t="shared" si="1"/>
        <v>43.300000000000004</v>
      </c>
      <c r="U4" s="116">
        <f t="shared" si="1"/>
        <v>51</v>
      </c>
      <c r="V4" s="116">
        <f t="shared" si="1"/>
        <v>59</v>
      </c>
      <c r="W4" s="116">
        <f t="shared" si="1"/>
        <v>70.333333333333329</v>
      </c>
      <c r="X4" s="124">
        <f>($C$5*X15+$C$8*X16+$C$9*X17+$C$11*X19)/X20</f>
        <v>80</v>
      </c>
      <c r="Y4" s="155">
        <v>80</v>
      </c>
      <c r="Z4" s="155">
        <v>80</v>
      </c>
      <c r="AA4" s="155">
        <v>80</v>
      </c>
      <c r="AB4" s="116"/>
      <c r="AC4" s="146"/>
      <c r="AD4" s="140"/>
      <c r="AE4" s="140"/>
      <c r="AF4" s="140"/>
      <c r="AG4" s="140"/>
      <c r="AH4" s="140"/>
    </row>
    <row r="5" spans="1:35" ht="15.75">
      <c r="A5" s="48" t="s">
        <v>23</v>
      </c>
      <c r="B5" s="48">
        <v>9</v>
      </c>
      <c r="C5" s="48">
        <v>3.9</v>
      </c>
      <c r="E5" s="109" t="s">
        <v>140</v>
      </c>
      <c r="F5" s="110">
        <v>0.55659999999999998</v>
      </c>
      <c r="G5" s="110">
        <v>0.85729999999999995</v>
      </c>
      <c r="H5" s="110">
        <v>0.92600000000000005</v>
      </c>
      <c r="I5" s="110">
        <v>0.95179999999999998</v>
      </c>
      <c r="J5" s="110">
        <v>1.0028999999999999</v>
      </c>
      <c r="K5" s="110">
        <v>0.55659999999999998</v>
      </c>
      <c r="L5" s="164">
        <v>0.76890000000000003</v>
      </c>
      <c r="M5" s="111">
        <v>0.84440000000000004</v>
      </c>
      <c r="N5" s="111">
        <v>0.91500000000000004</v>
      </c>
      <c r="O5" s="111">
        <v>0.92379999999999995</v>
      </c>
      <c r="P5" s="164">
        <v>0.78900000000000003</v>
      </c>
      <c r="Q5" s="164">
        <v>0.80810000000000004</v>
      </c>
      <c r="R5" s="164">
        <v>0.92230000000000001</v>
      </c>
      <c r="S5" s="111">
        <v>0.76519999999999999</v>
      </c>
      <c r="T5" s="111">
        <v>0.80730000000000002</v>
      </c>
      <c r="U5" s="111">
        <v>0.96379999999999999</v>
      </c>
      <c r="V5" s="111">
        <v>0.9607</v>
      </c>
      <c r="W5" s="111">
        <v>0.99099999999999999</v>
      </c>
      <c r="X5" s="125">
        <v>1.0028999999999999</v>
      </c>
      <c r="Y5" s="156">
        <v>1.0038</v>
      </c>
      <c r="Z5" s="156">
        <v>1.0028999999999999</v>
      </c>
      <c r="AA5" s="156">
        <v>1.008</v>
      </c>
      <c r="AB5" s="152">
        <f>(Z5-AA5)/Z5</f>
        <v>-5.0852527669758745E-3</v>
      </c>
      <c r="AC5" s="147">
        <v>0.92800000000000005</v>
      </c>
      <c r="AD5" s="141">
        <f t="shared" ref="AD5:AD14" si="2">($AC5-G5)/G5</f>
        <v>8.246821416073731E-2</v>
      </c>
      <c r="AE5" s="141"/>
      <c r="AF5" s="141">
        <f t="shared" ref="AF5:AF14" si="3">($AC5-H5)/H5</f>
        <v>2.159827213822896E-3</v>
      </c>
      <c r="AG5" s="141"/>
      <c r="AH5" s="141">
        <f t="shared" ref="AH5:AH14" si="4">($AC5-J5)/J5</f>
        <v>-7.4683418087545986E-2</v>
      </c>
    </row>
    <row r="6" spans="1:35" ht="15.75">
      <c r="A6" s="48" t="s">
        <v>170</v>
      </c>
      <c r="B6" s="48">
        <v>4.5999999999999996</v>
      </c>
      <c r="C6" s="48">
        <v>7.5</v>
      </c>
      <c r="E6" s="109" t="s">
        <v>142</v>
      </c>
      <c r="F6" s="110">
        <v>68</v>
      </c>
      <c r="G6" s="110">
        <v>59.6</v>
      </c>
      <c r="H6" s="110">
        <v>59.8</v>
      </c>
      <c r="I6" s="110">
        <v>58.6</v>
      </c>
      <c r="J6" s="110">
        <v>56.1</v>
      </c>
      <c r="K6" s="110">
        <v>68</v>
      </c>
      <c r="L6" s="164">
        <v>62</v>
      </c>
      <c r="M6" s="111">
        <v>59.3</v>
      </c>
      <c r="N6" s="111">
        <v>60</v>
      </c>
      <c r="O6" s="111">
        <v>60.1</v>
      </c>
      <c r="P6" s="164">
        <v>60.7</v>
      </c>
      <c r="Q6" s="164">
        <v>59.7</v>
      </c>
      <c r="R6" s="164">
        <v>59.9</v>
      </c>
      <c r="S6" s="111">
        <v>62</v>
      </c>
      <c r="T6" s="111">
        <v>59.7</v>
      </c>
      <c r="U6" s="111">
        <v>59.1</v>
      </c>
      <c r="V6" s="111">
        <v>59</v>
      </c>
      <c r="W6" s="111">
        <v>57.8</v>
      </c>
      <c r="X6" s="125">
        <v>56.1</v>
      </c>
      <c r="Y6" s="156">
        <v>56.8</v>
      </c>
      <c r="Z6" s="156">
        <v>56.1</v>
      </c>
      <c r="AA6" s="156">
        <v>59</v>
      </c>
      <c r="AB6" s="152">
        <f t="shared" ref="AB6:AB14" si="5">(Z6-AA6)/Z6</f>
        <v>-5.169340463458108E-2</v>
      </c>
      <c r="AC6" s="147">
        <v>58.3</v>
      </c>
      <c r="AD6" s="141">
        <f t="shared" si="2"/>
        <v>-2.1812080536912824E-2</v>
      </c>
      <c r="AE6" s="141"/>
      <c r="AF6" s="141">
        <f t="shared" si="3"/>
        <v>-2.508361204013378E-2</v>
      </c>
      <c r="AG6" s="141"/>
      <c r="AH6" s="141">
        <f t="shared" si="4"/>
        <v>3.9215686274509727E-2</v>
      </c>
    </row>
    <row r="7" spans="1:35" ht="15.75">
      <c r="A7" s="48" t="s">
        <v>39</v>
      </c>
      <c r="B7" s="48"/>
      <c r="C7" s="48">
        <v>12</v>
      </c>
      <c r="E7" s="109" t="s">
        <v>143</v>
      </c>
      <c r="F7" s="110">
        <v>67.5</v>
      </c>
      <c r="G7" s="110">
        <v>59.4</v>
      </c>
      <c r="H7" s="110">
        <v>58.6</v>
      </c>
      <c r="I7" s="110">
        <v>58.5</v>
      </c>
      <c r="J7" s="110">
        <v>55.7</v>
      </c>
      <c r="K7" s="110">
        <v>67.5</v>
      </c>
      <c r="L7" s="164">
        <v>61.9</v>
      </c>
      <c r="M7" s="111">
        <v>59</v>
      </c>
      <c r="N7" s="111">
        <v>58.7</v>
      </c>
      <c r="O7" s="111">
        <v>59</v>
      </c>
      <c r="P7" s="164">
        <v>-3555.4</v>
      </c>
      <c r="Q7" s="164">
        <v>60.1</v>
      </c>
      <c r="R7" s="164">
        <v>59.2</v>
      </c>
      <c r="S7" s="111">
        <v>61.8</v>
      </c>
      <c r="T7" s="111">
        <v>-882.7</v>
      </c>
      <c r="U7" s="111">
        <v>59</v>
      </c>
      <c r="V7" s="111">
        <v>59.1</v>
      </c>
      <c r="W7" s="111">
        <v>57.3</v>
      </c>
      <c r="X7" s="125">
        <v>55.7</v>
      </c>
      <c r="Y7" s="156">
        <v>56.7</v>
      </c>
      <c r="Z7" s="156">
        <v>55.7</v>
      </c>
      <c r="AA7" s="156">
        <v>58.9</v>
      </c>
      <c r="AB7" s="152">
        <f t="shared" si="5"/>
        <v>-5.7450628366247675E-2</v>
      </c>
      <c r="AC7" s="147">
        <v>57.8</v>
      </c>
      <c r="AD7" s="141">
        <f t="shared" si="2"/>
        <v>-2.6936026936026959E-2</v>
      </c>
      <c r="AE7" s="141"/>
      <c r="AF7" s="141">
        <f t="shared" si="3"/>
        <v>-1.3651877133105875E-2</v>
      </c>
      <c r="AG7" s="141"/>
      <c r="AH7" s="141">
        <f t="shared" si="4"/>
        <v>3.7701974865349985E-2</v>
      </c>
    </row>
    <row r="8" spans="1:35" ht="15.75">
      <c r="A8" s="48" t="s">
        <v>25</v>
      </c>
      <c r="B8" s="48">
        <v>8.1999999999999993</v>
      </c>
      <c r="C8" s="48">
        <v>12</v>
      </c>
      <c r="E8" s="109" t="s">
        <v>2</v>
      </c>
      <c r="F8" s="110">
        <v>47.65</v>
      </c>
      <c r="G8" s="110">
        <v>17.04</v>
      </c>
      <c r="H8" s="110">
        <v>8.09</v>
      </c>
      <c r="I8" s="110">
        <v>12.78</v>
      </c>
      <c r="J8" s="110">
        <v>7.48</v>
      </c>
      <c r="K8" s="110">
        <v>47.65</v>
      </c>
      <c r="L8" s="164">
        <v>17.13</v>
      </c>
      <c r="M8" s="111">
        <v>16.260000000000002</v>
      </c>
      <c r="N8" s="111">
        <v>8.26</v>
      </c>
      <c r="O8" s="111">
        <v>7.13</v>
      </c>
      <c r="P8" s="164">
        <v>12.09</v>
      </c>
      <c r="Q8" s="164">
        <v>12.09</v>
      </c>
      <c r="R8" s="164">
        <v>6.78</v>
      </c>
      <c r="S8" s="111">
        <v>17.04</v>
      </c>
      <c r="T8" s="111">
        <v>11.91</v>
      </c>
      <c r="U8" s="111">
        <v>9.48</v>
      </c>
      <c r="V8" s="111">
        <v>9.48</v>
      </c>
      <c r="W8" s="111">
        <v>7.39</v>
      </c>
      <c r="X8" s="125">
        <v>7.48</v>
      </c>
      <c r="Y8" s="156">
        <v>7.39</v>
      </c>
      <c r="Z8" s="156">
        <v>7.48</v>
      </c>
      <c r="AA8" s="156">
        <v>6.96</v>
      </c>
      <c r="AB8" s="152">
        <f t="shared" si="5"/>
        <v>6.9518716577540163E-2</v>
      </c>
      <c r="AC8" s="147">
        <v>6.87</v>
      </c>
      <c r="AD8" s="141">
        <f t="shared" si="2"/>
        <v>-0.59683098591549288</v>
      </c>
      <c r="AE8" s="102" t="s">
        <v>182</v>
      </c>
      <c r="AF8" s="141">
        <f t="shared" si="3"/>
        <v>-0.15080346106304077</v>
      </c>
      <c r="AG8" s="102" t="s">
        <v>181</v>
      </c>
      <c r="AH8" s="141">
        <f t="shared" si="4"/>
        <v>-8.1550802139037468E-2</v>
      </c>
      <c r="AI8" s="102" t="s">
        <v>180</v>
      </c>
    </row>
    <row r="9" spans="1:35" ht="15.75">
      <c r="A9" s="48" t="s">
        <v>21</v>
      </c>
      <c r="B9" s="48">
        <v>5.2</v>
      </c>
      <c r="C9" s="48">
        <v>22</v>
      </c>
      <c r="E9" s="109" t="s">
        <v>12</v>
      </c>
      <c r="F9" s="117">
        <v>1E-14</v>
      </c>
      <c r="G9" s="117">
        <v>9.9999999999999995E-21</v>
      </c>
      <c r="H9" s="117">
        <v>9.9999999999999996E-24</v>
      </c>
      <c r="I9" s="117">
        <v>9.9999999999999991E-22</v>
      </c>
      <c r="J9" s="117">
        <v>1.0000000000000001E-31</v>
      </c>
      <c r="K9" s="117">
        <v>1E-14</v>
      </c>
      <c r="L9" s="165">
        <v>1.0000000000000001E-18</v>
      </c>
      <c r="M9" s="118">
        <v>9.9999999999999998E-20</v>
      </c>
      <c r="N9" s="118">
        <v>1E-22</v>
      </c>
      <c r="O9" s="118">
        <v>9.9999999999999996E-24</v>
      </c>
      <c r="P9" s="165">
        <v>9.9999999999999998E-20</v>
      </c>
      <c r="Q9" s="165">
        <v>9.9999999999999998E-20</v>
      </c>
      <c r="R9" s="165">
        <v>9.9999999999999996E-24</v>
      </c>
      <c r="S9" s="118">
        <v>1.0000000000000001E-18</v>
      </c>
      <c r="T9" s="118">
        <v>9.9999999999999998E-20</v>
      </c>
      <c r="U9" s="118">
        <v>1E-25</v>
      </c>
      <c r="V9" s="118">
        <v>1E-25</v>
      </c>
      <c r="W9" s="118">
        <v>9.9999999999999994E-30</v>
      </c>
      <c r="X9" s="126">
        <v>1.0000000000000001E-31</v>
      </c>
      <c r="Y9" s="157">
        <v>9.9999999999999994E-30</v>
      </c>
      <c r="Z9" s="157">
        <v>1.0000000000000001E-31</v>
      </c>
      <c r="AA9" s="157">
        <v>9.9999999999999996E-24</v>
      </c>
      <c r="AB9" s="152">
        <f t="shared" si="5"/>
        <v>-99999999</v>
      </c>
      <c r="AC9" s="148">
        <v>9.9999999999999991E-22</v>
      </c>
      <c r="AD9" s="141">
        <f t="shared" si="2"/>
        <v>-0.9</v>
      </c>
      <c r="AE9" s="141"/>
      <c r="AF9" s="141">
        <f t="shared" si="3"/>
        <v>98.999999999999986</v>
      </c>
      <c r="AG9" s="141"/>
      <c r="AH9" s="141">
        <f t="shared" si="4"/>
        <v>9999999998.9999981</v>
      </c>
    </row>
    <row r="10" spans="1:35" ht="15.75">
      <c r="A10" s="48" t="s">
        <v>26</v>
      </c>
      <c r="B10" s="48">
        <v>5.6</v>
      </c>
      <c r="C10" s="48">
        <v>27</v>
      </c>
      <c r="E10" s="109" t="s">
        <v>144</v>
      </c>
      <c r="F10" s="117">
        <v>9.9999999999999995E-8</v>
      </c>
      <c r="G10" s="117">
        <v>9.9999999999999995E-8</v>
      </c>
      <c r="H10" s="117">
        <v>9.9999999999999995E-8</v>
      </c>
      <c r="I10" s="117">
        <v>9.9999999999999995E-8</v>
      </c>
      <c r="J10" s="117">
        <v>9.9999999999999995E-8</v>
      </c>
      <c r="K10" s="117">
        <v>9.9999999999999995E-8</v>
      </c>
      <c r="L10" s="165">
        <v>9.9999999999999995E-8</v>
      </c>
      <c r="M10" s="118">
        <v>9.9999999999999995E-8</v>
      </c>
      <c r="N10" s="118">
        <v>9.9999999999999995E-8</v>
      </c>
      <c r="O10" s="118">
        <v>9.9999999999999995E-8</v>
      </c>
      <c r="P10" s="165">
        <v>9.9999999999999995E-8</v>
      </c>
      <c r="Q10" s="165">
        <v>9.9999999999999995E-8</v>
      </c>
      <c r="R10" s="165">
        <v>9.9999999999999995E-8</v>
      </c>
      <c r="S10" s="118">
        <v>9.9999999999999995E-8</v>
      </c>
      <c r="T10" s="118">
        <v>9.9999999999999995E-8</v>
      </c>
      <c r="U10" s="118">
        <v>9.9999999999999995E-8</v>
      </c>
      <c r="V10" s="118">
        <v>9.9999999999999995E-8</v>
      </c>
      <c r="W10" s="118">
        <v>9.9999999999999995E-8</v>
      </c>
      <c r="X10" s="126">
        <v>9.9999999999999995E-8</v>
      </c>
      <c r="Y10" s="157">
        <v>9.9999999999999995E-8</v>
      </c>
      <c r="Z10" s="157">
        <v>9.9999999999999995E-8</v>
      </c>
      <c r="AA10" s="157">
        <v>9.9999999999999995E-8</v>
      </c>
      <c r="AB10" s="152">
        <f t="shared" si="5"/>
        <v>0</v>
      </c>
      <c r="AC10" s="148">
        <v>9.9999999999999995E-8</v>
      </c>
      <c r="AD10" s="141">
        <f t="shared" si="2"/>
        <v>0</v>
      </c>
      <c r="AE10" s="141"/>
      <c r="AF10" s="141">
        <f t="shared" si="3"/>
        <v>0</v>
      </c>
      <c r="AG10" s="141"/>
      <c r="AH10" s="141">
        <f t="shared" si="4"/>
        <v>0</v>
      </c>
    </row>
    <row r="11" spans="1:35" ht="15.75">
      <c r="A11" s="48" t="s">
        <v>20</v>
      </c>
      <c r="B11" s="48">
        <v>3.5</v>
      </c>
      <c r="C11" s="48">
        <v>80</v>
      </c>
      <c r="E11" s="109" t="s">
        <v>4</v>
      </c>
      <c r="F11" s="117">
        <v>10000000</v>
      </c>
      <c r="G11" s="117">
        <v>10000000000000</v>
      </c>
      <c r="H11" s="117">
        <v>1E+16</v>
      </c>
      <c r="I11" s="117">
        <v>100000000000000</v>
      </c>
      <c r="J11" s="117">
        <v>9.9999999999999998E+23</v>
      </c>
      <c r="K11" s="117">
        <v>10000000</v>
      </c>
      <c r="L11" s="165">
        <v>100000000000</v>
      </c>
      <c r="M11" s="118">
        <v>1000000000000</v>
      </c>
      <c r="N11" s="118">
        <v>1000000000000000</v>
      </c>
      <c r="O11" s="118">
        <v>1E+16</v>
      </c>
      <c r="P11" s="165">
        <v>1000000000000</v>
      </c>
      <c r="Q11" s="165">
        <v>1000000000000</v>
      </c>
      <c r="R11" s="165">
        <v>1E+16</v>
      </c>
      <c r="S11" s="118">
        <v>100000000000</v>
      </c>
      <c r="T11" s="118">
        <v>1000000000000</v>
      </c>
      <c r="U11" s="118">
        <v>1E+18</v>
      </c>
      <c r="V11" s="118">
        <v>1E+18</v>
      </c>
      <c r="W11" s="118">
        <v>1E+22</v>
      </c>
      <c r="X11" s="126">
        <v>9.9999999999999998E+23</v>
      </c>
      <c r="Y11" s="157">
        <v>1E+22</v>
      </c>
      <c r="Z11" s="157">
        <v>9.9999999999999998E+23</v>
      </c>
      <c r="AA11" s="157">
        <v>1E+16</v>
      </c>
      <c r="AB11" s="152">
        <f t="shared" si="5"/>
        <v>0.99999998999999995</v>
      </c>
      <c r="AC11" s="148">
        <v>100000000000000</v>
      </c>
      <c r="AD11" s="141">
        <f t="shared" si="2"/>
        <v>9</v>
      </c>
      <c r="AE11" s="141"/>
      <c r="AF11" s="141">
        <f t="shared" si="3"/>
        <v>-0.99</v>
      </c>
      <c r="AG11" s="141"/>
      <c r="AH11" s="141">
        <f t="shared" si="4"/>
        <v>-0.99999999989999999</v>
      </c>
    </row>
    <row r="12" spans="1:35">
      <c r="E12" s="109" t="s">
        <v>145</v>
      </c>
      <c r="F12" s="117">
        <v>1.7560479500000001E-16</v>
      </c>
      <c r="G12" s="117">
        <v>3.1232395309999999E-21</v>
      </c>
      <c r="H12" s="117">
        <v>1.977485719E-27</v>
      </c>
      <c r="I12" s="117">
        <v>2.4205053560000001E-22</v>
      </c>
      <c r="J12" s="117">
        <v>4.4730253240000003E-33</v>
      </c>
      <c r="K12" s="117">
        <v>1.7560479500000001E-16</v>
      </c>
      <c r="L12" s="165">
        <v>4.038103802E-20</v>
      </c>
      <c r="M12" s="118">
        <v>1.08206504E-20</v>
      </c>
      <c r="N12" s="118">
        <v>5.8195606859999999E-26</v>
      </c>
      <c r="O12" s="118">
        <v>5.9505305600000002E-27</v>
      </c>
      <c r="P12" s="165">
        <v>2.241300263E-20</v>
      </c>
      <c r="Q12" s="165">
        <v>2.5720191260000001E-20</v>
      </c>
      <c r="R12" s="165">
        <v>1.101339902E-26</v>
      </c>
      <c r="S12" s="118">
        <v>4.6087660119999997E-20</v>
      </c>
      <c r="T12" s="118">
        <v>2.5755552889999999E-20</v>
      </c>
      <c r="U12" s="118">
        <v>3.5258168859999997E-29</v>
      </c>
      <c r="V12" s="118">
        <v>6.2386217950000001E-29</v>
      </c>
      <c r="W12" s="118">
        <v>4.168863732E-32</v>
      </c>
      <c r="X12" s="126">
        <v>4.4730253240000003E-33</v>
      </c>
      <c r="Y12" s="157">
        <v>7.033988107E-32</v>
      </c>
      <c r="Z12" s="157">
        <v>4.4730253240000003E-33</v>
      </c>
      <c r="AA12" s="157">
        <v>3.8688353129999998E-24</v>
      </c>
      <c r="AB12" s="152">
        <f t="shared" si="5"/>
        <v>-864925867.45904458</v>
      </c>
      <c r="AC12" s="148">
        <v>4.4519499929999999E-23</v>
      </c>
      <c r="AD12" s="141">
        <f t="shared" si="2"/>
        <v>-0.98574572987818654</v>
      </c>
      <c r="AE12" s="141"/>
      <c r="AF12" s="141">
        <f t="shared" si="3"/>
        <v>22512.184040850207</v>
      </c>
      <c r="AG12" s="141"/>
      <c r="AH12" s="141">
        <f t="shared" si="4"/>
        <v>9952883496.2453194</v>
      </c>
    </row>
    <row r="13" spans="1:35">
      <c r="E13" s="109" t="s">
        <v>141</v>
      </c>
      <c r="F13" s="117">
        <v>2.6361655369999999E-5</v>
      </c>
      <c r="G13" s="117">
        <v>1.6428431580000002E-5</v>
      </c>
      <c r="H13" s="117">
        <v>9.6954572230000001E-6</v>
      </c>
      <c r="I13" s="117">
        <v>7.8805128880000004E-6</v>
      </c>
      <c r="J13" s="117">
        <v>5.0408818470000002E-6</v>
      </c>
      <c r="K13" s="117">
        <v>2.6361655369999999E-5</v>
      </c>
      <c r="L13" s="165">
        <v>1.7612746139999998E-5</v>
      </c>
      <c r="M13" s="118">
        <v>1.362264743E-5</v>
      </c>
      <c r="N13" s="118">
        <v>1.318154066E-5</v>
      </c>
      <c r="O13" s="118">
        <v>1.246064538E-5</v>
      </c>
      <c r="P13" s="165">
        <v>8.1708353809999993E-6</v>
      </c>
      <c r="Q13" s="165">
        <v>1.9468687239999999E-5</v>
      </c>
      <c r="R13" s="165">
        <v>1.243510542E-5</v>
      </c>
      <c r="S13" s="118">
        <v>1.647860722E-5</v>
      </c>
      <c r="T13" s="118">
        <v>5.1405575709999999E-6</v>
      </c>
      <c r="U13" s="118">
        <v>8.5399346879999998E-6</v>
      </c>
      <c r="V13" s="118">
        <v>9.2774878429999997E-6</v>
      </c>
      <c r="W13" s="118">
        <v>8.7145066859999992E-6</v>
      </c>
      <c r="X13" s="126">
        <v>5.0408818470000002E-6</v>
      </c>
      <c r="Y13" s="157">
        <v>7.3744474909999997E-6</v>
      </c>
      <c r="Z13" s="157">
        <v>5.0408818470000002E-6</v>
      </c>
      <c r="AA13" s="157">
        <v>7.0087980669999996E-6</v>
      </c>
      <c r="AB13" s="152">
        <f t="shared" si="5"/>
        <v>-0.39039126084083348</v>
      </c>
      <c r="AC13" s="148">
        <v>9.0773877379999999E-6</v>
      </c>
      <c r="AD13" s="141">
        <f t="shared" si="2"/>
        <v>-0.44745865155802056</v>
      </c>
      <c r="AE13" s="141"/>
      <c r="AF13" s="141">
        <f t="shared" si="3"/>
        <v>-6.3748358719358578E-2</v>
      </c>
      <c r="AG13" s="141"/>
      <c r="AH13" s="141">
        <f t="shared" si="4"/>
        <v>0.80075391836495058</v>
      </c>
      <c r="AI13" s="102" t="s">
        <v>179</v>
      </c>
    </row>
    <row r="14" spans="1:35">
      <c r="E14" s="109" t="s">
        <v>166</v>
      </c>
      <c r="F14" s="117">
        <v>150119200000</v>
      </c>
      <c r="G14" s="117">
        <v>5260061000000000</v>
      </c>
      <c r="H14" s="117">
        <v>4.9029210000000004E+21</v>
      </c>
      <c r="I14" s="117">
        <v>3.25573E+16</v>
      </c>
      <c r="J14" s="117">
        <v>1.126951E+27</v>
      </c>
      <c r="K14" s="117">
        <v>150119200000</v>
      </c>
      <c r="L14" s="165">
        <v>436163800000000</v>
      </c>
      <c r="M14" s="118">
        <v>1258949000000000</v>
      </c>
      <c r="N14" s="118">
        <v>2.2650409999999998E+20</v>
      </c>
      <c r="O14" s="118">
        <v>2.0940389999999999E+21</v>
      </c>
      <c r="P14" s="165">
        <v>364557800000000</v>
      </c>
      <c r="Q14" s="165">
        <v>756941800000000</v>
      </c>
      <c r="R14" s="165">
        <v>1.129089E+21</v>
      </c>
      <c r="S14" s="118">
        <v>357549200000000</v>
      </c>
      <c r="T14" s="118">
        <v>199590300000000</v>
      </c>
      <c r="U14" s="118">
        <v>2.4221149999999999E+23</v>
      </c>
      <c r="V14" s="118">
        <v>1.4871050000000001E+23</v>
      </c>
      <c r="W14" s="118">
        <v>2.0903789999999999E+26</v>
      </c>
      <c r="X14" s="126">
        <v>1.126951E+27</v>
      </c>
      <c r="Y14" s="157">
        <v>1.0484020000000001E+26</v>
      </c>
      <c r="Z14" s="157">
        <v>1.126951E+27</v>
      </c>
      <c r="AA14" s="157">
        <v>1.811604E+18</v>
      </c>
      <c r="AB14" s="152">
        <f t="shared" si="5"/>
        <v>0.99999999839247311</v>
      </c>
      <c r="AC14" s="148">
        <v>2.038969E+17</v>
      </c>
      <c r="AD14" s="141">
        <f t="shared" si="2"/>
        <v>37.763219666083721</v>
      </c>
      <c r="AE14" s="141"/>
      <c r="AF14" s="141">
        <f t="shared" si="3"/>
        <v>-0.99995841317859291</v>
      </c>
      <c r="AG14" s="141"/>
      <c r="AH14" s="141">
        <f t="shared" si="4"/>
        <v>-0.99999999981907206</v>
      </c>
    </row>
    <row r="15" spans="1:35" s="134" customFormat="1">
      <c r="E15" s="135" t="s">
        <v>13</v>
      </c>
      <c r="F15" s="123">
        <v>3</v>
      </c>
      <c r="G15" s="123">
        <v>0</v>
      </c>
      <c r="H15" s="136">
        <v>0</v>
      </c>
      <c r="I15" s="136">
        <v>0</v>
      </c>
      <c r="J15" s="136">
        <v>0</v>
      </c>
      <c r="K15" s="136">
        <v>3</v>
      </c>
      <c r="L15" s="166">
        <v>1</v>
      </c>
      <c r="M15" s="120">
        <v>0.5</v>
      </c>
      <c r="N15" s="120">
        <v>0</v>
      </c>
      <c r="O15" s="120">
        <v>0</v>
      </c>
      <c r="P15" s="166">
        <v>1</v>
      </c>
      <c r="Q15" s="166">
        <v>1</v>
      </c>
      <c r="R15" s="166">
        <v>0</v>
      </c>
      <c r="S15" s="120">
        <v>1.5</v>
      </c>
      <c r="T15" s="120">
        <v>1</v>
      </c>
      <c r="U15" s="120">
        <v>0</v>
      </c>
      <c r="V15" s="120">
        <v>0</v>
      </c>
      <c r="W15" s="120">
        <v>0</v>
      </c>
      <c r="X15" s="137">
        <v>0</v>
      </c>
      <c r="Y15" s="158"/>
      <c r="Z15" s="158"/>
      <c r="AA15" s="158"/>
      <c r="AB15" s="120"/>
      <c r="AC15" s="149">
        <v>0</v>
      </c>
      <c r="AD15" s="140"/>
      <c r="AE15" s="140"/>
      <c r="AF15" s="140"/>
      <c r="AG15" s="140"/>
      <c r="AH15" s="140"/>
    </row>
    <row r="16" spans="1:35">
      <c r="E16" s="109" t="s">
        <v>33</v>
      </c>
      <c r="F16" s="121">
        <v>0</v>
      </c>
      <c r="G16" s="121">
        <v>3</v>
      </c>
      <c r="H16" s="122">
        <v>0</v>
      </c>
      <c r="I16" s="122">
        <v>0</v>
      </c>
      <c r="J16" s="122">
        <v>0</v>
      </c>
      <c r="K16" s="122">
        <v>0</v>
      </c>
      <c r="L16" s="167">
        <v>1</v>
      </c>
      <c r="M16" s="119">
        <v>0.5</v>
      </c>
      <c r="N16" s="119">
        <v>0.5</v>
      </c>
      <c r="O16" s="119">
        <v>0.5</v>
      </c>
      <c r="P16" s="167">
        <v>1</v>
      </c>
      <c r="Q16" s="167">
        <v>0</v>
      </c>
      <c r="R16" s="167">
        <v>1</v>
      </c>
      <c r="S16" s="119">
        <v>0</v>
      </c>
      <c r="T16" s="119">
        <v>0.5</v>
      </c>
      <c r="U16" s="119">
        <v>0</v>
      </c>
      <c r="V16" s="119">
        <v>0.5</v>
      </c>
      <c r="W16" s="119">
        <v>0</v>
      </c>
      <c r="X16" s="129">
        <v>0</v>
      </c>
      <c r="Y16" s="159"/>
      <c r="Z16" s="159"/>
      <c r="AA16" s="159"/>
      <c r="AB16" s="119"/>
      <c r="AC16" s="150">
        <v>1</v>
      </c>
      <c r="AD16" s="142"/>
      <c r="AE16" s="142"/>
      <c r="AF16" s="142"/>
      <c r="AG16" s="142"/>
      <c r="AH16" s="142"/>
    </row>
    <row r="17" spans="5:34" s="178" customFormat="1">
      <c r="E17" s="175" t="s">
        <v>14</v>
      </c>
      <c r="F17" s="158">
        <v>0</v>
      </c>
      <c r="G17" s="158">
        <v>0</v>
      </c>
      <c r="H17" s="176">
        <v>3</v>
      </c>
      <c r="I17" s="176">
        <v>0</v>
      </c>
      <c r="J17" s="176">
        <v>0</v>
      </c>
      <c r="K17" s="176">
        <v>0</v>
      </c>
      <c r="L17" s="158">
        <v>1</v>
      </c>
      <c r="M17" s="158">
        <v>2</v>
      </c>
      <c r="N17" s="158">
        <v>2.5</v>
      </c>
      <c r="O17" s="158">
        <v>2</v>
      </c>
      <c r="P17" s="158">
        <v>0</v>
      </c>
      <c r="Q17" s="158">
        <v>1</v>
      </c>
      <c r="R17" s="158">
        <v>1</v>
      </c>
      <c r="S17" s="158">
        <v>0</v>
      </c>
      <c r="T17" s="158">
        <v>0</v>
      </c>
      <c r="U17" s="158">
        <v>1.5</v>
      </c>
      <c r="V17" s="158">
        <v>0.5</v>
      </c>
      <c r="W17" s="158">
        <v>0.5</v>
      </c>
      <c r="X17" s="176">
        <v>0</v>
      </c>
      <c r="Y17" s="158"/>
      <c r="Z17" s="158"/>
      <c r="AA17" s="158"/>
      <c r="AB17" s="158"/>
      <c r="AC17" s="158">
        <v>1</v>
      </c>
      <c r="AD17" s="177"/>
      <c r="AE17" s="177"/>
      <c r="AF17" s="177"/>
      <c r="AG17" s="177"/>
      <c r="AH17" s="177"/>
    </row>
    <row r="18" spans="5:34" s="134" customFormat="1">
      <c r="E18" s="135" t="s">
        <v>196</v>
      </c>
      <c r="F18" s="123">
        <v>0</v>
      </c>
      <c r="G18" s="123">
        <v>0</v>
      </c>
      <c r="H18" s="136">
        <v>0</v>
      </c>
      <c r="I18" s="136">
        <v>3</v>
      </c>
      <c r="J18" s="136">
        <v>0</v>
      </c>
      <c r="K18" s="136">
        <v>0</v>
      </c>
      <c r="L18" s="166">
        <v>0</v>
      </c>
      <c r="M18" s="120">
        <v>0</v>
      </c>
      <c r="N18" s="120">
        <v>0</v>
      </c>
      <c r="O18" s="120">
        <v>0</v>
      </c>
      <c r="P18" s="166">
        <v>0</v>
      </c>
      <c r="Q18" s="166">
        <v>0</v>
      </c>
      <c r="R18" s="166">
        <v>0</v>
      </c>
      <c r="S18" s="120">
        <v>0</v>
      </c>
      <c r="T18" s="120">
        <v>0</v>
      </c>
      <c r="U18" s="120">
        <v>0</v>
      </c>
      <c r="V18" s="120">
        <v>0</v>
      </c>
      <c r="W18" s="120">
        <v>0</v>
      </c>
      <c r="X18" s="137">
        <v>0</v>
      </c>
      <c r="Y18" s="158"/>
      <c r="Z18" s="158"/>
      <c r="AA18" s="158"/>
      <c r="AB18" s="120"/>
      <c r="AC18" s="149"/>
      <c r="AD18" s="140"/>
      <c r="AE18" s="140"/>
      <c r="AF18" s="140"/>
      <c r="AG18" s="140"/>
      <c r="AH18" s="140"/>
    </row>
    <row r="19" spans="5:34">
      <c r="E19" s="109" t="s">
        <v>34</v>
      </c>
      <c r="F19" s="121">
        <v>0</v>
      </c>
      <c r="G19" s="121">
        <v>0</v>
      </c>
      <c r="H19" s="122">
        <v>0</v>
      </c>
      <c r="I19" s="122">
        <v>0</v>
      </c>
      <c r="J19" s="122">
        <v>3</v>
      </c>
      <c r="K19" s="122">
        <v>0</v>
      </c>
      <c r="L19" s="167">
        <v>0</v>
      </c>
      <c r="M19" s="119">
        <v>0</v>
      </c>
      <c r="N19" s="119">
        <v>0</v>
      </c>
      <c r="O19" s="119">
        <v>0.5</v>
      </c>
      <c r="P19" s="167">
        <v>1</v>
      </c>
      <c r="Q19" s="167">
        <v>1</v>
      </c>
      <c r="R19" s="167">
        <v>1</v>
      </c>
      <c r="S19" s="119">
        <v>1.5</v>
      </c>
      <c r="T19" s="119">
        <v>1.5</v>
      </c>
      <c r="U19" s="119">
        <v>1.5</v>
      </c>
      <c r="V19" s="119">
        <v>2</v>
      </c>
      <c r="W19" s="119">
        <v>2.5</v>
      </c>
      <c r="X19" s="129">
        <v>3</v>
      </c>
      <c r="Y19" s="159"/>
      <c r="Z19" s="159"/>
      <c r="AA19" s="159"/>
      <c r="AB19" s="119"/>
      <c r="AC19" s="150">
        <v>1</v>
      </c>
      <c r="AD19" s="142"/>
      <c r="AE19" s="142"/>
      <c r="AF19" s="142"/>
      <c r="AG19" s="142"/>
      <c r="AH19" s="142"/>
    </row>
    <row r="20" spans="5:34" s="134" customFormat="1">
      <c r="E20" s="135" t="s">
        <v>151</v>
      </c>
      <c r="F20" s="123">
        <f t="shared" ref="F20:N20" si="6">SUM(F15:F19)</f>
        <v>3</v>
      </c>
      <c r="G20" s="123">
        <f t="shared" si="6"/>
        <v>3</v>
      </c>
      <c r="H20" s="123">
        <f t="shared" si="6"/>
        <v>3</v>
      </c>
      <c r="I20" s="123">
        <f t="shared" si="6"/>
        <v>3</v>
      </c>
      <c r="J20" s="123">
        <f t="shared" si="6"/>
        <v>3</v>
      </c>
      <c r="K20" s="123">
        <f t="shared" si="6"/>
        <v>3</v>
      </c>
      <c r="L20" s="166">
        <f t="shared" si="6"/>
        <v>3</v>
      </c>
      <c r="M20" s="120">
        <f t="shared" si="6"/>
        <v>3</v>
      </c>
      <c r="N20" s="120">
        <f t="shared" si="6"/>
        <v>3</v>
      </c>
      <c r="O20" s="120">
        <v>3</v>
      </c>
      <c r="P20" s="166">
        <f t="shared" ref="P20:X20" si="7">SUM(P15:P19)</f>
        <v>3</v>
      </c>
      <c r="Q20" s="166">
        <f t="shared" si="7"/>
        <v>3</v>
      </c>
      <c r="R20" s="166">
        <f t="shared" si="7"/>
        <v>3</v>
      </c>
      <c r="S20" s="120">
        <f>SUM(S15:S19)</f>
        <v>3</v>
      </c>
      <c r="T20" s="120">
        <f t="shared" si="7"/>
        <v>3</v>
      </c>
      <c r="U20" s="120">
        <f>SUM(U15:U19)</f>
        <v>3</v>
      </c>
      <c r="V20" s="120">
        <f t="shared" si="7"/>
        <v>3</v>
      </c>
      <c r="W20" s="120">
        <f t="shared" si="7"/>
        <v>3</v>
      </c>
      <c r="X20" s="128">
        <f t="shared" si="7"/>
        <v>3</v>
      </c>
      <c r="Y20" s="158"/>
      <c r="Z20" s="158"/>
      <c r="AA20" s="158"/>
      <c r="AB20" s="120"/>
      <c r="AC20" s="149">
        <f>SUM(AC15:AC19)</f>
        <v>3</v>
      </c>
      <c r="AD20" s="140"/>
      <c r="AE20" s="140"/>
      <c r="AF20" s="140"/>
      <c r="AG20" s="140"/>
      <c r="AH20" s="140"/>
    </row>
    <row r="21" spans="5:34" ht="14.45" customHeight="1">
      <c r="E21" s="109" t="s">
        <v>153</v>
      </c>
      <c r="F21" s="123" t="s">
        <v>23</v>
      </c>
      <c r="G21" s="123" t="s">
        <v>195</v>
      </c>
      <c r="H21" s="136" t="s">
        <v>21</v>
      </c>
      <c r="I21" s="136" t="s">
        <v>26</v>
      </c>
      <c r="J21" s="136" t="s">
        <v>20</v>
      </c>
      <c r="K21" s="136"/>
      <c r="L21" s="166" t="s">
        <v>66</v>
      </c>
      <c r="M21" s="120" t="s">
        <v>67</v>
      </c>
      <c r="N21" s="120" t="s">
        <v>68</v>
      </c>
      <c r="O21" s="120" t="s">
        <v>69</v>
      </c>
      <c r="P21" s="166" t="s">
        <v>70</v>
      </c>
      <c r="Q21" s="166" t="s">
        <v>71</v>
      </c>
      <c r="R21" s="166" t="s">
        <v>72</v>
      </c>
      <c r="S21" s="120" t="s">
        <v>154</v>
      </c>
      <c r="T21" s="120" t="s">
        <v>155</v>
      </c>
      <c r="U21" s="120" t="s">
        <v>156</v>
      </c>
      <c r="V21" s="120" t="s">
        <v>192</v>
      </c>
      <c r="W21" s="120" t="s">
        <v>194</v>
      </c>
      <c r="X21" s="130"/>
      <c r="Y21" s="158"/>
      <c r="Z21" s="158"/>
      <c r="AA21" s="158"/>
      <c r="AB21" s="120"/>
      <c r="AC21" s="149" t="s">
        <v>72</v>
      </c>
      <c r="AD21" s="140"/>
      <c r="AE21" s="140"/>
      <c r="AF21" s="140"/>
      <c r="AG21" s="140"/>
      <c r="AH21" s="140"/>
    </row>
    <row r="22" spans="5:34">
      <c r="L22" s="170"/>
      <c r="M22" s="171"/>
      <c r="N22" s="171"/>
      <c r="O22" s="171"/>
      <c r="P22" s="170" t="s">
        <v>197</v>
      </c>
      <c r="Q22" s="170"/>
      <c r="R22" s="170"/>
      <c r="S22" s="170" t="s">
        <v>197</v>
      </c>
      <c r="T22" s="170" t="s">
        <v>197</v>
      </c>
      <c r="U22" s="171"/>
      <c r="V22" s="171"/>
      <c r="W22" s="171"/>
      <c r="Y22" s="172"/>
      <c r="Z22" s="172"/>
      <c r="AA22" s="172"/>
      <c r="AB22" s="171"/>
      <c r="AC22" s="173"/>
      <c r="AD22" s="174"/>
      <c r="AE22" s="174"/>
      <c r="AF22" s="174"/>
      <c r="AG22" s="174"/>
      <c r="AH22" s="174"/>
    </row>
    <row r="23" spans="5:34">
      <c r="E23" s="185" t="s">
        <v>198</v>
      </c>
      <c r="F23" s="186"/>
      <c r="G23" s="186"/>
      <c r="H23" s="187"/>
      <c r="I23" s="187"/>
      <c r="J23" s="187"/>
      <c r="K23" s="187"/>
      <c r="L23" s="189"/>
      <c r="M23" s="190">
        <f>COUNTIF(M15:M19,"&gt;0")</f>
        <v>3</v>
      </c>
      <c r="N23" s="190">
        <f t="shared" ref="N23:W23" si="8">COUNTIF(N15:N19,"&gt;0")</f>
        <v>2</v>
      </c>
      <c r="O23" s="190">
        <f t="shared" si="8"/>
        <v>3</v>
      </c>
      <c r="P23" s="189">
        <f t="shared" si="8"/>
        <v>3</v>
      </c>
      <c r="Q23" s="189">
        <f t="shared" si="8"/>
        <v>3</v>
      </c>
      <c r="R23" s="189">
        <f t="shared" si="8"/>
        <v>3</v>
      </c>
      <c r="S23" s="190">
        <f t="shared" si="8"/>
        <v>2</v>
      </c>
      <c r="T23" s="190">
        <f t="shared" si="8"/>
        <v>3</v>
      </c>
      <c r="U23" s="190">
        <f t="shared" si="8"/>
        <v>2</v>
      </c>
      <c r="V23" s="190">
        <f t="shared" si="8"/>
        <v>3</v>
      </c>
      <c r="W23" s="190">
        <f t="shared" si="8"/>
        <v>2</v>
      </c>
      <c r="Y23" s="172"/>
      <c r="Z23" s="172"/>
      <c r="AA23" s="172"/>
      <c r="AB23" s="171"/>
      <c r="AC23" s="173"/>
      <c r="AD23" s="174"/>
      <c r="AE23" s="174"/>
      <c r="AF23" s="174"/>
      <c r="AG23" s="174"/>
      <c r="AH23" s="174"/>
    </row>
    <row r="24" spans="5:34">
      <c r="E24" s="109" t="s">
        <v>208</v>
      </c>
      <c r="F24" s="123" t="str">
        <f>F21</f>
        <v>SiO2</v>
      </c>
      <c r="G24" s="123" t="str">
        <f>G21</f>
        <v>Al2O3</v>
      </c>
      <c r="H24" s="123" t="str">
        <f>H21</f>
        <v>HfO2</v>
      </c>
      <c r="I24" s="123" t="str">
        <f>I21</f>
        <v>La2O3</v>
      </c>
      <c r="J24" s="123" t="str">
        <f>J21</f>
        <v>TiO2</v>
      </c>
      <c r="K24" s="123" t="str">
        <f>F24</f>
        <v>SiO2</v>
      </c>
      <c r="L24" s="166" t="str">
        <f>L21</f>
        <v>A</v>
      </c>
      <c r="M24" s="166" t="str">
        <f t="shared" ref="M24:W24" si="9">M21</f>
        <v>B</v>
      </c>
      <c r="N24" s="166" t="str">
        <f t="shared" si="9"/>
        <v>C</v>
      </c>
      <c r="O24" s="166" t="str">
        <f t="shared" si="9"/>
        <v>D</v>
      </c>
      <c r="P24" s="166" t="str">
        <f t="shared" si="9"/>
        <v>E</v>
      </c>
      <c r="Q24" s="166" t="str">
        <f t="shared" si="9"/>
        <v>F</v>
      </c>
      <c r="R24" s="166" t="str">
        <f t="shared" si="9"/>
        <v>G</v>
      </c>
      <c r="S24" s="166" t="str">
        <f t="shared" si="9"/>
        <v>H</v>
      </c>
      <c r="T24" s="166" t="str">
        <f t="shared" si="9"/>
        <v>J</v>
      </c>
      <c r="U24" s="166" t="str">
        <f t="shared" si="9"/>
        <v>K</v>
      </c>
      <c r="V24" s="166" t="str">
        <f t="shared" si="9"/>
        <v>L</v>
      </c>
      <c r="W24" s="166" t="str">
        <f t="shared" si="9"/>
        <v>M</v>
      </c>
      <c r="X24" s="129" t="str">
        <f>J24</f>
        <v>TiO2</v>
      </c>
      <c r="Y24" s="172"/>
      <c r="Z24" s="172"/>
      <c r="AA24" s="172"/>
      <c r="AB24" s="171"/>
      <c r="AC24" s="173"/>
      <c r="AD24" s="174"/>
      <c r="AE24" s="174"/>
      <c r="AF24" s="174"/>
      <c r="AG24" s="174"/>
      <c r="AH24" s="174"/>
    </row>
    <row r="25" spans="5:34">
      <c r="E25" s="109" t="s">
        <v>207</v>
      </c>
      <c r="F25" s="191">
        <f>1/(F7*F8^2*F5^5)*LOG10(F14)*1000</f>
        <v>1.3650788947414774</v>
      </c>
      <c r="G25" s="191">
        <f t="shared" ref="G25:X25" si="10">1/(G7*G8^2*G5^5)*LOG10(G14)*1000</f>
        <v>1.9682949061120321</v>
      </c>
      <c r="H25" s="191">
        <f t="shared" si="10"/>
        <v>8.3065190909133904</v>
      </c>
      <c r="I25" s="191">
        <f t="shared" si="10"/>
        <v>2.2124356973465851</v>
      </c>
      <c r="J25" s="191">
        <f t="shared" si="10"/>
        <v>8.5556164471982648</v>
      </c>
      <c r="K25" s="191">
        <f t="shared" si="10"/>
        <v>1.3650788947414774</v>
      </c>
      <c r="L25" s="191">
        <f t="shared" si="10"/>
        <v>2.9989968049116347</v>
      </c>
      <c r="M25" s="191">
        <f t="shared" si="10"/>
        <v>2.2549814000038353</v>
      </c>
      <c r="N25" s="191">
        <f t="shared" si="10"/>
        <v>7.9244487946162971</v>
      </c>
      <c r="O25" s="191">
        <f t="shared" si="10"/>
        <v>10.56541107189117</v>
      </c>
      <c r="P25" s="191">
        <f t="shared" si="10"/>
        <v>-9.1640610512162643E-2</v>
      </c>
      <c r="Q25" s="191">
        <f t="shared" si="10"/>
        <v>4.9149936396199063</v>
      </c>
      <c r="R25" s="191">
        <f t="shared" si="10"/>
        <v>11.592210143766989</v>
      </c>
      <c r="S25" s="191">
        <f t="shared" si="10"/>
        <v>3.0914347745448993</v>
      </c>
      <c r="T25" s="191">
        <f t="shared" si="10"/>
        <v>-0.33306489462359323</v>
      </c>
      <c r="U25" s="191">
        <f t="shared" si="10"/>
        <v>5.3029694271291214</v>
      </c>
      <c r="V25" s="191">
        <f t="shared" si="10"/>
        <v>5.3312225661302799</v>
      </c>
      <c r="W25" s="191">
        <f t="shared" si="10"/>
        <v>8.7999018229524211</v>
      </c>
      <c r="X25" s="191">
        <f t="shared" si="10"/>
        <v>8.5556164471982648</v>
      </c>
      <c r="Y25" s="172"/>
      <c r="Z25" s="172"/>
      <c r="AA25" s="172"/>
      <c r="AB25" s="171"/>
      <c r="AC25" s="173"/>
      <c r="AD25" s="174"/>
      <c r="AE25" s="174"/>
      <c r="AF25" s="174"/>
      <c r="AG25" s="174"/>
      <c r="AH25" s="174"/>
    </row>
    <row r="28" spans="5:34" ht="15">
      <c r="E28" s="193" t="s">
        <v>208</v>
      </c>
      <c r="F28" s="194" t="str">
        <f t="shared" ref="F28:J29" si="11">F24</f>
        <v>SiO2</v>
      </c>
      <c r="G28" s="194" t="str">
        <f t="shared" si="11"/>
        <v>Al2O3</v>
      </c>
      <c r="H28" s="194" t="str">
        <f t="shared" si="11"/>
        <v>HfO2</v>
      </c>
      <c r="I28" s="194" t="str">
        <f t="shared" si="11"/>
        <v>La2O3</v>
      </c>
      <c r="J28" s="194" t="str">
        <f t="shared" si="11"/>
        <v>TiO2</v>
      </c>
      <c r="K28" s="194" t="str">
        <f t="shared" ref="K28:V28" si="12">L24</f>
        <v>A</v>
      </c>
      <c r="L28" s="194" t="str">
        <f t="shared" si="12"/>
        <v>B</v>
      </c>
      <c r="M28" s="194" t="str">
        <f t="shared" si="12"/>
        <v>C</v>
      </c>
      <c r="N28" s="194" t="str">
        <f t="shared" si="12"/>
        <v>D</v>
      </c>
      <c r="O28" s="194" t="str">
        <f t="shared" si="12"/>
        <v>E</v>
      </c>
      <c r="P28" s="194" t="str">
        <f t="shared" si="12"/>
        <v>F</v>
      </c>
      <c r="Q28" s="194" t="str">
        <f t="shared" si="12"/>
        <v>G</v>
      </c>
      <c r="R28" s="194" t="str">
        <f t="shared" si="12"/>
        <v>H</v>
      </c>
      <c r="S28" s="194" t="str">
        <f t="shared" si="12"/>
        <v>J</v>
      </c>
      <c r="T28" s="194" t="str">
        <f t="shared" si="12"/>
        <v>K</v>
      </c>
      <c r="U28" s="194" t="str">
        <f t="shared" si="12"/>
        <v>L</v>
      </c>
      <c r="V28" s="194" t="str">
        <f t="shared" si="12"/>
        <v>M</v>
      </c>
    </row>
    <row r="29" spans="5:34" ht="15">
      <c r="E29" s="193" t="s">
        <v>207</v>
      </c>
      <c r="F29" s="195">
        <f t="shared" si="11"/>
        <v>1.3650788947414774</v>
      </c>
      <c r="G29" s="195">
        <f t="shared" si="11"/>
        <v>1.9682949061120321</v>
      </c>
      <c r="H29" s="195">
        <f t="shared" si="11"/>
        <v>8.3065190909133904</v>
      </c>
      <c r="I29" s="195">
        <f t="shared" si="11"/>
        <v>2.2124356973465851</v>
      </c>
      <c r="J29" s="195">
        <f t="shared" si="11"/>
        <v>8.5556164471982648</v>
      </c>
      <c r="K29" s="195">
        <f t="shared" ref="K29:V29" si="13">L25</f>
        <v>2.9989968049116347</v>
      </c>
      <c r="L29" s="195">
        <f t="shared" si="13"/>
        <v>2.2549814000038353</v>
      </c>
      <c r="M29" s="195">
        <f t="shared" si="13"/>
        <v>7.9244487946162971</v>
      </c>
      <c r="N29" s="195">
        <f t="shared" si="13"/>
        <v>10.56541107189117</v>
      </c>
      <c r="O29" s="195">
        <f t="shared" si="13"/>
        <v>-9.1640610512162643E-2</v>
      </c>
      <c r="P29" s="195">
        <f t="shared" si="13"/>
        <v>4.9149936396199063</v>
      </c>
      <c r="Q29" s="195">
        <f t="shared" si="13"/>
        <v>11.592210143766989</v>
      </c>
      <c r="R29" s="195">
        <f t="shared" si="13"/>
        <v>3.0914347745448993</v>
      </c>
      <c r="S29" s="195">
        <f t="shared" si="13"/>
        <v>-0.33306489462359323</v>
      </c>
      <c r="T29" s="195">
        <f t="shared" si="13"/>
        <v>5.3029694271291214</v>
      </c>
      <c r="U29" s="195">
        <f t="shared" si="13"/>
        <v>5.3312225661302799</v>
      </c>
      <c r="V29" s="195">
        <f t="shared" si="13"/>
        <v>8.7999018229524211</v>
      </c>
      <c r="W29" s="192"/>
    </row>
    <row r="32" spans="5:34" ht="15">
      <c r="E32" s="193" t="s">
        <v>208</v>
      </c>
      <c r="F32" s="194" t="s">
        <v>23</v>
      </c>
      <c r="G32" s="194" t="s">
        <v>195</v>
      </c>
      <c r="H32" s="194" t="s">
        <v>21</v>
      </c>
      <c r="I32" s="194" t="s">
        <v>26</v>
      </c>
      <c r="J32" s="194" t="s">
        <v>20</v>
      </c>
      <c r="K32" s="194" t="s">
        <v>66</v>
      </c>
      <c r="L32" s="194" t="s">
        <v>67</v>
      </c>
      <c r="M32" s="194" t="s">
        <v>68</v>
      </c>
      <c r="N32" s="194" t="s">
        <v>69</v>
      </c>
      <c r="O32" s="194" t="s">
        <v>70</v>
      </c>
      <c r="P32" s="194" t="s">
        <v>71</v>
      </c>
      <c r="Q32" s="194" t="s">
        <v>72</v>
      </c>
      <c r="R32" s="194" t="s">
        <v>154</v>
      </c>
      <c r="S32" s="194" t="s">
        <v>155</v>
      </c>
      <c r="T32" s="194" t="s">
        <v>156</v>
      </c>
      <c r="U32" s="194" t="s">
        <v>192</v>
      </c>
      <c r="V32" s="194" t="s">
        <v>194</v>
      </c>
    </row>
    <row r="33" spans="5:57" ht="15">
      <c r="E33" s="193" t="s">
        <v>207</v>
      </c>
      <c r="F33" s="195">
        <v>1.3650788947414774</v>
      </c>
      <c r="G33" s="195">
        <v>1.9682949061120321</v>
      </c>
      <c r="H33" s="195">
        <v>8.3065190909133904</v>
      </c>
      <c r="I33" s="195">
        <v>2.2124356973465851</v>
      </c>
      <c r="J33" s="195">
        <v>8.5556164471982648</v>
      </c>
      <c r="K33" s="195">
        <v>2.9989968049116347</v>
      </c>
      <c r="L33" s="195">
        <v>2.2549814000038353</v>
      </c>
      <c r="M33" s="195">
        <v>7.9244487946162971</v>
      </c>
      <c r="N33" s="195">
        <v>10.56541107189117</v>
      </c>
      <c r="O33" s="195">
        <v>-9.1640610512162643E-2</v>
      </c>
      <c r="P33" s="195">
        <v>4.9149936396199063</v>
      </c>
      <c r="Q33" s="195">
        <v>11.592210143766989</v>
      </c>
      <c r="R33" s="195">
        <v>3.0914347745448993</v>
      </c>
      <c r="S33" s="195">
        <v>-0.33306489462359323</v>
      </c>
      <c r="T33" s="195">
        <v>5.3029694271291214</v>
      </c>
      <c r="U33" s="195">
        <v>5.3312225661302799</v>
      </c>
      <c r="V33" s="195">
        <v>8.7999018229524211</v>
      </c>
    </row>
    <row r="36" spans="5:57" ht="15">
      <c r="E36" s="193" t="s">
        <v>208</v>
      </c>
      <c r="F36" s="193" t="s">
        <v>207</v>
      </c>
    </row>
    <row r="37" spans="5:57" ht="15">
      <c r="E37" s="194" t="s">
        <v>23</v>
      </c>
      <c r="F37" s="195">
        <v>1.3650788947414774</v>
      </c>
      <c r="AL37" s="103" t="s">
        <v>153</v>
      </c>
      <c r="AM37" s="103" t="s">
        <v>23</v>
      </c>
      <c r="AN37" s="103" t="s">
        <v>195</v>
      </c>
      <c r="AO37" s="103" t="s">
        <v>21</v>
      </c>
      <c r="AP37" s="103" t="s">
        <v>26</v>
      </c>
      <c r="AQ37" s="103" t="s">
        <v>20</v>
      </c>
      <c r="AR37" s="103" t="s">
        <v>204</v>
      </c>
      <c r="AS37" s="103" t="s">
        <v>66</v>
      </c>
      <c r="AT37" s="103" t="s">
        <v>67</v>
      </c>
      <c r="AU37" s="103" t="s">
        <v>68</v>
      </c>
      <c r="AV37" s="103" t="s">
        <v>69</v>
      </c>
      <c r="AW37" s="103" t="s">
        <v>70</v>
      </c>
      <c r="AX37" s="103" t="s">
        <v>71</v>
      </c>
      <c r="AY37" s="103" t="s">
        <v>72</v>
      </c>
      <c r="AZ37" s="103" t="s">
        <v>154</v>
      </c>
      <c r="BA37" s="103" t="s">
        <v>155</v>
      </c>
      <c r="BB37" s="103" t="s">
        <v>156</v>
      </c>
      <c r="BC37" s="103" t="s">
        <v>192</v>
      </c>
      <c r="BD37" s="103" t="s">
        <v>194</v>
      </c>
      <c r="BE37" s="103" t="s">
        <v>205</v>
      </c>
    </row>
    <row r="38" spans="5:57" ht="15">
      <c r="E38" s="194" t="s">
        <v>195</v>
      </c>
      <c r="F38" s="195">
        <v>1.9682949061120321</v>
      </c>
      <c r="AL38" s="103" t="s">
        <v>150</v>
      </c>
      <c r="AM38" s="184">
        <v>3.9</v>
      </c>
      <c r="AN38" s="184">
        <v>12</v>
      </c>
      <c r="AO38" s="184">
        <v>22</v>
      </c>
      <c r="AP38" s="184">
        <v>27</v>
      </c>
      <c r="AQ38" s="184">
        <v>80</v>
      </c>
      <c r="AR38" s="184">
        <v>3.9</v>
      </c>
      <c r="AS38" s="184">
        <v>12.633333333333333</v>
      </c>
      <c r="AT38" s="184">
        <v>17.316666666666666</v>
      </c>
      <c r="AU38" s="184">
        <v>20.333333333333332</v>
      </c>
      <c r="AV38" s="184">
        <v>30</v>
      </c>
      <c r="AW38" s="184">
        <v>31.966666666666669</v>
      </c>
      <c r="AX38" s="184">
        <v>35.300000000000004</v>
      </c>
      <c r="AY38" s="184">
        <v>38</v>
      </c>
      <c r="AZ38" s="184">
        <v>41.949999999999996</v>
      </c>
      <c r="BA38" s="184">
        <v>43.300000000000004</v>
      </c>
      <c r="BB38" s="184">
        <v>51</v>
      </c>
      <c r="BC38" s="184">
        <v>59</v>
      </c>
      <c r="BD38" s="184">
        <v>70.333333333333329</v>
      </c>
      <c r="BE38" s="184">
        <v>80</v>
      </c>
    </row>
    <row r="39" spans="5:57" ht="15">
      <c r="E39" s="194" t="s">
        <v>21</v>
      </c>
      <c r="F39" s="195">
        <v>8.3065190909133904</v>
      </c>
      <c r="AL39" s="103" t="s">
        <v>13</v>
      </c>
      <c r="AM39" s="103">
        <v>3</v>
      </c>
      <c r="AN39" s="103">
        <v>0</v>
      </c>
      <c r="AO39" s="103">
        <v>0</v>
      </c>
      <c r="AP39" s="103">
        <v>0</v>
      </c>
      <c r="AQ39" s="103">
        <v>0</v>
      </c>
      <c r="AR39" s="103">
        <v>3</v>
      </c>
      <c r="AS39" s="103">
        <v>1</v>
      </c>
      <c r="AT39" s="103">
        <v>0.5</v>
      </c>
      <c r="AU39" s="103">
        <v>0</v>
      </c>
      <c r="AV39" s="103">
        <v>0</v>
      </c>
      <c r="AW39" s="103">
        <v>1</v>
      </c>
      <c r="AX39" s="103">
        <v>1</v>
      </c>
      <c r="AY39" s="103">
        <v>0</v>
      </c>
      <c r="AZ39" s="103">
        <v>1.5</v>
      </c>
      <c r="BA39" s="103">
        <v>1</v>
      </c>
      <c r="BB39" s="103">
        <v>0</v>
      </c>
      <c r="BC39" s="103">
        <v>0</v>
      </c>
      <c r="BD39" s="103">
        <v>0</v>
      </c>
      <c r="BE39" s="103">
        <v>0</v>
      </c>
    </row>
    <row r="40" spans="5:57" ht="15">
      <c r="E40" s="194" t="s">
        <v>26</v>
      </c>
      <c r="F40" s="195">
        <v>2.2124356973465851</v>
      </c>
      <c r="AL40" s="103" t="s">
        <v>33</v>
      </c>
      <c r="AM40" s="103">
        <v>0</v>
      </c>
      <c r="AN40" s="103">
        <v>3</v>
      </c>
      <c r="AO40" s="103">
        <v>0</v>
      </c>
      <c r="AP40" s="103">
        <v>0</v>
      </c>
      <c r="AQ40" s="103">
        <v>0</v>
      </c>
      <c r="AR40" s="103">
        <v>0</v>
      </c>
      <c r="AS40" s="103">
        <v>1</v>
      </c>
      <c r="AT40" s="103">
        <v>0.5</v>
      </c>
      <c r="AU40" s="103">
        <v>0.5</v>
      </c>
      <c r="AV40" s="103">
        <v>0.5</v>
      </c>
      <c r="AW40" s="103">
        <v>1</v>
      </c>
      <c r="AX40" s="103">
        <v>0</v>
      </c>
      <c r="AY40" s="103">
        <v>1</v>
      </c>
      <c r="AZ40" s="103">
        <v>0</v>
      </c>
      <c r="BA40" s="103">
        <v>0.5</v>
      </c>
      <c r="BB40" s="103">
        <v>0</v>
      </c>
      <c r="BC40" s="103">
        <v>0.5</v>
      </c>
      <c r="BD40" s="103">
        <v>0</v>
      </c>
      <c r="BE40" s="103">
        <v>0</v>
      </c>
    </row>
    <row r="41" spans="5:57" ht="15">
      <c r="E41" s="194" t="s">
        <v>20</v>
      </c>
      <c r="F41" s="195">
        <v>8.5556164471982648</v>
      </c>
      <c r="AL41" s="103" t="s">
        <v>14</v>
      </c>
      <c r="AM41" s="103">
        <v>0</v>
      </c>
      <c r="AN41" s="103">
        <v>0</v>
      </c>
      <c r="AO41" s="103">
        <v>3</v>
      </c>
      <c r="AP41" s="103">
        <v>0</v>
      </c>
      <c r="AQ41" s="103">
        <v>0</v>
      </c>
      <c r="AR41" s="103">
        <v>0</v>
      </c>
      <c r="AS41" s="103">
        <v>1</v>
      </c>
      <c r="AT41" s="103">
        <v>2</v>
      </c>
      <c r="AU41" s="103">
        <v>2.5</v>
      </c>
      <c r="AV41" s="103">
        <v>2</v>
      </c>
      <c r="AW41" s="103">
        <v>0</v>
      </c>
      <c r="AX41" s="103">
        <v>1</v>
      </c>
      <c r="AY41" s="103">
        <v>1</v>
      </c>
      <c r="AZ41" s="103">
        <v>0</v>
      </c>
      <c r="BA41" s="103">
        <v>0</v>
      </c>
      <c r="BB41" s="103">
        <v>1.5</v>
      </c>
      <c r="BC41" s="103">
        <v>0.5</v>
      </c>
      <c r="BD41" s="103">
        <v>0.5</v>
      </c>
      <c r="BE41" s="103">
        <v>0</v>
      </c>
    </row>
    <row r="42" spans="5:57" ht="15">
      <c r="E42" s="194" t="s">
        <v>66</v>
      </c>
      <c r="F42" s="195">
        <v>2.9989968049116347</v>
      </c>
      <c r="AL42" s="103" t="s">
        <v>196</v>
      </c>
      <c r="AM42" s="103">
        <v>0</v>
      </c>
      <c r="AN42" s="103">
        <v>0</v>
      </c>
      <c r="AO42" s="103">
        <v>0</v>
      </c>
      <c r="AP42" s="103">
        <v>3</v>
      </c>
      <c r="AQ42" s="103">
        <v>0</v>
      </c>
      <c r="AR42" s="103">
        <v>0</v>
      </c>
      <c r="AS42" s="103">
        <v>0</v>
      </c>
      <c r="AT42" s="103">
        <v>0</v>
      </c>
      <c r="AU42" s="103">
        <v>0</v>
      </c>
      <c r="AV42" s="103">
        <v>0</v>
      </c>
      <c r="AW42" s="103">
        <v>0</v>
      </c>
      <c r="AX42" s="103">
        <v>0</v>
      </c>
      <c r="AY42" s="103">
        <v>0</v>
      </c>
      <c r="AZ42" s="103">
        <v>0</v>
      </c>
      <c r="BA42" s="103">
        <v>0</v>
      </c>
      <c r="BB42" s="103">
        <v>0</v>
      </c>
      <c r="BC42" s="103">
        <v>0</v>
      </c>
      <c r="BD42" s="103">
        <v>0</v>
      </c>
      <c r="BE42" s="103">
        <v>0</v>
      </c>
    </row>
    <row r="43" spans="5:57" ht="15">
      <c r="E43" s="194" t="s">
        <v>67</v>
      </c>
      <c r="F43" s="195">
        <v>2.2549814000038353</v>
      </c>
      <c r="AL43" s="103" t="s">
        <v>34</v>
      </c>
      <c r="AM43" s="103">
        <v>0</v>
      </c>
      <c r="AN43" s="103">
        <v>0</v>
      </c>
      <c r="AO43" s="103">
        <v>0</v>
      </c>
      <c r="AP43" s="103">
        <v>0</v>
      </c>
      <c r="AQ43" s="103">
        <v>3</v>
      </c>
      <c r="AR43" s="103">
        <v>0</v>
      </c>
      <c r="AS43" s="103">
        <v>0</v>
      </c>
      <c r="AT43" s="103">
        <v>0</v>
      </c>
      <c r="AU43" s="103">
        <v>0</v>
      </c>
      <c r="AV43" s="103">
        <v>0.5</v>
      </c>
      <c r="AW43" s="103">
        <v>1</v>
      </c>
      <c r="AX43" s="103">
        <v>1</v>
      </c>
      <c r="AY43" s="103">
        <v>1</v>
      </c>
      <c r="AZ43" s="103">
        <v>1.5</v>
      </c>
      <c r="BA43" s="103">
        <v>1.5</v>
      </c>
      <c r="BB43" s="103">
        <v>1.5</v>
      </c>
      <c r="BC43" s="103">
        <v>2</v>
      </c>
      <c r="BD43" s="103">
        <v>2.5</v>
      </c>
      <c r="BE43" s="103">
        <v>3</v>
      </c>
    </row>
    <row r="44" spans="5:57" ht="15">
      <c r="E44" s="194" t="s">
        <v>68</v>
      </c>
      <c r="F44" s="195">
        <v>7.9244487946162971</v>
      </c>
      <c r="AL44" s="103" t="s">
        <v>206</v>
      </c>
      <c r="AM44" s="103">
        <v>3</v>
      </c>
      <c r="AN44" s="103">
        <v>3</v>
      </c>
      <c r="AO44" s="103">
        <v>3</v>
      </c>
      <c r="AP44" s="103">
        <v>3</v>
      </c>
      <c r="AQ44" s="103">
        <v>3</v>
      </c>
      <c r="AR44" s="103">
        <v>3</v>
      </c>
      <c r="AS44" s="103">
        <v>3</v>
      </c>
      <c r="AT44" s="103">
        <v>3</v>
      </c>
      <c r="AU44" s="103">
        <v>3</v>
      </c>
      <c r="AV44" s="103">
        <v>3</v>
      </c>
      <c r="AW44" s="103">
        <v>3</v>
      </c>
      <c r="AX44" s="103">
        <v>3</v>
      </c>
      <c r="AY44" s="103">
        <v>3</v>
      </c>
      <c r="AZ44" s="103">
        <v>3</v>
      </c>
      <c r="BA44" s="103">
        <v>3</v>
      </c>
      <c r="BB44" s="103">
        <v>3</v>
      </c>
      <c r="BC44" s="103">
        <v>3</v>
      </c>
      <c r="BD44" s="103">
        <v>3</v>
      </c>
      <c r="BE44" s="103">
        <v>3</v>
      </c>
    </row>
    <row r="45" spans="5:57" ht="15">
      <c r="E45" s="194" t="s">
        <v>69</v>
      </c>
      <c r="F45" s="195">
        <v>10.56541107189117</v>
      </c>
    </row>
    <row r="46" spans="5:57" ht="15">
      <c r="E46" s="194" t="s">
        <v>70</v>
      </c>
      <c r="F46" s="195">
        <v>-9.1640610512162643E-2</v>
      </c>
    </row>
    <row r="47" spans="5:57" ht="15">
      <c r="E47" s="194" t="s">
        <v>71</v>
      </c>
      <c r="F47" s="195">
        <v>4.9149936396199063</v>
      </c>
    </row>
    <row r="48" spans="5:57" ht="15">
      <c r="E48" s="194" t="s">
        <v>72</v>
      </c>
      <c r="F48" s="195">
        <v>11.592210143766989</v>
      </c>
    </row>
    <row r="49" spans="5:6" ht="15">
      <c r="E49" s="194" t="s">
        <v>154</v>
      </c>
      <c r="F49" s="195">
        <v>3.0914347745448993</v>
      </c>
    </row>
    <row r="50" spans="5:6" ht="15">
      <c r="E50" s="194" t="s">
        <v>155</v>
      </c>
      <c r="F50" s="195">
        <v>-0.33306489462359323</v>
      </c>
    </row>
    <row r="51" spans="5:6" ht="15">
      <c r="E51" s="194" t="s">
        <v>156</v>
      </c>
      <c r="F51" s="195">
        <v>5.3029694271291214</v>
      </c>
    </row>
    <row r="52" spans="5:6" ht="15">
      <c r="E52" s="194" t="s">
        <v>192</v>
      </c>
      <c r="F52" s="195">
        <v>5.3312225661302799</v>
      </c>
    </row>
    <row r="53" spans="5:6" ht="15">
      <c r="E53" s="194" t="s">
        <v>194</v>
      </c>
      <c r="F53" s="195">
        <v>8.7999018229524211</v>
      </c>
    </row>
    <row r="99" spans="4:11" ht="21">
      <c r="D99" s="180" t="s">
        <v>199</v>
      </c>
      <c r="E99" s="181"/>
      <c r="F99" s="182"/>
      <c r="G99" s="182"/>
      <c r="H99" s="183"/>
      <c r="I99" s="183"/>
      <c r="J99" s="183"/>
      <c r="K99" s="183"/>
    </row>
    <row r="100" spans="4:11" ht="21">
      <c r="D100" s="180" t="s">
        <v>202</v>
      </c>
      <c r="E100" s="181"/>
      <c r="F100" s="182"/>
      <c r="G100" s="182"/>
      <c r="H100" s="183"/>
      <c r="I100" s="183"/>
      <c r="J100" s="183"/>
      <c r="K100" s="183"/>
    </row>
    <row r="101" spans="4:11" ht="21">
      <c r="D101" s="180" t="s">
        <v>200</v>
      </c>
      <c r="E101" s="181"/>
      <c r="F101" s="182"/>
      <c r="G101" s="182"/>
      <c r="H101" s="183"/>
      <c r="I101" s="183"/>
      <c r="J101" s="183"/>
      <c r="K101" s="183"/>
    </row>
    <row r="102" spans="4:11" ht="21">
      <c r="D102" s="180" t="s">
        <v>201</v>
      </c>
      <c r="E102" s="181"/>
      <c r="F102" s="182"/>
      <c r="G102" s="182"/>
      <c r="H102" s="183"/>
      <c r="I102" s="183"/>
      <c r="J102" s="183"/>
      <c r="K102" s="183"/>
    </row>
    <row r="103" spans="4:11" ht="21">
      <c r="D103" s="180" t="s">
        <v>203</v>
      </c>
      <c r="E103" s="181"/>
      <c r="F103" s="182"/>
      <c r="G103" s="182"/>
      <c r="H103" s="183"/>
      <c r="I103" s="183"/>
      <c r="J103" s="183"/>
      <c r="K103" s="183"/>
    </row>
    <row r="104" spans="4:11" ht="21">
      <c r="D104" s="179"/>
    </row>
    <row r="105" spans="4:11" ht="21">
      <c r="D105" s="179"/>
    </row>
    <row r="106" spans="4:11" ht="21">
      <c r="D106" s="179"/>
    </row>
  </sheetData>
  <conditionalFormatting sqref="F37:F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J25 L25:X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J29 L29:V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J33 L33:V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106"/>
  <sheetViews>
    <sheetView topLeftCell="A5" zoomScale="63" zoomScaleNormal="53" workbookViewId="0">
      <selection activeCell="F54" sqref="F54"/>
    </sheetView>
  </sheetViews>
  <sheetFormatPr defaultColWidth="8.85546875" defaultRowHeight="12"/>
  <cols>
    <col min="1" max="1" width="17.7109375" style="102" customWidth="1"/>
    <col min="2" max="2" width="8.28515625" style="102" customWidth="1"/>
    <col min="3" max="3" width="11.42578125" style="102" bestFit="1" customWidth="1"/>
    <col min="4" max="4" width="14.28515625" style="102" customWidth="1"/>
    <col min="5" max="5" width="11.140625" style="102" customWidth="1"/>
    <col min="6" max="6" width="10.5703125" style="104" bestFit="1" customWidth="1"/>
    <col min="7" max="7" width="8.28515625" style="104" customWidth="1"/>
    <col min="8" max="8" width="9" style="105" bestFit="1" customWidth="1"/>
    <col min="9" max="9" width="9" style="105" customWidth="1"/>
    <col min="10" max="10" width="9" style="105" bestFit="1" customWidth="1"/>
    <col min="11" max="11" width="8.28515625" style="106" bestFit="1" customWidth="1"/>
    <col min="12" max="12" width="8.85546875" style="169"/>
    <col min="13" max="13" width="8.85546875" style="108" customWidth="1"/>
    <col min="14" max="14" width="8.85546875" style="108"/>
    <col min="15" max="15" width="8.85546875" style="108" customWidth="1"/>
    <col min="16" max="16" width="8.85546875" style="168"/>
    <col min="17" max="17" width="8.85546875" style="169" customWidth="1"/>
    <col min="18" max="19" width="8.85546875" style="168"/>
    <col min="20" max="23" width="8.85546875" style="108" customWidth="1"/>
    <col min="24" max="24" width="9" style="107" bestFit="1" customWidth="1"/>
    <col min="25" max="27" width="15.42578125" style="160" customWidth="1"/>
    <col min="28" max="28" width="15.42578125" style="108" customWidth="1"/>
    <col min="29" max="29" width="14.140625" style="151" bestFit="1" customWidth="1"/>
    <col min="30" max="30" width="10.7109375" style="143" bestFit="1" customWidth="1"/>
    <col min="31" max="31" width="15.7109375" style="143" customWidth="1"/>
    <col min="32" max="32" width="10.42578125" style="143" bestFit="1" customWidth="1"/>
    <col min="33" max="33" width="12.7109375" style="143" customWidth="1"/>
    <col min="34" max="34" width="15.28515625" style="143" bestFit="1" customWidth="1"/>
    <col min="35" max="35" width="12" style="102" bestFit="1" customWidth="1"/>
    <col min="36" max="37" width="8.85546875" style="102"/>
    <col min="38" max="38" width="15.85546875" style="102" customWidth="1"/>
    <col min="39" max="39" width="13.28515625" style="102" hidden="1" customWidth="1"/>
    <col min="40" max="40" width="14.28515625" style="102" hidden="1" customWidth="1"/>
    <col min="41" max="41" width="13.7109375" style="102" hidden="1" customWidth="1"/>
    <col min="42" max="42" width="14.28515625" style="102" hidden="1" customWidth="1"/>
    <col min="43" max="43" width="13.28515625" style="102" hidden="1" customWidth="1"/>
    <col min="44" max="44" width="14.140625" style="102" hidden="1" customWidth="1"/>
    <col min="45" max="45" width="11" style="102" bestFit="1" customWidth="1"/>
    <col min="46" max="47" width="10.7109375" style="102" bestFit="1" customWidth="1"/>
    <col min="48" max="48" width="11" style="102" bestFit="1" customWidth="1"/>
    <col min="49" max="50" width="10.7109375" style="102" bestFit="1" customWidth="1"/>
    <col min="51" max="52" width="11" style="102" bestFit="1" customWidth="1"/>
    <col min="53" max="53" width="10.5703125" style="102" bestFit="1" customWidth="1"/>
    <col min="54" max="54" width="10.7109375" style="102" bestFit="1" customWidth="1"/>
    <col min="55" max="55" width="10.5703125" style="102" bestFit="1" customWidth="1"/>
    <col min="56" max="56" width="11.42578125" style="102" customWidth="1"/>
    <col min="57" max="57" width="14.140625" style="102" bestFit="1" customWidth="1"/>
    <col min="58" max="16384" width="8.85546875" style="102"/>
  </cols>
  <sheetData>
    <row r="1" spans="1:35" s="103" customFormat="1" ht="166.5">
      <c r="E1" s="131" t="s">
        <v>147</v>
      </c>
      <c r="F1" s="132" t="s">
        <v>146</v>
      </c>
      <c r="G1" s="132" t="s">
        <v>157</v>
      </c>
      <c r="H1" s="132" t="s">
        <v>148</v>
      </c>
      <c r="I1" s="132"/>
      <c r="J1" s="132" t="s">
        <v>149</v>
      </c>
      <c r="K1" s="133" t="s">
        <v>146</v>
      </c>
      <c r="L1" s="161" t="s">
        <v>159</v>
      </c>
      <c r="M1" s="112" t="s">
        <v>163</v>
      </c>
      <c r="N1" s="112" t="s">
        <v>160</v>
      </c>
      <c r="O1" s="112" t="s">
        <v>164</v>
      </c>
      <c r="P1" s="161" t="s">
        <v>162</v>
      </c>
      <c r="Q1" s="161" t="s">
        <v>165</v>
      </c>
      <c r="R1" s="161" t="s">
        <v>161</v>
      </c>
      <c r="S1" s="161"/>
      <c r="T1" s="112" t="s">
        <v>174</v>
      </c>
      <c r="U1" s="112" t="s">
        <v>193</v>
      </c>
      <c r="V1" s="112" t="s">
        <v>173</v>
      </c>
      <c r="W1" s="112" t="s">
        <v>172</v>
      </c>
      <c r="X1" s="133" t="s">
        <v>149</v>
      </c>
      <c r="Y1" s="153" t="s">
        <v>188</v>
      </c>
      <c r="Z1" s="153" t="s">
        <v>189</v>
      </c>
      <c r="AA1" s="153" t="s">
        <v>190</v>
      </c>
      <c r="AB1" s="112"/>
      <c r="AC1" s="144" t="s">
        <v>183</v>
      </c>
      <c r="AD1" s="138"/>
      <c r="AE1" s="138"/>
      <c r="AF1" s="138"/>
      <c r="AG1" s="138"/>
      <c r="AH1" s="138"/>
    </row>
    <row r="2" spans="1:35" s="101" customFormat="1" ht="47.45" customHeight="1">
      <c r="A2" s="101" t="s">
        <v>87</v>
      </c>
      <c r="C2" s="101" t="s">
        <v>158</v>
      </c>
      <c r="D2" s="101" t="s">
        <v>52</v>
      </c>
      <c r="E2" s="113" t="s">
        <v>152</v>
      </c>
      <c r="F2" s="114">
        <v>3.9</v>
      </c>
      <c r="G2" s="114">
        <v>12</v>
      </c>
      <c r="H2" s="114">
        <v>22</v>
      </c>
      <c r="I2" s="114">
        <v>27</v>
      </c>
      <c r="J2" s="114">
        <v>80</v>
      </c>
      <c r="K2" s="124">
        <v>3.9</v>
      </c>
      <c r="L2" s="162"/>
      <c r="M2" s="115"/>
      <c r="N2" s="115"/>
      <c r="O2" s="115"/>
      <c r="P2" s="162"/>
      <c r="Q2" s="162"/>
      <c r="R2" s="162"/>
      <c r="S2" s="162"/>
      <c r="T2" s="115"/>
      <c r="U2" s="115"/>
      <c r="V2" s="115"/>
      <c r="W2" s="115"/>
      <c r="X2" s="124">
        <v>80</v>
      </c>
      <c r="Y2" s="154"/>
      <c r="Z2" s="154"/>
      <c r="AA2" s="154"/>
      <c r="AB2" s="115"/>
      <c r="AC2" s="145"/>
      <c r="AD2" s="139"/>
      <c r="AE2" s="139"/>
      <c r="AF2" s="139"/>
      <c r="AG2" s="139"/>
      <c r="AH2" s="139"/>
    </row>
    <row r="3" spans="1:35" s="101" customFormat="1" ht="47.45" customHeight="1">
      <c r="E3" s="113" t="s">
        <v>171</v>
      </c>
      <c r="F3" s="114">
        <v>9</v>
      </c>
      <c r="G3" s="114">
        <v>8.1999999999999993</v>
      </c>
      <c r="H3" s="114">
        <v>5.2</v>
      </c>
      <c r="I3" s="114">
        <v>5.2</v>
      </c>
      <c r="J3" s="114">
        <v>3.5</v>
      </c>
      <c r="K3" s="124">
        <v>9</v>
      </c>
      <c r="L3" s="163">
        <f>($B$5*L15+$B$8*L16+$B$9*L17+$B$11*L19)/L20</f>
        <v>7.4666666666666659</v>
      </c>
      <c r="M3" s="116">
        <f t="shared" ref="M3:W3" si="0">($B$5*M15+$B$8*M16+$B$9*M17+$B$11*M19)/M20</f>
        <v>6.333333333333333</v>
      </c>
      <c r="N3" s="116">
        <f t="shared" si="0"/>
        <v>5.7</v>
      </c>
      <c r="O3" s="116">
        <f t="shared" si="0"/>
        <v>5.416666666666667</v>
      </c>
      <c r="P3" s="163">
        <f t="shared" si="0"/>
        <v>6.8999999999999995</v>
      </c>
      <c r="Q3" s="163">
        <f t="shared" si="0"/>
        <v>5.8999999999999995</v>
      </c>
      <c r="R3" s="163">
        <f t="shared" si="0"/>
        <v>5.6333333333333329</v>
      </c>
      <c r="S3" s="116">
        <f t="shared" si="0"/>
        <v>6.25</v>
      </c>
      <c r="T3" s="116">
        <f t="shared" si="0"/>
        <v>6.1166666666666671</v>
      </c>
      <c r="U3" s="116">
        <f t="shared" si="0"/>
        <v>4.3500000000000005</v>
      </c>
      <c r="V3" s="116">
        <f t="shared" si="0"/>
        <v>4.5666666666666664</v>
      </c>
      <c r="W3" s="116">
        <f t="shared" si="0"/>
        <v>3.7833333333333332</v>
      </c>
      <c r="X3" s="124">
        <v>3.5</v>
      </c>
      <c r="Y3" s="155" t="s">
        <v>187</v>
      </c>
      <c r="Z3" s="155" t="s">
        <v>185</v>
      </c>
      <c r="AA3" s="155" t="s">
        <v>184</v>
      </c>
      <c r="AB3" s="116" t="s">
        <v>186</v>
      </c>
      <c r="AC3" s="146" t="s">
        <v>175</v>
      </c>
      <c r="AD3" s="140" t="s">
        <v>176</v>
      </c>
      <c r="AE3" s="140" t="s">
        <v>191</v>
      </c>
      <c r="AF3" s="140" t="s">
        <v>177</v>
      </c>
      <c r="AG3" s="140" t="s">
        <v>177</v>
      </c>
      <c r="AH3" s="140" t="s">
        <v>178</v>
      </c>
      <c r="AI3" s="140" t="s">
        <v>178</v>
      </c>
    </row>
    <row r="4" spans="1:35" s="101" customFormat="1" ht="24">
      <c r="A4" s="101" t="s">
        <v>169</v>
      </c>
      <c r="B4" s="101" t="s">
        <v>167</v>
      </c>
      <c r="C4" s="101" t="s">
        <v>168</v>
      </c>
      <c r="E4" s="113" t="s">
        <v>150</v>
      </c>
      <c r="F4" s="114">
        <f>($C$5*F15+$C$8*F16+$C$9*F17+$C$11*F19)/F20</f>
        <v>3.9</v>
      </c>
      <c r="G4" s="114">
        <f>($C$5*G15+$C$8*G16+$C$9*G17+$C$11*G19)/G20</f>
        <v>12</v>
      </c>
      <c r="H4" s="114">
        <f>($C$5*H15+$C$8*H16+$C$9*H17+$C$11*H19)/H20</f>
        <v>25</v>
      </c>
      <c r="I4" s="114">
        <v>27</v>
      </c>
      <c r="J4" s="114">
        <f>($C$5*J15+$C$8*J16+$C$9*J17+$C$11*J19)/J20</f>
        <v>80</v>
      </c>
      <c r="K4" s="124">
        <f>($C$5*K15+$C$8*K16+$C$9*K17+$C$11*K19)/K20</f>
        <v>3.9</v>
      </c>
      <c r="L4" s="163">
        <f t="shared" ref="L4:W4" si="1">($C$5*L15+$C$8*L16+$C$9*L17+$C$11*L19)/L20</f>
        <v>13.633333333333333</v>
      </c>
      <c r="M4" s="116">
        <f>($C$5*M15+$C$8*M16+$C$9*M17+$C$11*M19)/M20</f>
        <v>19.316666666666666</v>
      </c>
      <c r="N4" s="116">
        <f>($C$5*N15+$C$8*N16+$C$9*N17+$C$11*N19)/N20</f>
        <v>22.833333333333332</v>
      </c>
      <c r="O4" s="116">
        <f>($C$5*O15+$C$8*O16+$C$9*O17+$C$11*O19)/O20</f>
        <v>32</v>
      </c>
      <c r="P4" s="163">
        <f>($C$5*P15+$C$8*P16+$C$9*P17+$C$11*P19)/P20</f>
        <v>31.966666666666669</v>
      </c>
      <c r="Q4" s="163">
        <f t="shared" si="1"/>
        <v>36.300000000000004</v>
      </c>
      <c r="R4" s="163">
        <f>($C$5*R15+$C$8*R16+$C$9*R17+$C$11*R19)/R20</f>
        <v>39</v>
      </c>
      <c r="S4" s="116">
        <f>($C$5*S15+$C$8*S16+$C$9*S17+$C$11*S19)/S20</f>
        <v>41.949999999999996</v>
      </c>
      <c r="T4" s="116">
        <f t="shared" si="1"/>
        <v>43.300000000000004</v>
      </c>
      <c r="U4" s="116">
        <f t="shared" si="1"/>
        <v>52.5</v>
      </c>
      <c r="V4" s="116">
        <f t="shared" si="1"/>
        <v>59.5</v>
      </c>
      <c r="W4" s="116">
        <f t="shared" si="1"/>
        <v>70.833333333333329</v>
      </c>
      <c r="X4" s="124">
        <f>($C$5*X15+$C$8*X16+$C$9*X17+$C$11*X19)/X20</f>
        <v>80</v>
      </c>
      <c r="Y4" s="155">
        <v>80</v>
      </c>
      <c r="Z4" s="155">
        <v>80</v>
      </c>
      <c r="AA4" s="155">
        <v>80</v>
      </c>
      <c r="AB4" s="116"/>
      <c r="AC4" s="146"/>
      <c r="AD4" s="140"/>
      <c r="AE4" s="140"/>
      <c r="AF4" s="140"/>
      <c r="AG4" s="140"/>
      <c r="AH4" s="140"/>
    </row>
    <row r="5" spans="1:35" ht="15.75">
      <c r="A5" s="48" t="s">
        <v>23</v>
      </c>
      <c r="B5" s="48">
        <v>9</v>
      </c>
      <c r="C5" s="48">
        <v>3.9</v>
      </c>
      <c r="E5" s="109" t="s">
        <v>140</v>
      </c>
      <c r="F5" s="110">
        <v>0.55659999999999998</v>
      </c>
      <c r="G5" s="110">
        <v>0.85729999999999995</v>
      </c>
      <c r="H5" s="110">
        <v>0.92600000000000005</v>
      </c>
      <c r="I5" s="110">
        <v>0.95179999999999998</v>
      </c>
      <c r="J5" s="110">
        <v>1.0028999999999999</v>
      </c>
      <c r="K5" s="125">
        <v>0.55659999999999998</v>
      </c>
      <c r="L5" s="164">
        <v>0.76890000000000003</v>
      </c>
      <c r="M5" s="111">
        <v>0.84440000000000004</v>
      </c>
      <c r="N5" s="111">
        <v>0.91500000000000004</v>
      </c>
      <c r="O5" s="111">
        <v>0.92379999999999995</v>
      </c>
      <c r="P5" s="164">
        <v>0.78900000000000003</v>
      </c>
      <c r="Q5" s="164">
        <v>0.80810000000000004</v>
      </c>
      <c r="R5" s="164">
        <v>0.92230000000000001</v>
      </c>
      <c r="S5" s="111">
        <v>0.76519999999999999</v>
      </c>
      <c r="T5" s="111">
        <v>0.80730000000000002</v>
      </c>
      <c r="U5" s="111">
        <v>0.96379999999999999</v>
      </c>
      <c r="V5" s="111">
        <v>0.9607</v>
      </c>
      <c r="W5" s="111">
        <v>0.99099999999999999</v>
      </c>
      <c r="X5" s="125">
        <v>1.0028999999999999</v>
      </c>
      <c r="Y5" s="156">
        <v>1.0038</v>
      </c>
      <c r="Z5" s="156">
        <v>1.0028999999999999</v>
      </c>
      <c r="AA5" s="156">
        <v>1.008</v>
      </c>
      <c r="AB5" s="152">
        <f>(Z5-AA5)/Z5</f>
        <v>-5.0852527669758745E-3</v>
      </c>
      <c r="AC5" s="147">
        <v>0.92800000000000005</v>
      </c>
      <c r="AD5" s="141">
        <f t="shared" ref="AD5:AD14" si="2">($AC5-G5)/G5</f>
        <v>8.246821416073731E-2</v>
      </c>
      <c r="AE5" s="141"/>
      <c r="AF5" s="141">
        <f t="shared" ref="AF5:AF14" si="3">($AC5-H5)/H5</f>
        <v>2.159827213822896E-3</v>
      </c>
      <c r="AG5" s="141"/>
      <c r="AH5" s="141">
        <f t="shared" ref="AH5:AH14" si="4">($AC5-J5)/J5</f>
        <v>-7.4683418087545986E-2</v>
      </c>
    </row>
    <row r="6" spans="1:35" ht="15.75">
      <c r="A6" s="48" t="s">
        <v>170</v>
      </c>
      <c r="B6" s="48">
        <v>4.5999999999999996</v>
      </c>
      <c r="C6" s="48">
        <v>7.5</v>
      </c>
      <c r="E6" s="109" t="s">
        <v>142</v>
      </c>
      <c r="F6" s="110">
        <v>68</v>
      </c>
      <c r="G6" s="110">
        <v>59.6</v>
      </c>
      <c r="H6" s="110">
        <v>59.8</v>
      </c>
      <c r="I6" s="110">
        <v>58.6</v>
      </c>
      <c r="J6" s="110">
        <v>56.1</v>
      </c>
      <c r="K6" s="125">
        <v>68</v>
      </c>
      <c r="L6" s="164">
        <v>62</v>
      </c>
      <c r="M6" s="111">
        <v>59.3</v>
      </c>
      <c r="N6" s="111">
        <v>60</v>
      </c>
      <c r="O6" s="111">
        <v>60.1</v>
      </c>
      <c r="P6" s="164">
        <v>60.7</v>
      </c>
      <c r="Q6" s="164">
        <v>59.7</v>
      </c>
      <c r="R6" s="164">
        <v>59.9</v>
      </c>
      <c r="S6" s="111">
        <v>62</v>
      </c>
      <c r="T6" s="111">
        <v>59.7</v>
      </c>
      <c r="U6" s="111">
        <v>59.1</v>
      </c>
      <c r="V6" s="111">
        <v>59</v>
      </c>
      <c r="W6" s="111">
        <v>57.8</v>
      </c>
      <c r="X6" s="125">
        <v>56.1</v>
      </c>
      <c r="Y6" s="156">
        <v>56.8</v>
      </c>
      <c r="Z6" s="156">
        <v>56.1</v>
      </c>
      <c r="AA6" s="156">
        <v>59</v>
      </c>
      <c r="AB6" s="152">
        <f t="shared" ref="AB6:AB14" si="5">(Z6-AA6)/Z6</f>
        <v>-5.169340463458108E-2</v>
      </c>
      <c r="AC6" s="147">
        <v>58.3</v>
      </c>
      <c r="AD6" s="141">
        <f t="shared" si="2"/>
        <v>-2.1812080536912824E-2</v>
      </c>
      <c r="AE6" s="141"/>
      <c r="AF6" s="141">
        <f t="shared" si="3"/>
        <v>-2.508361204013378E-2</v>
      </c>
      <c r="AG6" s="141"/>
      <c r="AH6" s="141">
        <f t="shared" si="4"/>
        <v>3.9215686274509727E-2</v>
      </c>
    </row>
    <row r="7" spans="1:35" ht="15.75">
      <c r="A7" s="48" t="s">
        <v>39</v>
      </c>
      <c r="B7" s="48"/>
      <c r="C7" s="48">
        <v>12</v>
      </c>
      <c r="E7" s="109" t="s">
        <v>143</v>
      </c>
      <c r="F7" s="110">
        <v>67.5</v>
      </c>
      <c r="G7" s="110">
        <v>59.4</v>
      </c>
      <c r="H7" s="110">
        <v>58.6</v>
      </c>
      <c r="I7" s="110">
        <v>58.5</v>
      </c>
      <c r="J7" s="110">
        <v>55.7</v>
      </c>
      <c r="K7" s="125">
        <v>67.5</v>
      </c>
      <c r="L7" s="164">
        <v>61.9</v>
      </c>
      <c r="M7" s="111">
        <v>59</v>
      </c>
      <c r="N7" s="111">
        <v>58.7</v>
      </c>
      <c r="O7" s="111">
        <v>59</v>
      </c>
      <c r="P7" s="164">
        <v>-3555.4</v>
      </c>
      <c r="Q7" s="164">
        <v>60.1</v>
      </c>
      <c r="R7" s="164">
        <v>59.2</v>
      </c>
      <c r="S7" s="111">
        <v>61.8</v>
      </c>
      <c r="T7" s="111">
        <v>-882.7</v>
      </c>
      <c r="U7" s="111">
        <v>59</v>
      </c>
      <c r="V7" s="111">
        <v>59.1</v>
      </c>
      <c r="W7" s="111">
        <v>57.3</v>
      </c>
      <c r="X7" s="125">
        <v>55.7</v>
      </c>
      <c r="Y7" s="156">
        <v>56.7</v>
      </c>
      <c r="Z7" s="156">
        <v>55.7</v>
      </c>
      <c r="AA7" s="156">
        <v>58.9</v>
      </c>
      <c r="AB7" s="152">
        <f t="shared" si="5"/>
        <v>-5.7450628366247675E-2</v>
      </c>
      <c r="AC7" s="147">
        <v>57.8</v>
      </c>
      <c r="AD7" s="141">
        <f t="shared" si="2"/>
        <v>-2.6936026936026959E-2</v>
      </c>
      <c r="AE7" s="141"/>
      <c r="AF7" s="141">
        <f t="shared" si="3"/>
        <v>-1.3651877133105875E-2</v>
      </c>
      <c r="AG7" s="141"/>
      <c r="AH7" s="141">
        <f t="shared" si="4"/>
        <v>3.7701974865349985E-2</v>
      </c>
    </row>
    <row r="8" spans="1:35" ht="15.75">
      <c r="A8" s="48" t="s">
        <v>25</v>
      </c>
      <c r="B8" s="48">
        <v>8.1999999999999993</v>
      </c>
      <c r="C8" s="48">
        <v>12</v>
      </c>
      <c r="E8" s="109" t="s">
        <v>2</v>
      </c>
      <c r="F8" s="110">
        <v>47.65</v>
      </c>
      <c r="G8" s="110">
        <v>17.04</v>
      </c>
      <c r="H8" s="110">
        <v>8.09</v>
      </c>
      <c r="I8" s="110">
        <v>12.78</v>
      </c>
      <c r="J8" s="110">
        <v>7.48</v>
      </c>
      <c r="K8" s="125">
        <v>47.65</v>
      </c>
      <c r="L8" s="164">
        <v>17.13</v>
      </c>
      <c r="M8" s="111">
        <v>16.260000000000002</v>
      </c>
      <c r="N8" s="111">
        <v>8.26</v>
      </c>
      <c r="O8" s="111">
        <v>7.13</v>
      </c>
      <c r="P8" s="164">
        <v>12.09</v>
      </c>
      <c r="Q8" s="164">
        <v>12.09</v>
      </c>
      <c r="R8" s="164">
        <v>6.78</v>
      </c>
      <c r="S8" s="111">
        <v>17.04</v>
      </c>
      <c r="T8" s="111">
        <v>11.91</v>
      </c>
      <c r="U8" s="111">
        <v>9.48</v>
      </c>
      <c r="V8" s="111">
        <v>9.48</v>
      </c>
      <c r="W8" s="111">
        <v>7.39</v>
      </c>
      <c r="X8" s="125">
        <v>7.48</v>
      </c>
      <c r="Y8" s="156">
        <v>7.39</v>
      </c>
      <c r="Z8" s="156">
        <v>7.48</v>
      </c>
      <c r="AA8" s="156">
        <v>6.96</v>
      </c>
      <c r="AB8" s="152">
        <f t="shared" si="5"/>
        <v>6.9518716577540163E-2</v>
      </c>
      <c r="AC8" s="147">
        <v>6.87</v>
      </c>
      <c r="AD8" s="141">
        <f t="shared" si="2"/>
        <v>-0.59683098591549288</v>
      </c>
      <c r="AE8" s="102" t="s">
        <v>182</v>
      </c>
      <c r="AF8" s="141">
        <f t="shared" si="3"/>
        <v>-0.15080346106304077</v>
      </c>
      <c r="AG8" s="102" t="s">
        <v>181</v>
      </c>
      <c r="AH8" s="141">
        <f t="shared" si="4"/>
        <v>-8.1550802139037468E-2</v>
      </c>
      <c r="AI8" s="102" t="s">
        <v>180</v>
      </c>
    </row>
    <row r="9" spans="1:35" ht="15.75">
      <c r="A9" s="48" t="s">
        <v>21</v>
      </c>
      <c r="B9" s="48">
        <v>5.2</v>
      </c>
      <c r="C9" s="48">
        <v>25</v>
      </c>
      <c r="E9" s="109" t="s">
        <v>12</v>
      </c>
      <c r="F9" s="117">
        <v>1E-14</v>
      </c>
      <c r="G9" s="117">
        <v>9.9999999999999995E-21</v>
      </c>
      <c r="H9" s="117">
        <v>9.9999999999999996E-24</v>
      </c>
      <c r="I9" s="117">
        <v>9.9999999999999991E-22</v>
      </c>
      <c r="J9" s="117">
        <v>1.0000000000000001E-31</v>
      </c>
      <c r="K9" s="126">
        <v>1E-14</v>
      </c>
      <c r="L9" s="165">
        <v>1.0000000000000001E-18</v>
      </c>
      <c r="M9" s="118">
        <v>9.9999999999999998E-20</v>
      </c>
      <c r="N9" s="118">
        <v>1E-22</v>
      </c>
      <c r="O9" s="118">
        <v>9.9999999999999996E-24</v>
      </c>
      <c r="P9" s="165">
        <v>9.9999999999999998E-20</v>
      </c>
      <c r="Q9" s="165">
        <v>9.9999999999999998E-20</v>
      </c>
      <c r="R9" s="165">
        <v>9.9999999999999996E-24</v>
      </c>
      <c r="S9" s="118">
        <v>1.0000000000000001E-18</v>
      </c>
      <c r="T9" s="118">
        <v>9.9999999999999998E-20</v>
      </c>
      <c r="U9" s="118">
        <v>1E-25</v>
      </c>
      <c r="V9" s="118">
        <v>1E-25</v>
      </c>
      <c r="W9" s="118">
        <v>9.9999999999999994E-30</v>
      </c>
      <c r="X9" s="126">
        <v>1.0000000000000001E-31</v>
      </c>
      <c r="Y9" s="157">
        <v>9.9999999999999994E-30</v>
      </c>
      <c r="Z9" s="157">
        <v>1.0000000000000001E-31</v>
      </c>
      <c r="AA9" s="157">
        <v>9.9999999999999996E-24</v>
      </c>
      <c r="AB9" s="152">
        <f t="shared" si="5"/>
        <v>-99999999</v>
      </c>
      <c r="AC9" s="148">
        <v>9.9999999999999991E-22</v>
      </c>
      <c r="AD9" s="141">
        <f t="shared" si="2"/>
        <v>-0.9</v>
      </c>
      <c r="AE9" s="141"/>
      <c r="AF9" s="141">
        <f t="shared" si="3"/>
        <v>98.999999999999986</v>
      </c>
      <c r="AG9" s="141"/>
      <c r="AH9" s="141">
        <f t="shared" si="4"/>
        <v>9999999998.9999981</v>
      </c>
    </row>
    <row r="10" spans="1:35" ht="15.75">
      <c r="A10" s="48" t="s">
        <v>26</v>
      </c>
      <c r="B10" s="48">
        <v>5.6</v>
      </c>
      <c r="C10" s="48">
        <v>35</v>
      </c>
      <c r="E10" s="109" t="s">
        <v>144</v>
      </c>
      <c r="F10" s="117">
        <v>9.9999999999999995E-8</v>
      </c>
      <c r="G10" s="117">
        <v>9.9999999999999995E-8</v>
      </c>
      <c r="H10" s="117">
        <v>9.9999999999999995E-8</v>
      </c>
      <c r="I10" s="117">
        <v>9.9999999999999995E-8</v>
      </c>
      <c r="J10" s="117">
        <v>9.9999999999999995E-8</v>
      </c>
      <c r="K10" s="126">
        <v>9.9999999999999995E-8</v>
      </c>
      <c r="L10" s="165">
        <v>9.9999999999999995E-8</v>
      </c>
      <c r="M10" s="118">
        <v>9.9999999999999995E-8</v>
      </c>
      <c r="N10" s="118">
        <v>9.9999999999999995E-8</v>
      </c>
      <c r="O10" s="118">
        <v>9.9999999999999995E-8</v>
      </c>
      <c r="P10" s="165">
        <v>9.9999999999999995E-8</v>
      </c>
      <c r="Q10" s="165">
        <v>9.9999999999999995E-8</v>
      </c>
      <c r="R10" s="165">
        <v>9.9999999999999995E-8</v>
      </c>
      <c r="S10" s="118">
        <v>9.9999999999999995E-8</v>
      </c>
      <c r="T10" s="118">
        <v>9.9999999999999995E-8</v>
      </c>
      <c r="U10" s="118">
        <v>9.9999999999999995E-8</v>
      </c>
      <c r="V10" s="118">
        <v>9.9999999999999995E-8</v>
      </c>
      <c r="W10" s="118">
        <v>9.9999999999999995E-8</v>
      </c>
      <c r="X10" s="126">
        <v>9.9999999999999995E-8</v>
      </c>
      <c r="Y10" s="157">
        <v>9.9999999999999995E-8</v>
      </c>
      <c r="Z10" s="157">
        <v>9.9999999999999995E-8</v>
      </c>
      <c r="AA10" s="157">
        <v>9.9999999999999995E-8</v>
      </c>
      <c r="AB10" s="152">
        <f t="shared" si="5"/>
        <v>0</v>
      </c>
      <c r="AC10" s="148">
        <v>9.9999999999999995E-8</v>
      </c>
      <c r="AD10" s="141">
        <f t="shared" si="2"/>
        <v>0</v>
      </c>
      <c r="AE10" s="141"/>
      <c r="AF10" s="141">
        <f t="shared" si="3"/>
        <v>0</v>
      </c>
      <c r="AG10" s="141"/>
      <c r="AH10" s="141">
        <f t="shared" si="4"/>
        <v>0</v>
      </c>
    </row>
    <row r="11" spans="1:35" ht="15.75">
      <c r="A11" s="48" t="s">
        <v>20</v>
      </c>
      <c r="B11" s="48">
        <v>3.5</v>
      </c>
      <c r="C11" s="48">
        <v>80</v>
      </c>
      <c r="E11" s="109" t="s">
        <v>4</v>
      </c>
      <c r="F11" s="117">
        <v>10000000</v>
      </c>
      <c r="G11" s="117">
        <v>10000000000000</v>
      </c>
      <c r="H11" s="117">
        <v>1E+16</v>
      </c>
      <c r="I11" s="117">
        <v>100000000000000</v>
      </c>
      <c r="J11" s="117">
        <v>9.9999999999999998E+23</v>
      </c>
      <c r="K11" s="126">
        <v>10000000</v>
      </c>
      <c r="L11" s="165">
        <v>100000000000</v>
      </c>
      <c r="M11" s="118">
        <v>1000000000000</v>
      </c>
      <c r="N11" s="118">
        <v>1000000000000000</v>
      </c>
      <c r="O11" s="118">
        <v>1E+16</v>
      </c>
      <c r="P11" s="165">
        <v>1000000000000</v>
      </c>
      <c r="Q11" s="165">
        <v>1000000000000</v>
      </c>
      <c r="R11" s="165">
        <v>1E+16</v>
      </c>
      <c r="S11" s="118">
        <v>100000000000</v>
      </c>
      <c r="T11" s="118">
        <v>1000000000000</v>
      </c>
      <c r="U11" s="118">
        <v>1E+18</v>
      </c>
      <c r="V11" s="118">
        <v>1E+18</v>
      </c>
      <c r="W11" s="118">
        <v>1E+22</v>
      </c>
      <c r="X11" s="126">
        <v>9.9999999999999998E+23</v>
      </c>
      <c r="Y11" s="157">
        <v>1E+22</v>
      </c>
      <c r="Z11" s="157">
        <v>9.9999999999999998E+23</v>
      </c>
      <c r="AA11" s="157">
        <v>1E+16</v>
      </c>
      <c r="AB11" s="152">
        <f t="shared" si="5"/>
        <v>0.99999998999999995</v>
      </c>
      <c r="AC11" s="148">
        <v>100000000000000</v>
      </c>
      <c r="AD11" s="141">
        <f t="shared" si="2"/>
        <v>9</v>
      </c>
      <c r="AE11" s="141"/>
      <c r="AF11" s="141">
        <f t="shared" si="3"/>
        <v>-0.99</v>
      </c>
      <c r="AG11" s="141"/>
      <c r="AH11" s="141">
        <f t="shared" si="4"/>
        <v>-0.99999999989999999</v>
      </c>
    </row>
    <row r="12" spans="1:35">
      <c r="E12" s="109" t="s">
        <v>145</v>
      </c>
      <c r="F12" s="117">
        <v>1.7560479500000001E-16</v>
      </c>
      <c r="G12" s="117">
        <v>3.1232395309999999E-21</v>
      </c>
      <c r="H12" s="117">
        <v>1.977485719E-27</v>
      </c>
      <c r="I12" s="117">
        <v>2.4205053560000001E-22</v>
      </c>
      <c r="J12" s="117">
        <v>4.4730253240000003E-33</v>
      </c>
      <c r="K12" s="126">
        <v>1.7560479500000001E-16</v>
      </c>
      <c r="L12" s="165">
        <v>4.038103802E-20</v>
      </c>
      <c r="M12" s="118">
        <v>1.08206504E-20</v>
      </c>
      <c r="N12" s="118">
        <v>5.8195606859999999E-26</v>
      </c>
      <c r="O12" s="118">
        <v>5.9505305600000002E-27</v>
      </c>
      <c r="P12" s="165">
        <v>2.241300263E-20</v>
      </c>
      <c r="Q12" s="165">
        <v>2.5720191260000001E-20</v>
      </c>
      <c r="R12" s="165">
        <v>1.101339902E-26</v>
      </c>
      <c r="S12" s="118">
        <v>4.6087660119999997E-20</v>
      </c>
      <c r="T12" s="118">
        <v>2.5755552889999999E-20</v>
      </c>
      <c r="U12" s="118">
        <v>3.5258168859999997E-29</v>
      </c>
      <c r="V12" s="118">
        <v>6.2386217950000001E-29</v>
      </c>
      <c r="W12" s="118">
        <v>4.168863732E-32</v>
      </c>
      <c r="X12" s="126">
        <v>4.4730253240000003E-33</v>
      </c>
      <c r="Y12" s="157">
        <v>7.033988107E-32</v>
      </c>
      <c r="Z12" s="157">
        <v>4.4730253240000003E-33</v>
      </c>
      <c r="AA12" s="157">
        <v>3.8688353129999998E-24</v>
      </c>
      <c r="AB12" s="152">
        <f t="shared" si="5"/>
        <v>-864925867.45904458</v>
      </c>
      <c r="AC12" s="148">
        <v>4.4519499929999999E-23</v>
      </c>
      <c r="AD12" s="141">
        <f t="shared" si="2"/>
        <v>-0.98574572987818654</v>
      </c>
      <c r="AE12" s="141"/>
      <c r="AF12" s="141">
        <f t="shared" si="3"/>
        <v>22512.184040850207</v>
      </c>
      <c r="AG12" s="141"/>
      <c r="AH12" s="141">
        <f t="shared" si="4"/>
        <v>9952883496.2453194</v>
      </c>
    </row>
    <row r="13" spans="1:35">
      <c r="E13" s="109" t="s">
        <v>141</v>
      </c>
      <c r="F13" s="117">
        <v>2.6361655369999999E-5</v>
      </c>
      <c r="G13" s="117">
        <v>1.6428431580000002E-5</v>
      </c>
      <c r="H13" s="117">
        <v>9.6954572230000001E-6</v>
      </c>
      <c r="I13" s="117">
        <v>7.8805128880000004E-6</v>
      </c>
      <c r="J13" s="117">
        <v>5.0408818470000002E-6</v>
      </c>
      <c r="K13" s="126">
        <v>2.6361655369999999E-5</v>
      </c>
      <c r="L13" s="165">
        <v>1.7612746139999998E-5</v>
      </c>
      <c r="M13" s="118">
        <v>1.362264743E-5</v>
      </c>
      <c r="N13" s="118">
        <v>1.318154066E-5</v>
      </c>
      <c r="O13" s="118">
        <v>1.246064538E-5</v>
      </c>
      <c r="P13" s="165">
        <v>8.1708353809999993E-6</v>
      </c>
      <c r="Q13" s="165">
        <v>1.9468687239999999E-5</v>
      </c>
      <c r="R13" s="165">
        <v>1.243510542E-5</v>
      </c>
      <c r="S13" s="118">
        <v>1.647860722E-5</v>
      </c>
      <c r="T13" s="118">
        <v>5.1405575709999999E-6</v>
      </c>
      <c r="U13" s="118">
        <v>8.5399346879999998E-6</v>
      </c>
      <c r="V13" s="118">
        <v>9.2774878429999997E-6</v>
      </c>
      <c r="W13" s="118">
        <v>8.7145066859999992E-6</v>
      </c>
      <c r="X13" s="126">
        <v>5.0408818470000002E-6</v>
      </c>
      <c r="Y13" s="157">
        <v>7.3744474909999997E-6</v>
      </c>
      <c r="Z13" s="157">
        <v>5.0408818470000002E-6</v>
      </c>
      <c r="AA13" s="157">
        <v>7.0087980669999996E-6</v>
      </c>
      <c r="AB13" s="152">
        <f t="shared" si="5"/>
        <v>-0.39039126084083348</v>
      </c>
      <c r="AC13" s="148">
        <v>9.0773877379999999E-6</v>
      </c>
      <c r="AD13" s="141">
        <f t="shared" si="2"/>
        <v>-0.44745865155802056</v>
      </c>
      <c r="AE13" s="141"/>
      <c r="AF13" s="141">
        <f t="shared" si="3"/>
        <v>-6.3748358719358578E-2</v>
      </c>
      <c r="AG13" s="141"/>
      <c r="AH13" s="141">
        <f t="shared" si="4"/>
        <v>0.80075391836495058</v>
      </c>
      <c r="AI13" s="102" t="s">
        <v>179</v>
      </c>
    </row>
    <row r="14" spans="1:35">
      <c r="E14" s="109" t="s">
        <v>166</v>
      </c>
      <c r="F14" s="117">
        <v>150119200000</v>
      </c>
      <c r="G14" s="117">
        <v>5260061000000000</v>
      </c>
      <c r="H14" s="117">
        <v>4.9029210000000004E+21</v>
      </c>
      <c r="I14" s="117">
        <v>3.25573E+16</v>
      </c>
      <c r="J14" s="117">
        <v>1.126951E+27</v>
      </c>
      <c r="K14" s="126">
        <v>150119200000</v>
      </c>
      <c r="L14" s="165">
        <v>436163800000000</v>
      </c>
      <c r="M14" s="118">
        <v>1258949000000000</v>
      </c>
      <c r="N14" s="118">
        <v>2.2650409999999998E+20</v>
      </c>
      <c r="O14" s="118">
        <v>2.0940389999999999E+21</v>
      </c>
      <c r="P14" s="165">
        <v>364557800000000</v>
      </c>
      <c r="Q14" s="165">
        <v>756941800000000</v>
      </c>
      <c r="R14" s="165">
        <v>1.129089E+21</v>
      </c>
      <c r="S14" s="118">
        <v>357549200000000</v>
      </c>
      <c r="T14" s="118">
        <v>199590300000000</v>
      </c>
      <c r="U14" s="118">
        <v>2.4221149999999999E+23</v>
      </c>
      <c r="V14" s="118">
        <v>1.4871050000000001E+23</v>
      </c>
      <c r="W14" s="118">
        <v>2.0903789999999999E+26</v>
      </c>
      <c r="X14" s="126">
        <v>1.126951E+27</v>
      </c>
      <c r="Y14" s="157">
        <v>1.0484020000000001E+26</v>
      </c>
      <c r="Z14" s="157">
        <v>1.126951E+27</v>
      </c>
      <c r="AA14" s="157">
        <v>1.811604E+18</v>
      </c>
      <c r="AB14" s="152">
        <f t="shared" si="5"/>
        <v>0.99999999839247311</v>
      </c>
      <c r="AC14" s="148">
        <v>2.038969E+17</v>
      </c>
      <c r="AD14" s="141">
        <f t="shared" si="2"/>
        <v>37.763219666083721</v>
      </c>
      <c r="AE14" s="141"/>
      <c r="AF14" s="141">
        <f t="shared" si="3"/>
        <v>-0.99995841317859291</v>
      </c>
      <c r="AG14" s="141"/>
      <c r="AH14" s="141">
        <f t="shared" si="4"/>
        <v>-0.99999999981907206</v>
      </c>
    </row>
    <row r="15" spans="1:35" s="134" customFormat="1">
      <c r="E15" s="135" t="s">
        <v>13</v>
      </c>
      <c r="F15" s="123">
        <v>3</v>
      </c>
      <c r="G15" s="123">
        <v>0</v>
      </c>
      <c r="H15" s="136">
        <v>0</v>
      </c>
      <c r="I15" s="136">
        <v>0</v>
      </c>
      <c r="J15" s="136">
        <v>0</v>
      </c>
      <c r="K15" s="128">
        <v>3</v>
      </c>
      <c r="L15" s="166">
        <v>1</v>
      </c>
      <c r="M15" s="120">
        <v>0.5</v>
      </c>
      <c r="N15" s="120">
        <v>0</v>
      </c>
      <c r="O15" s="120">
        <v>0</v>
      </c>
      <c r="P15" s="166">
        <v>1</v>
      </c>
      <c r="Q15" s="166">
        <v>1</v>
      </c>
      <c r="R15" s="166">
        <v>0</v>
      </c>
      <c r="S15" s="120">
        <v>1.5</v>
      </c>
      <c r="T15" s="120">
        <v>1</v>
      </c>
      <c r="U15" s="120">
        <v>0</v>
      </c>
      <c r="V15" s="120">
        <v>0</v>
      </c>
      <c r="W15" s="120">
        <v>0</v>
      </c>
      <c r="X15" s="137">
        <v>0</v>
      </c>
      <c r="Y15" s="158"/>
      <c r="Z15" s="158"/>
      <c r="AA15" s="158"/>
      <c r="AB15" s="120"/>
      <c r="AC15" s="149">
        <v>0</v>
      </c>
      <c r="AD15" s="140"/>
      <c r="AE15" s="140"/>
      <c r="AF15" s="140"/>
      <c r="AG15" s="140"/>
      <c r="AH15" s="140"/>
    </row>
    <row r="16" spans="1:35">
      <c r="E16" s="109" t="s">
        <v>33</v>
      </c>
      <c r="F16" s="121">
        <v>0</v>
      </c>
      <c r="G16" s="121">
        <v>3</v>
      </c>
      <c r="H16" s="122">
        <v>0</v>
      </c>
      <c r="I16" s="122">
        <v>0</v>
      </c>
      <c r="J16" s="122">
        <v>0</v>
      </c>
      <c r="K16" s="127">
        <v>0</v>
      </c>
      <c r="L16" s="167">
        <v>1</v>
      </c>
      <c r="M16" s="119">
        <v>0.5</v>
      </c>
      <c r="N16" s="119">
        <v>0.5</v>
      </c>
      <c r="O16" s="119">
        <v>0.5</v>
      </c>
      <c r="P16" s="167">
        <v>1</v>
      </c>
      <c r="Q16" s="167">
        <v>0</v>
      </c>
      <c r="R16" s="167">
        <v>1</v>
      </c>
      <c r="S16" s="119">
        <v>0</v>
      </c>
      <c r="T16" s="119">
        <v>0.5</v>
      </c>
      <c r="U16" s="119">
        <v>0</v>
      </c>
      <c r="V16" s="119">
        <v>0.5</v>
      </c>
      <c r="W16" s="119">
        <v>0</v>
      </c>
      <c r="X16" s="129">
        <v>0</v>
      </c>
      <c r="Y16" s="159"/>
      <c r="Z16" s="159"/>
      <c r="AA16" s="159"/>
      <c r="AB16" s="119"/>
      <c r="AC16" s="150">
        <v>1</v>
      </c>
      <c r="AD16" s="142"/>
      <c r="AE16" s="142"/>
      <c r="AF16" s="142"/>
      <c r="AG16" s="142"/>
      <c r="AH16" s="142"/>
    </row>
    <row r="17" spans="5:34" s="178" customFormat="1">
      <c r="E17" s="175" t="s">
        <v>14</v>
      </c>
      <c r="F17" s="158">
        <v>0</v>
      </c>
      <c r="G17" s="158">
        <v>0</v>
      </c>
      <c r="H17" s="176">
        <v>3</v>
      </c>
      <c r="I17" s="176">
        <v>0</v>
      </c>
      <c r="J17" s="176">
        <v>0</v>
      </c>
      <c r="K17" s="158">
        <v>0</v>
      </c>
      <c r="L17" s="158">
        <v>1</v>
      </c>
      <c r="M17" s="158">
        <v>2</v>
      </c>
      <c r="N17" s="158">
        <v>2.5</v>
      </c>
      <c r="O17" s="158">
        <v>2</v>
      </c>
      <c r="P17" s="158">
        <v>0</v>
      </c>
      <c r="Q17" s="158">
        <v>1</v>
      </c>
      <c r="R17" s="158">
        <v>1</v>
      </c>
      <c r="S17" s="158">
        <v>0</v>
      </c>
      <c r="T17" s="158">
        <v>0</v>
      </c>
      <c r="U17" s="158">
        <v>1.5</v>
      </c>
      <c r="V17" s="158">
        <v>0.5</v>
      </c>
      <c r="W17" s="158">
        <v>0.5</v>
      </c>
      <c r="X17" s="176">
        <v>0</v>
      </c>
      <c r="Y17" s="158"/>
      <c r="Z17" s="158"/>
      <c r="AA17" s="158"/>
      <c r="AB17" s="158"/>
      <c r="AC17" s="158">
        <v>1</v>
      </c>
      <c r="AD17" s="177"/>
      <c r="AE17" s="177"/>
      <c r="AF17" s="177"/>
      <c r="AG17" s="177"/>
      <c r="AH17" s="177"/>
    </row>
    <row r="18" spans="5:34" s="134" customFormat="1">
      <c r="E18" s="135" t="s">
        <v>196</v>
      </c>
      <c r="F18" s="123">
        <v>0</v>
      </c>
      <c r="G18" s="123">
        <v>0</v>
      </c>
      <c r="H18" s="136">
        <v>0</v>
      </c>
      <c r="I18" s="136">
        <v>3</v>
      </c>
      <c r="J18" s="136">
        <v>0</v>
      </c>
      <c r="K18" s="128">
        <v>0</v>
      </c>
      <c r="L18" s="166">
        <v>0</v>
      </c>
      <c r="M18" s="120">
        <v>0</v>
      </c>
      <c r="N18" s="120">
        <v>0</v>
      </c>
      <c r="O18" s="120">
        <v>0</v>
      </c>
      <c r="P18" s="166">
        <v>0</v>
      </c>
      <c r="Q18" s="166">
        <v>0</v>
      </c>
      <c r="R18" s="166">
        <v>0</v>
      </c>
      <c r="S18" s="120">
        <v>0</v>
      </c>
      <c r="T18" s="120">
        <v>0</v>
      </c>
      <c r="U18" s="120">
        <v>0</v>
      </c>
      <c r="V18" s="120">
        <v>0</v>
      </c>
      <c r="W18" s="120">
        <v>0</v>
      </c>
      <c r="X18" s="137">
        <v>0</v>
      </c>
      <c r="Y18" s="158"/>
      <c r="Z18" s="158"/>
      <c r="AA18" s="158"/>
      <c r="AB18" s="120"/>
      <c r="AC18" s="149"/>
      <c r="AD18" s="140"/>
      <c r="AE18" s="140"/>
      <c r="AF18" s="140"/>
      <c r="AG18" s="140"/>
      <c r="AH18" s="140"/>
    </row>
    <row r="19" spans="5:34">
      <c r="E19" s="109" t="s">
        <v>34</v>
      </c>
      <c r="F19" s="121">
        <v>0</v>
      </c>
      <c r="G19" s="121">
        <v>0</v>
      </c>
      <c r="H19" s="122">
        <v>0</v>
      </c>
      <c r="I19" s="122">
        <v>0</v>
      </c>
      <c r="J19" s="122">
        <v>3</v>
      </c>
      <c r="K19" s="127">
        <v>0</v>
      </c>
      <c r="L19" s="167">
        <v>0</v>
      </c>
      <c r="M19" s="119">
        <v>0</v>
      </c>
      <c r="N19" s="119">
        <v>0</v>
      </c>
      <c r="O19" s="119">
        <v>0.5</v>
      </c>
      <c r="P19" s="167">
        <v>1</v>
      </c>
      <c r="Q19" s="167">
        <v>1</v>
      </c>
      <c r="R19" s="167">
        <v>1</v>
      </c>
      <c r="S19" s="119">
        <v>1.5</v>
      </c>
      <c r="T19" s="119">
        <v>1.5</v>
      </c>
      <c r="U19" s="119">
        <v>1.5</v>
      </c>
      <c r="V19" s="119">
        <v>2</v>
      </c>
      <c r="W19" s="119">
        <v>2.5</v>
      </c>
      <c r="X19" s="129">
        <v>3</v>
      </c>
      <c r="Y19" s="159"/>
      <c r="Z19" s="159"/>
      <c r="AA19" s="159"/>
      <c r="AB19" s="119"/>
      <c r="AC19" s="150">
        <v>1</v>
      </c>
      <c r="AD19" s="142"/>
      <c r="AE19" s="142"/>
      <c r="AF19" s="142"/>
      <c r="AG19" s="142"/>
      <c r="AH19" s="142"/>
    </row>
    <row r="20" spans="5:34" s="134" customFormat="1">
      <c r="E20" s="135" t="s">
        <v>151</v>
      </c>
      <c r="F20" s="123">
        <f t="shared" ref="F20:N20" si="6">SUM(F15:F19)</f>
        <v>3</v>
      </c>
      <c r="G20" s="123">
        <f t="shared" si="6"/>
        <v>3</v>
      </c>
      <c r="H20" s="123">
        <f t="shared" si="6"/>
        <v>3</v>
      </c>
      <c r="I20" s="123">
        <f t="shared" si="6"/>
        <v>3</v>
      </c>
      <c r="J20" s="123">
        <f t="shared" si="6"/>
        <v>3</v>
      </c>
      <c r="K20" s="128">
        <f t="shared" si="6"/>
        <v>3</v>
      </c>
      <c r="L20" s="166">
        <f t="shared" si="6"/>
        <v>3</v>
      </c>
      <c r="M20" s="120">
        <f t="shared" si="6"/>
        <v>3</v>
      </c>
      <c r="N20" s="120">
        <f t="shared" si="6"/>
        <v>3</v>
      </c>
      <c r="O20" s="120">
        <v>3</v>
      </c>
      <c r="P20" s="166">
        <f t="shared" ref="P20:X20" si="7">SUM(P15:P19)</f>
        <v>3</v>
      </c>
      <c r="Q20" s="166">
        <f t="shared" si="7"/>
        <v>3</v>
      </c>
      <c r="R20" s="166">
        <f t="shared" si="7"/>
        <v>3</v>
      </c>
      <c r="S20" s="120">
        <f t="shared" si="7"/>
        <v>3</v>
      </c>
      <c r="T20" s="120">
        <f t="shared" si="7"/>
        <v>3</v>
      </c>
      <c r="U20" s="120">
        <f t="shared" si="7"/>
        <v>3</v>
      </c>
      <c r="V20" s="120">
        <f t="shared" si="7"/>
        <v>3</v>
      </c>
      <c r="W20" s="120">
        <f t="shared" si="7"/>
        <v>3</v>
      </c>
      <c r="X20" s="128">
        <f t="shared" si="7"/>
        <v>3</v>
      </c>
      <c r="Y20" s="158"/>
      <c r="Z20" s="158"/>
      <c r="AA20" s="158"/>
      <c r="AB20" s="120"/>
      <c r="AC20" s="149">
        <f>SUM(AC15:AC19)</f>
        <v>3</v>
      </c>
      <c r="AD20" s="140"/>
      <c r="AE20" s="140"/>
      <c r="AF20" s="140"/>
      <c r="AG20" s="140"/>
      <c r="AH20" s="140"/>
    </row>
    <row r="21" spans="5:34" ht="14.45" customHeight="1">
      <c r="E21" s="109" t="s">
        <v>153</v>
      </c>
      <c r="F21" s="123" t="s">
        <v>23</v>
      </c>
      <c r="G21" s="123" t="s">
        <v>195</v>
      </c>
      <c r="H21" s="136" t="s">
        <v>21</v>
      </c>
      <c r="I21" s="136" t="s">
        <v>26</v>
      </c>
      <c r="J21" s="136" t="s">
        <v>20</v>
      </c>
      <c r="K21" s="128"/>
      <c r="L21" s="166" t="s">
        <v>66</v>
      </c>
      <c r="M21" s="120" t="s">
        <v>67</v>
      </c>
      <c r="N21" s="120" t="s">
        <v>68</v>
      </c>
      <c r="O21" s="120" t="s">
        <v>69</v>
      </c>
      <c r="P21" s="166" t="s">
        <v>70</v>
      </c>
      <c r="Q21" s="166" t="s">
        <v>71</v>
      </c>
      <c r="R21" s="166" t="s">
        <v>72</v>
      </c>
      <c r="S21" s="120" t="s">
        <v>154</v>
      </c>
      <c r="T21" s="120" t="s">
        <v>155</v>
      </c>
      <c r="U21" s="120" t="s">
        <v>156</v>
      </c>
      <c r="V21" s="120" t="s">
        <v>192</v>
      </c>
      <c r="W21" s="120" t="s">
        <v>194</v>
      </c>
      <c r="X21" s="130"/>
      <c r="Y21" s="158"/>
      <c r="Z21" s="158"/>
      <c r="AA21" s="158"/>
      <c r="AB21" s="120"/>
      <c r="AC21" s="149" t="s">
        <v>72</v>
      </c>
      <c r="AD21" s="140"/>
      <c r="AE21" s="140"/>
      <c r="AF21" s="140"/>
      <c r="AG21" s="140"/>
      <c r="AH21" s="140"/>
    </row>
    <row r="22" spans="5:34">
      <c r="L22" s="170"/>
      <c r="M22" s="171"/>
      <c r="N22" s="171"/>
      <c r="O22" s="171"/>
      <c r="P22" s="170" t="s">
        <v>197</v>
      </c>
      <c r="Q22" s="170"/>
      <c r="R22" s="170"/>
      <c r="S22" s="170" t="s">
        <v>197</v>
      </c>
      <c r="T22" s="170" t="s">
        <v>197</v>
      </c>
      <c r="U22" s="171"/>
      <c r="V22" s="171"/>
      <c r="W22" s="171"/>
      <c r="Y22" s="172"/>
      <c r="Z22" s="172"/>
      <c r="AA22" s="172"/>
      <c r="AB22" s="171"/>
      <c r="AC22" s="173"/>
      <c r="AD22" s="174"/>
      <c r="AE22" s="174"/>
      <c r="AF22" s="174"/>
      <c r="AG22" s="174"/>
      <c r="AH22" s="174"/>
    </row>
    <row r="23" spans="5:34">
      <c r="E23" s="185" t="s">
        <v>198</v>
      </c>
      <c r="F23" s="186"/>
      <c r="G23" s="186"/>
      <c r="H23" s="187"/>
      <c r="I23" s="187"/>
      <c r="J23" s="187"/>
      <c r="K23" s="188"/>
      <c r="L23" s="189"/>
      <c r="M23" s="190">
        <f>COUNTIF(M15:M19,"&gt;0")</f>
        <v>3</v>
      </c>
      <c r="N23" s="190">
        <f t="shared" ref="N23:W23" si="8">COUNTIF(N15:N19,"&gt;0")</f>
        <v>2</v>
      </c>
      <c r="O23" s="190">
        <f t="shared" si="8"/>
        <v>3</v>
      </c>
      <c r="P23" s="189">
        <f t="shared" si="8"/>
        <v>3</v>
      </c>
      <c r="Q23" s="189">
        <f t="shared" si="8"/>
        <v>3</v>
      </c>
      <c r="R23" s="189">
        <f t="shared" si="8"/>
        <v>3</v>
      </c>
      <c r="S23" s="190">
        <f t="shared" si="8"/>
        <v>2</v>
      </c>
      <c r="T23" s="190">
        <f t="shared" si="8"/>
        <v>3</v>
      </c>
      <c r="U23" s="190">
        <f t="shared" si="8"/>
        <v>2</v>
      </c>
      <c r="V23" s="190">
        <f t="shared" si="8"/>
        <v>3</v>
      </c>
      <c r="W23" s="190">
        <f t="shared" si="8"/>
        <v>2</v>
      </c>
      <c r="Y23" s="172"/>
      <c r="Z23" s="172"/>
      <c r="AA23" s="172"/>
      <c r="AB23" s="171"/>
      <c r="AC23" s="173"/>
      <c r="AD23" s="174"/>
      <c r="AE23" s="174"/>
      <c r="AF23" s="174"/>
      <c r="AG23" s="174"/>
      <c r="AH23" s="174"/>
    </row>
    <row r="24" spans="5:34">
      <c r="E24" s="109" t="s">
        <v>208</v>
      </c>
      <c r="F24" s="123" t="str">
        <f>F21</f>
        <v>SiO2</v>
      </c>
      <c r="G24" s="123" t="str">
        <f>G21</f>
        <v>Al2O3</v>
      </c>
      <c r="H24" s="123" t="str">
        <f>H21</f>
        <v>HfO2</v>
      </c>
      <c r="I24" s="123" t="str">
        <f>I21</f>
        <v>La2O3</v>
      </c>
      <c r="J24" s="123" t="str">
        <f>J21</f>
        <v>TiO2</v>
      </c>
      <c r="K24" s="128" t="str">
        <f>F24</f>
        <v>SiO2</v>
      </c>
      <c r="L24" s="166" t="str">
        <f>L21</f>
        <v>A</v>
      </c>
      <c r="M24" s="166" t="str">
        <f t="shared" ref="M24:W24" si="9">M21</f>
        <v>B</v>
      </c>
      <c r="N24" s="166" t="str">
        <f t="shared" si="9"/>
        <v>C</v>
      </c>
      <c r="O24" s="166" t="str">
        <f t="shared" si="9"/>
        <v>D</v>
      </c>
      <c r="P24" s="166" t="str">
        <f t="shared" si="9"/>
        <v>E</v>
      </c>
      <c r="Q24" s="166" t="str">
        <f t="shared" si="9"/>
        <v>F</v>
      </c>
      <c r="R24" s="166" t="str">
        <f t="shared" si="9"/>
        <v>G</v>
      </c>
      <c r="S24" s="166" t="str">
        <f t="shared" si="9"/>
        <v>H</v>
      </c>
      <c r="T24" s="166" t="str">
        <f t="shared" si="9"/>
        <v>J</v>
      </c>
      <c r="U24" s="166" t="str">
        <f t="shared" si="9"/>
        <v>K</v>
      </c>
      <c r="V24" s="166" t="str">
        <f t="shared" si="9"/>
        <v>L</v>
      </c>
      <c r="W24" s="166" t="str">
        <f t="shared" si="9"/>
        <v>M</v>
      </c>
      <c r="X24" s="129" t="str">
        <f>J24</f>
        <v>TiO2</v>
      </c>
      <c r="Y24" s="172"/>
      <c r="Z24" s="172"/>
      <c r="AA24" s="172"/>
      <c r="AB24" s="171"/>
      <c r="AC24" s="173"/>
      <c r="AD24" s="174"/>
      <c r="AE24" s="174"/>
      <c r="AF24" s="174"/>
      <c r="AG24" s="174"/>
      <c r="AH24" s="174"/>
    </row>
    <row r="25" spans="5:34">
      <c r="E25" s="109" t="s">
        <v>207</v>
      </c>
      <c r="F25" s="191">
        <f>1/(F6*F8^2*F5^3)*LOG10(F14)*1000</f>
        <v>0.4197966961153648</v>
      </c>
      <c r="G25" s="191">
        <f t="shared" ref="G25:X25" si="10">1/(G6*G8^2*G5^3)*LOG10(G14)*1000</f>
        <v>1.4417700552558488</v>
      </c>
      <c r="H25" s="191">
        <f t="shared" si="10"/>
        <v>6.9797115178997151</v>
      </c>
      <c r="I25" s="191">
        <f t="shared" si="10"/>
        <v>2.0008766133287517</v>
      </c>
      <c r="J25" s="191">
        <f t="shared" si="10"/>
        <v>8.5439540343257878</v>
      </c>
      <c r="K25" s="191">
        <f t="shared" si="10"/>
        <v>0.4197966961153648</v>
      </c>
      <c r="L25" s="191">
        <f t="shared" si="10"/>
        <v>1.7701688103890603</v>
      </c>
      <c r="M25" s="191">
        <f t="shared" si="10"/>
        <v>1.5996933209560693</v>
      </c>
      <c r="N25" s="191">
        <f t="shared" si="10"/>
        <v>6.4907981314943903</v>
      </c>
      <c r="O25" s="191">
        <f t="shared" si="10"/>
        <v>8.8515607512471615</v>
      </c>
      <c r="P25" s="191">
        <f t="shared" si="10"/>
        <v>3.3415022449318119</v>
      </c>
      <c r="Q25" s="191">
        <f t="shared" si="10"/>
        <v>3.2311216893048655</v>
      </c>
      <c r="R25" s="191">
        <f t="shared" si="10"/>
        <v>9.7455318920004039</v>
      </c>
      <c r="S25" s="191">
        <f t="shared" si="10"/>
        <v>1.8042918863132744</v>
      </c>
      <c r="T25" s="191">
        <f t="shared" si="10"/>
        <v>3.2095013334096456</v>
      </c>
      <c r="U25" s="191">
        <f t="shared" si="10"/>
        <v>4.9176486661218712</v>
      </c>
      <c r="V25" s="191">
        <f t="shared" si="10"/>
        <v>4.9287621915132194</v>
      </c>
      <c r="W25" s="191">
        <f t="shared" si="10"/>
        <v>8.5674567249015823</v>
      </c>
      <c r="X25" s="191">
        <f t="shared" si="10"/>
        <v>8.5439540343257878</v>
      </c>
      <c r="Y25" s="172"/>
      <c r="Z25" s="172"/>
      <c r="AA25" s="172"/>
      <c r="AB25" s="171"/>
      <c r="AC25" s="173"/>
      <c r="AD25" s="174"/>
      <c r="AE25" s="174"/>
      <c r="AF25" s="174"/>
      <c r="AG25" s="174"/>
      <c r="AH25" s="174"/>
    </row>
    <row r="28" spans="5:34" ht="15">
      <c r="E28" s="193" t="s">
        <v>208</v>
      </c>
      <c r="F28" s="194" t="str">
        <f t="shared" ref="F28:J29" si="11">F24</f>
        <v>SiO2</v>
      </c>
      <c r="G28" s="194" t="str">
        <f t="shared" si="11"/>
        <v>Al2O3</v>
      </c>
      <c r="H28" s="194" t="str">
        <f t="shared" si="11"/>
        <v>HfO2</v>
      </c>
      <c r="I28" s="194" t="str">
        <f t="shared" si="11"/>
        <v>La2O3</v>
      </c>
      <c r="J28" s="194" t="str">
        <f t="shared" si="11"/>
        <v>TiO2</v>
      </c>
      <c r="K28" s="194" t="str">
        <f t="shared" ref="K28:V28" si="12">L24</f>
        <v>A</v>
      </c>
      <c r="L28" s="194" t="str">
        <f t="shared" si="12"/>
        <v>B</v>
      </c>
      <c r="M28" s="194" t="str">
        <f t="shared" si="12"/>
        <v>C</v>
      </c>
      <c r="N28" s="194" t="str">
        <f t="shared" si="12"/>
        <v>D</v>
      </c>
      <c r="O28" s="194" t="str">
        <f t="shared" si="12"/>
        <v>E</v>
      </c>
      <c r="P28" s="194" t="str">
        <f>Q24</f>
        <v>F</v>
      </c>
      <c r="Q28" s="194" t="str">
        <f>R24</f>
        <v>G</v>
      </c>
      <c r="R28" s="194" t="str">
        <f t="shared" si="12"/>
        <v>H</v>
      </c>
      <c r="S28" s="194" t="str">
        <f t="shared" si="12"/>
        <v>J</v>
      </c>
      <c r="T28" s="194" t="str">
        <f t="shared" si="12"/>
        <v>K</v>
      </c>
      <c r="U28" s="194" t="str">
        <f t="shared" si="12"/>
        <v>L</v>
      </c>
      <c r="V28" s="194" t="str">
        <f t="shared" si="12"/>
        <v>M</v>
      </c>
    </row>
    <row r="29" spans="5:34" ht="15">
      <c r="E29" s="193" t="s">
        <v>207</v>
      </c>
      <c r="F29" s="195">
        <f t="shared" si="11"/>
        <v>0.4197966961153648</v>
      </c>
      <c r="G29" s="195">
        <f t="shared" si="11"/>
        <v>1.4417700552558488</v>
      </c>
      <c r="H29" s="195">
        <f t="shared" si="11"/>
        <v>6.9797115178997151</v>
      </c>
      <c r="I29" s="195">
        <f t="shared" si="11"/>
        <v>2.0008766133287517</v>
      </c>
      <c r="J29" s="195">
        <f t="shared" si="11"/>
        <v>8.5439540343257878</v>
      </c>
      <c r="K29" s="195">
        <f t="shared" ref="K29:V29" si="13">L25</f>
        <v>1.7701688103890603</v>
      </c>
      <c r="L29" s="195">
        <f t="shared" si="13"/>
        <v>1.5996933209560693</v>
      </c>
      <c r="M29" s="195">
        <f t="shared" si="13"/>
        <v>6.4907981314943903</v>
      </c>
      <c r="N29" s="195">
        <f t="shared" si="13"/>
        <v>8.8515607512471615</v>
      </c>
      <c r="O29" s="195">
        <f t="shared" si="13"/>
        <v>3.3415022449318119</v>
      </c>
      <c r="P29" s="195">
        <f>Q25</f>
        <v>3.2311216893048655</v>
      </c>
      <c r="Q29" s="195">
        <f>R25</f>
        <v>9.7455318920004039</v>
      </c>
      <c r="R29" s="195">
        <f t="shared" si="13"/>
        <v>1.8042918863132744</v>
      </c>
      <c r="S29" s="195">
        <f t="shared" si="13"/>
        <v>3.2095013334096456</v>
      </c>
      <c r="T29" s="195">
        <f t="shared" si="13"/>
        <v>4.9176486661218712</v>
      </c>
      <c r="U29" s="195">
        <f t="shared" si="13"/>
        <v>4.9287621915132194</v>
      </c>
      <c r="V29" s="195">
        <f t="shared" si="13"/>
        <v>8.5674567249015823</v>
      </c>
      <c r="W29" s="192"/>
    </row>
    <row r="32" spans="5:34" ht="15">
      <c r="E32" s="193" t="s">
        <v>208</v>
      </c>
      <c r="F32" s="194" t="s">
        <v>23</v>
      </c>
      <c r="G32" s="194" t="s">
        <v>195</v>
      </c>
      <c r="H32" s="194" t="s">
        <v>21</v>
      </c>
      <c r="I32" s="194" t="s">
        <v>26</v>
      </c>
      <c r="J32" s="194" t="s">
        <v>20</v>
      </c>
      <c r="K32" s="194" t="s">
        <v>66</v>
      </c>
      <c r="L32" s="194" t="s">
        <v>67</v>
      </c>
      <c r="M32" s="194" t="s">
        <v>68</v>
      </c>
      <c r="N32" s="194" t="s">
        <v>69</v>
      </c>
      <c r="O32" s="194" t="s">
        <v>70</v>
      </c>
      <c r="P32" s="194" t="s">
        <v>71</v>
      </c>
      <c r="Q32" s="194" t="s">
        <v>72</v>
      </c>
      <c r="R32" s="194" t="s">
        <v>154</v>
      </c>
      <c r="S32" s="194" t="s">
        <v>155</v>
      </c>
      <c r="T32" s="194" t="s">
        <v>156</v>
      </c>
      <c r="U32" s="194" t="s">
        <v>192</v>
      </c>
      <c r="V32" s="194" t="s">
        <v>194</v>
      </c>
    </row>
    <row r="33" spans="5:57" ht="15">
      <c r="E33" s="193" t="s">
        <v>207</v>
      </c>
      <c r="F33" s="195">
        <v>1.3650788947414774</v>
      </c>
      <c r="G33" s="195">
        <v>1.9682949061120321</v>
      </c>
      <c r="H33" s="195">
        <v>8.3065190909133904</v>
      </c>
      <c r="I33" s="195">
        <v>2.2124356973465851</v>
      </c>
      <c r="J33" s="195">
        <v>8.5556164471982648</v>
      </c>
      <c r="K33" s="195">
        <v>2.9989968049116347</v>
      </c>
      <c r="L33" s="195">
        <v>2.2549814000038353</v>
      </c>
      <c r="M33" s="195">
        <v>7.9244487946162971</v>
      </c>
      <c r="N33" s="195">
        <v>10.56541107189117</v>
      </c>
      <c r="O33" s="195">
        <v>-9.1640610512162643E-2</v>
      </c>
      <c r="P33" s="195">
        <v>4.9149936396199063</v>
      </c>
      <c r="Q33" s="195">
        <v>11.592210143766989</v>
      </c>
      <c r="R33" s="195">
        <v>3.0914347745448993</v>
      </c>
      <c r="S33" s="195">
        <v>-0.33306489462359323</v>
      </c>
      <c r="T33" s="195">
        <v>5.3029694271291214</v>
      </c>
      <c r="U33" s="195">
        <v>5.3312225661302799</v>
      </c>
      <c r="V33" s="195">
        <v>8.7999018229524211</v>
      </c>
    </row>
    <row r="36" spans="5:57" ht="15">
      <c r="E36" s="193" t="s">
        <v>208</v>
      </c>
      <c r="F36" s="193" t="s">
        <v>207</v>
      </c>
    </row>
    <row r="37" spans="5:57" ht="15">
      <c r="E37" s="194" t="s">
        <v>23</v>
      </c>
      <c r="F37" s="195">
        <f>F25</f>
        <v>0.4197966961153648</v>
      </c>
      <c r="AL37" s="103" t="s">
        <v>153</v>
      </c>
      <c r="AM37" s="103" t="s">
        <v>23</v>
      </c>
      <c r="AN37" s="103" t="s">
        <v>195</v>
      </c>
      <c r="AO37" s="103" t="s">
        <v>21</v>
      </c>
      <c r="AP37" s="103" t="s">
        <v>26</v>
      </c>
      <c r="AQ37" s="103" t="s">
        <v>20</v>
      </c>
      <c r="AR37" s="103" t="s">
        <v>204</v>
      </c>
      <c r="AS37" s="103" t="s">
        <v>66</v>
      </c>
      <c r="AT37" s="103" t="s">
        <v>67</v>
      </c>
      <c r="AU37" s="103" t="s">
        <v>68</v>
      </c>
      <c r="AV37" s="103" t="s">
        <v>69</v>
      </c>
      <c r="AW37" s="103" t="s">
        <v>70</v>
      </c>
      <c r="AX37" s="103" t="s">
        <v>71</v>
      </c>
      <c r="AY37" s="103" t="s">
        <v>72</v>
      </c>
      <c r="AZ37" s="103" t="s">
        <v>154</v>
      </c>
      <c r="BA37" s="103" t="s">
        <v>155</v>
      </c>
      <c r="BB37" s="103" t="s">
        <v>156</v>
      </c>
      <c r="BC37" s="103" t="s">
        <v>192</v>
      </c>
      <c r="BD37" s="103" t="s">
        <v>194</v>
      </c>
      <c r="BE37" s="103" t="s">
        <v>205</v>
      </c>
    </row>
    <row r="38" spans="5:57" ht="15">
      <c r="E38" s="194" t="s">
        <v>195</v>
      </c>
      <c r="F38" s="195">
        <f>G25</f>
        <v>1.4417700552558488</v>
      </c>
      <c r="AL38" s="103" t="s">
        <v>150</v>
      </c>
      <c r="AM38" s="184">
        <v>3.9</v>
      </c>
      <c r="AN38" s="184">
        <v>12</v>
      </c>
      <c r="AO38" s="184">
        <v>22</v>
      </c>
      <c r="AP38" s="184">
        <v>27</v>
      </c>
      <c r="AQ38" s="184">
        <v>80</v>
      </c>
      <c r="AR38" s="184">
        <v>3.9</v>
      </c>
      <c r="AS38" s="184">
        <v>12.633333333333333</v>
      </c>
      <c r="AT38" s="184">
        <v>17.316666666666666</v>
      </c>
      <c r="AU38" s="184">
        <v>20.333333333333332</v>
      </c>
      <c r="AV38" s="184">
        <v>30</v>
      </c>
      <c r="AW38" s="184">
        <v>31.966666666666669</v>
      </c>
      <c r="AX38" s="184">
        <v>35.300000000000004</v>
      </c>
      <c r="AY38" s="184">
        <v>38</v>
      </c>
      <c r="AZ38" s="184">
        <v>41.949999999999996</v>
      </c>
      <c r="BA38" s="184">
        <v>43.300000000000004</v>
      </c>
      <c r="BB38" s="184">
        <v>51</v>
      </c>
      <c r="BC38" s="184">
        <v>59</v>
      </c>
      <c r="BD38" s="184">
        <v>70.333333333333329</v>
      </c>
      <c r="BE38" s="184">
        <v>80</v>
      </c>
    </row>
    <row r="39" spans="5:57" ht="15">
      <c r="E39" s="194" t="s">
        <v>21</v>
      </c>
      <c r="F39" s="195">
        <f>H25</f>
        <v>6.9797115178997151</v>
      </c>
      <c r="AL39" s="103" t="s">
        <v>13</v>
      </c>
      <c r="AM39" s="103">
        <v>3</v>
      </c>
      <c r="AN39" s="103">
        <v>0</v>
      </c>
      <c r="AO39" s="103">
        <v>0</v>
      </c>
      <c r="AP39" s="103">
        <v>0</v>
      </c>
      <c r="AQ39" s="103">
        <v>0</v>
      </c>
      <c r="AR39" s="103">
        <v>3</v>
      </c>
      <c r="AS39" s="103">
        <v>1</v>
      </c>
      <c r="AT39" s="103">
        <v>0.5</v>
      </c>
      <c r="AU39" s="103">
        <v>0</v>
      </c>
      <c r="AV39" s="103">
        <v>0</v>
      </c>
      <c r="AW39" s="103">
        <v>1</v>
      </c>
      <c r="AX39" s="103">
        <v>1</v>
      </c>
      <c r="AY39" s="103">
        <v>0</v>
      </c>
      <c r="AZ39" s="103">
        <v>1.5</v>
      </c>
      <c r="BA39" s="103">
        <v>1</v>
      </c>
      <c r="BB39" s="103">
        <v>0</v>
      </c>
      <c r="BC39" s="103">
        <v>0</v>
      </c>
      <c r="BD39" s="103">
        <v>0</v>
      </c>
      <c r="BE39" s="103">
        <v>0</v>
      </c>
    </row>
    <row r="40" spans="5:57" ht="15">
      <c r="E40" s="194" t="s">
        <v>26</v>
      </c>
      <c r="F40" s="195">
        <f>I25</f>
        <v>2.0008766133287517</v>
      </c>
      <c r="AL40" s="103" t="s">
        <v>33</v>
      </c>
      <c r="AM40" s="103">
        <v>0</v>
      </c>
      <c r="AN40" s="103">
        <v>3</v>
      </c>
      <c r="AO40" s="103">
        <v>0</v>
      </c>
      <c r="AP40" s="103">
        <v>0</v>
      </c>
      <c r="AQ40" s="103">
        <v>0</v>
      </c>
      <c r="AR40" s="103">
        <v>0</v>
      </c>
      <c r="AS40" s="103">
        <v>1</v>
      </c>
      <c r="AT40" s="103">
        <v>0.5</v>
      </c>
      <c r="AU40" s="103">
        <v>0.5</v>
      </c>
      <c r="AV40" s="103">
        <v>0.5</v>
      </c>
      <c r="AW40" s="103">
        <v>1</v>
      </c>
      <c r="AX40" s="103">
        <v>0</v>
      </c>
      <c r="AY40" s="103">
        <v>1</v>
      </c>
      <c r="AZ40" s="103">
        <v>0</v>
      </c>
      <c r="BA40" s="103">
        <v>0.5</v>
      </c>
      <c r="BB40" s="103">
        <v>0</v>
      </c>
      <c r="BC40" s="103">
        <v>0.5</v>
      </c>
      <c r="BD40" s="103">
        <v>0</v>
      </c>
      <c r="BE40" s="103">
        <v>0</v>
      </c>
    </row>
    <row r="41" spans="5:57" ht="15">
      <c r="E41" s="194" t="s">
        <v>20</v>
      </c>
      <c r="F41" s="195">
        <f>J25</f>
        <v>8.5439540343257878</v>
      </c>
      <c r="AL41" s="103" t="s">
        <v>14</v>
      </c>
      <c r="AM41" s="103">
        <v>0</v>
      </c>
      <c r="AN41" s="103">
        <v>0</v>
      </c>
      <c r="AO41" s="103">
        <v>3</v>
      </c>
      <c r="AP41" s="103">
        <v>0</v>
      </c>
      <c r="AQ41" s="103">
        <v>0</v>
      </c>
      <c r="AR41" s="103">
        <v>0</v>
      </c>
      <c r="AS41" s="103">
        <v>1</v>
      </c>
      <c r="AT41" s="103">
        <v>2</v>
      </c>
      <c r="AU41" s="103">
        <v>2.5</v>
      </c>
      <c r="AV41" s="103">
        <v>2</v>
      </c>
      <c r="AW41" s="103">
        <v>0</v>
      </c>
      <c r="AX41" s="103">
        <v>1</v>
      </c>
      <c r="AY41" s="103">
        <v>1</v>
      </c>
      <c r="AZ41" s="103">
        <v>0</v>
      </c>
      <c r="BA41" s="103">
        <v>0</v>
      </c>
      <c r="BB41" s="103">
        <v>1.5</v>
      </c>
      <c r="BC41" s="103">
        <v>0.5</v>
      </c>
      <c r="BD41" s="103">
        <v>0.5</v>
      </c>
      <c r="BE41" s="103">
        <v>0</v>
      </c>
    </row>
    <row r="42" spans="5:57" ht="15">
      <c r="E42" s="194" t="s">
        <v>66</v>
      </c>
      <c r="F42" s="195">
        <f>L25</f>
        <v>1.7701688103890603</v>
      </c>
      <c r="AL42" s="103" t="s">
        <v>196</v>
      </c>
      <c r="AM42" s="103">
        <v>0</v>
      </c>
      <c r="AN42" s="103">
        <v>0</v>
      </c>
      <c r="AO42" s="103">
        <v>0</v>
      </c>
      <c r="AP42" s="103">
        <v>3</v>
      </c>
      <c r="AQ42" s="103">
        <v>0</v>
      </c>
      <c r="AR42" s="103">
        <v>0</v>
      </c>
      <c r="AS42" s="103">
        <v>0</v>
      </c>
      <c r="AT42" s="103">
        <v>0</v>
      </c>
      <c r="AU42" s="103">
        <v>0</v>
      </c>
      <c r="AV42" s="103">
        <v>0</v>
      </c>
      <c r="AW42" s="103">
        <v>0</v>
      </c>
      <c r="AX42" s="103">
        <v>0</v>
      </c>
      <c r="AY42" s="103">
        <v>0</v>
      </c>
      <c r="AZ42" s="103">
        <v>0</v>
      </c>
      <c r="BA42" s="103">
        <v>0</v>
      </c>
      <c r="BB42" s="103">
        <v>0</v>
      </c>
      <c r="BC42" s="103">
        <v>0</v>
      </c>
      <c r="BD42" s="103">
        <v>0</v>
      </c>
      <c r="BE42" s="103">
        <v>0</v>
      </c>
    </row>
    <row r="43" spans="5:57" ht="15">
      <c r="E43" s="194" t="s">
        <v>67</v>
      </c>
      <c r="F43" s="195">
        <f>M25</f>
        <v>1.5996933209560693</v>
      </c>
      <c r="AL43" s="103" t="s">
        <v>34</v>
      </c>
      <c r="AM43" s="103">
        <v>0</v>
      </c>
      <c r="AN43" s="103">
        <v>0</v>
      </c>
      <c r="AO43" s="103">
        <v>0</v>
      </c>
      <c r="AP43" s="103">
        <v>0</v>
      </c>
      <c r="AQ43" s="103">
        <v>3</v>
      </c>
      <c r="AR43" s="103">
        <v>0</v>
      </c>
      <c r="AS43" s="103">
        <v>0</v>
      </c>
      <c r="AT43" s="103">
        <v>0</v>
      </c>
      <c r="AU43" s="103">
        <v>0</v>
      </c>
      <c r="AV43" s="103">
        <v>0.5</v>
      </c>
      <c r="AW43" s="103">
        <v>1</v>
      </c>
      <c r="AX43" s="103">
        <v>1</v>
      </c>
      <c r="AY43" s="103">
        <v>1</v>
      </c>
      <c r="AZ43" s="103">
        <v>1.5</v>
      </c>
      <c r="BA43" s="103">
        <v>1.5</v>
      </c>
      <c r="BB43" s="103">
        <v>1.5</v>
      </c>
      <c r="BC43" s="103">
        <v>2</v>
      </c>
      <c r="BD43" s="103">
        <v>2.5</v>
      </c>
      <c r="BE43" s="103">
        <v>3</v>
      </c>
    </row>
    <row r="44" spans="5:57" ht="15">
      <c r="E44" s="194" t="s">
        <v>68</v>
      </c>
      <c r="F44" s="195">
        <f>N25</f>
        <v>6.4907981314943903</v>
      </c>
      <c r="AL44" s="103" t="s">
        <v>206</v>
      </c>
      <c r="AM44" s="103">
        <v>3</v>
      </c>
      <c r="AN44" s="103">
        <v>3</v>
      </c>
      <c r="AO44" s="103">
        <v>3</v>
      </c>
      <c r="AP44" s="103">
        <v>3</v>
      </c>
      <c r="AQ44" s="103">
        <v>3</v>
      </c>
      <c r="AR44" s="103">
        <v>3</v>
      </c>
      <c r="AS44" s="103">
        <v>3</v>
      </c>
      <c r="AT44" s="103">
        <v>3</v>
      </c>
      <c r="AU44" s="103">
        <v>3</v>
      </c>
      <c r="AV44" s="103">
        <v>3</v>
      </c>
      <c r="AW44" s="103">
        <v>3</v>
      </c>
      <c r="AX44" s="103">
        <v>3</v>
      </c>
      <c r="AY44" s="103">
        <v>3</v>
      </c>
      <c r="AZ44" s="103">
        <v>3</v>
      </c>
      <c r="BA44" s="103">
        <v>3</v>
      </c>
      <c r="BB44" s="103">
        <v>3</v>
      </c>
      <c r="BC44" s="103">
        <v>3</v>
      </c>
      <c r="BD44" s="103">
        <v>3</v>
      </c>
      <c r="BE44" s="103">
        <v>3</v>
      </c>
    </row>
    <row r="45" spans="5:57" ht="15">
      <c r="E45" s="194" t="s">
        <v>69</v>
      </c>
      <c r="F45" s="195">
        <f>O25</f>
        <v>8.8515607512471615</v>
      </c>
    </row>
    <row r="46" spans="5:57" ht="15">
      <c r="E46" s="194" t="s">
        <v>70</v>
      </c>
      <c r="F46" s="195">
        <f>P25</f>
        <v>3.3415022449318119</v>
      </c>
      <c r="AY46" s="102">
        <v>0.84970000000000001</v>
      </c>
    </row>
    <row r="47" spans="5:57" ht="15">
      <c r="E47" s="194" t="s">
        <v>71</v>
      </c>
      <c r="F47" s="195">
        <f>Q25</f>
        <v>3.2311216893048655</v>
      </c>
      <c r="AY47" s="102">
        <v>79</v>
      </c>
    </row>
    <row r="48" spans="5:57" ht="15">
      <c r="E48" s="194" t="s">
        <v>72</v>
      </c>
      <c r="F48" s="195">
        <f>R25</f>
        <v>9.7455318920004039</v>
      </c>
      <c r="AY48" s="102">
        <v>79.3</v>
      </c>
    </row>
    <row r="49" spans="5:51" ht="15">
      <c r="E49" s="194" t="s">
        <v>154</v>
      </c>
      <c r="F49" s="195">
        <f>S25</f>
        <v>1.8042918863132744</v>
      </c>
      <c r="AY49" s="102">
        <v>8.8699999999999992</v>
      </c>
    </row>
    <row r="50" spans="5:51" ht="15">
      <c r="E50" s="194" t="s">
        <v>155</v>
      </c>
      <c r="F50" s="195">
        <f>T25</f>
        <v>3.2095013334096456</v>
      </c>
      <c r="AY50" s="196">
        <v>9.9999999999999998E-17</v>
      </c>
    </row>
    <row r="51" spans="5:51" ht="15">
      <c r="E51" s="194" t="s">
        <v>156</v>
      </c>
      <c r="F51" s="195">
        <f>U25</f>
        <v>4.9176486661218712</v>
      </c>
      <c r="AY51" s="196">
        <v>9.9999999999999995E-8</v>
      </c>
    </row>
    <row r="52" spans="5:51" ht="15">
      <c r="E52" s="194" t="s">
        <v>192</v>
      </c>
      <c r="F52" s="195">
        <f>V25</f>
        <v>4.9287621915132194</v>
      </c>
      <c r="AY52" s="196">
        <v>1000000000</v>
      </c>
    </row>
    <row r="53" spans="5:51" ht="15">
      <c r="E53" s="194" t="s">
        <v>194</v>
      </c>
      <c r="F53" s="195">
        <f>W25</f>
        <v>8.5674567249015823</v>
      </c>
      <c r="AY53" s="196">
        <v>6.4800000000000002E-18</v>
      </c>
    </row>
    <row r="54" spans="5:51">
      <c r="AY54" s="196">
        <v>1.2300000000000001E-5</v>
      </c>
    </row>
    <row r="55" spans="5:51">
      <c r="AY55" s="196">
        <v>1890000000000</v>
      </c>
    </row>
    <row r="99" spans="4:11" ht="21">
      <c r="D99" s="180" t="s">
        <v>199</v>
      </c>
      <c r="E99" s="181"/>
      <c r="F99" s="182"/>
      <c r="G99" s="182"/>
      <c r="H99" s="183"/>
      <c r="I99" s="183"/>
      <c r="J99" s="183"/>
      <c r="K99" s="182"/>
    </row>
    <row r="100" spans="4:11" ht="21">
      <c r="D100" s="180" t="s">
        <v>202</v>
      </c>
      <c r="E100" s="181"/>
      <c r="F100" s="182"/>
      <c r="G100" s="182"/>
      <c r="H100" s="183"/>
      <c r="I100" s="183"/>
      <c r="J100" s="183"/>
      <c r="K100" s="182"/>
    </row>
    <row r="101" spans="4:11" ht="21">
      <c r="D101" s="180" t="s">
        <v>200</v>
      </c>
      <c r="E101" s="181"/>
      <c r="F101" s="182"/>
      <c r="G101" s="182"/>
      <c r="H101" s="183"/>
      <c r="I101" s="183"/>
      <c r="J101" s="183"/>
      <c r="K101" s="182"/>
    </row>
    <row r="102" spans="4:11" ht="21">
      <c r="D102" s="180" t="s">
        <v>201</v>
      </c>
      <c r="E102" s="181"/>
      <c r="F102" s="182"/>
      <c r="G102" s="182"/>
      <c r="H102" s="183"/>
      <c r="I102" s="183"/>
      <c r="J102" s="183"/>
      <c r="K102" s="182"/>
    </row>
    <row r="103" spans="4:11" ht="21">
      <c r="D103" s="180" t="s">
        <v>203</v>
      </c>
      <c r="E103" s="181"/>
      <c r="F103" s="182"/>
      <c r="G103" s="182"/>
      <c r="H103" s="183"/>
      <c r="I103" s="183"/>
      <c r="J103" s="183"/>
      <c r="K103" s="182"/>
    </row>
    <row r="104" spans="4:11" ht="21">
      <c r="D104" s="179"/>
    </row>
    <row r="105" spans="4:11" ht="21">
      <c r="D105" s="179"/>
    </row>
    <row r="106" spans="4:11" ht="21">
      <c r="D106" s="179"/>
    </row>
  </sheetData>
  <conditionalFormatting sqref="F37:F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V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V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X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F108"/>
  <sheetViews>
    <sheetView topLeftCell="D2" zoomScale="75" zoomScaleNormal="53" workbookViewId="0">
      <selection activeCell="Q4" sqref="Q4"/>
    </sheetView>
  </sheetViews>
  <sheetFormatPr defaultColWidth="8.85546875" defaultRowHeight="12"/>
  <cols>
    <col min="1" max="1" width="17.7109375" style="102" customWidth="1"/>
    <col min="2" max="2" width="8.28515625" style="102" customWidth="1"/>
    <col min="3" max="3" width="11.42578125" style="102" bestFit="1" customWidth="1"/>
    <col min="4" max="4" width="14.28515625" style="102" customWidth="1"/>
    <col min="5" max="5" width="14.140625" style="102" bestFit="1" customWidth="1"/>
    <col min="6" max="6" width="10.5703125" style="104" bestFit="1" customWidth="1"/>
    <col min="7" max="7" width="8.28515625" style="104" customWidth="1"/>
    <col min="8" max="8" width="9" style="105" bestFit="1" customWidth="1"/>
    <col min="9" max="10" width="9" style="105" customWidth="1"/>
    <col min="11" max="11" width="8.28515625" style="106" bestFit="1" customWidth="1"/>
    <col min="12" max="13" width="8.85546875" style="169"/>
    <col min="14" max="18" width="8.85546875" style="108"/>
    <col min="19" max="20" width="8.85546875" style="168"/>
    <col min="21" max="24" width="8.85546875" style="108" customWidth="1"/>
    <col min="25" max="25" width="9" style="107" bestFit="1" customWidth="1"/>
    <col min="26" max="28" width="15.42578125" style="160" customWidth="1"/>
    <col min="29" max="29" width="15.42578125" style="108" customWidth="1"/>
    <col min="30" max="30" width="14.140625" style="151" bestFit="1" customWidth="1"/>
    <col min="31" max="31" width="10.7109375" style="143" bestFit="1" customWidth="1"/>
    <col min="32" max="32" width="15.7109375" style="143" customWidth="1"/>
    <col min="33" max="33" width="10.42578125" style="143" bestFit="1" customWidth="1"/>
    <col min="34" max="34" width="12.7109375" style="143" customWidth="1"/>
    <col min="35" max="35" width="15.28515625" style="143" bestFit="1" customWidth="1"/>
    <col min="36" max="36" width="12" style="102" bestFit="1" customWidth="1"/>
    <col min="37" max="38" width="8.85546875" style="102"/>
    <col min="39" max="39" width="15.85546875" style="102" customWidth="1"/>
    <col min="40" max="40" width="13.28515625" style="102" hidden="1" customWidth="1"/>
    <col min="41" max="41" width="14.28515625" style="102" hidden="1" customWidth="1"/>
    <col min="42" max="42" width="13.7109375" style="102" hidden="1" customWidth="1"/>
    <col min="43" max="43" width="14.28515625" style="102" hidden="1" customWidth="1"/>
    <col min="44" max="44" width="13.28515625" style="102" hidden="1" customWidth="1"/>
    <col min="45" max="45" width="14.140625" style="102" hidden="1" customWidth="1"/>
    <col min="46" max="46" width="11" style="102" bestFit="1" customWidth="1"/>
    <col min="47" max="48" width="10.7109375" style="102" bestFit="1" customWidth="1"/>
    <col min="49" max="49" width="11" style="102" bestFit="1" customWidth="1"/>
    <col min="50" max="51" width="10.7109375" style="102" bestFit="1" customWidth="1"/>
    <col min="52" max="53" width="11" style="102" bestFit="1" customWidth="1"/>
    <col min="54" max="54" width="10.5703125" style="102" bestFit="1" customWidth="1"/>
    <col min="55" max="55" width="10.7109375" style="102" bestFit="1" customWidth="1"/>
    <col min="56" max="56" width="10.5703125" style="102" bestFit="1" customWidth="1"/>
    <col min="57" max="57" width="11.42578125" style="102" customWidth="1"/>
    <col min="58" max="58" width="14.140625" style="102" bestFit="1" customWidth="1"/>
    <col min="59" max="16384" width="8.85546875" style="102"/>
  </cols>
  <sheetData>
    <row r="1" spans="1:36" ht="27.6" customHeight="1"/>
    <row r="2" spans="1:36" s="103" customFormat="1" ht="283.89999999999998" customHeight="1">
      <c r="E2" s="131" t="s">
        <v>147</v>
      </c>
      <c r="F2" s="132" t="s">
        <v>212</v>
      </c>
      <c r="G2" s="132" t="s">
        <v>210</v>
      </c>
      <c r="H2" s="132" t="s">
        <v>213</v>
      </c>
      <c r="I2" s="132" t="s">
        <v>214</v>
      </c>
      <c r="J2" s="132" t="s">
        <v>215</v>
      </c>
      <c r="K2" s="132" t="s">
        <v>212</v>
      </c>
      <c r="L2" s="132" t="s">
        <v>217</v>
      </c>
      <c r="M2" s="132" t="s">
        <v>216</v>
      </c>
      <c r="N2" s="132" t="s">
        <v>218</v>
      </c>
      <c r="O2" s="132" t="s">
        <v>223</v>
      </c>
      <c r="P2" s="132" t="s">
        <v>222</v>
      </c>
      <c r="Q2" s="132" t="s">
        <v>221</v>
      </c>
      <c r="R2" s="132" t="s">
        <v>224</v>
      </c>
      <c r="S2" s="161" t="s">
        <v>211</v>
      </c>
      <c r="T2" s="161" t="s">
        <v>225</v>
      </c>
      <c r="U2" s="161" t="s">
        <v>226</v>
      </c>
      <c r="V2" s="161" t="s">
        <v>227</v>
      </c>
      <c r="W2" s="161" t="s">
        <v>229</v>
      </c>
      <c r="X2" s="161" t="s">
        <v>228</v>
      </c>
      <c r="Y2" s="133"/>
      <c r="Z2" s="153"/>
      <c r="AA2" s="153"/>
      <c r="AB2" s="153"/>
      <c r="AC2" s="112"/>
      <c r="AD2" s="144"/>
      <c r="AE2" s="138"/>
      <c r="AF2" s="138"/>
      <c r="AG2" s="138"/>
      <c r="AH2" s="138"/>
      <c r="AI2" s="138"/>
    </row>
    <row r="3" spans="1:36" s="101" customFormat="1" ht="47.45" customHeight="1">
      <c r="A3" s="101" t="s">
        <v>87</v>
      </c>
      <c r="C3" s="101" t="s">
        <v>158</v>
      </c>
      <c r="D3" s="101" t="s">
        <v>52</v>
      </c>
      <c r="E3" s="113" t="s">
        <v>152</v>
      </c>
      <c r="F3" s="114">
        <v>3.9</v>
      </c>
      <c r="G3" s="114">
        <v>12</v>
      </c>
      <c r="H3" s="114">
        <v>22</v>
      </c>
      <c r="I3" s="114">
        <v>27</v>
      </c>
      <c r="J3" s="114">
        <v>80</v>
      </c>
      <c r="K3" s="124">
        <v>3.9</v>
      </c>
      <c r="L3" s="162"/>
      <c r="M3" s="162"/>
      <c r="N3" s="115"/>
      <c r="O3" s="115"/>
      <c r="P3" s="115"/>
      <c r="Q3" s="115"/>
      <c r="R3" s="115"/>
      <c r="S3" s="162"/>
      <c r="T3" s="162"/>
      <c r="U3" s="115"/>
      <c r="V3" s="115"/>
      <c r="W3" s="115"/>
      <c r="X3" s="115"/>
      <c r="Y3" s="124">
        <v>80</v>
      </c>
      <c r="Z3" s="154"/>
      <c r="AA3" s="154"/>
      <c r="AB3" s="154"/>
      <c r="AC3" s="115"/>
      <c r="AD3" s="145"/>
      <c r="AE3" s="139"/>
      <c r="AF3" s="139"/>
      <c r="AG3" s="139"/>
      <c r="AH3" s="139"/>
      <c r="AI3" s="139"/>
    </row>
    <row r="4" spans="1:36" s="101" customFormat="1" ht="47.45" customHeight="1">
      <c r="E4" s="113" t="s">
        <v>171</v>
      </c>
      <c r="F4" s="114">
        <v>9</v>
      </c>
      <c r="G4" s="114">
        <v>8.1999999999999993</v>
      </c>
      <c r="H4" s="114">
        <v>5.2</v>
      </c>
      <c r="I4" s="114">
        <v>5.2</v>
      </c>
      <c r="J4" s="114">
        <v>3.5</v>
      </c>
      <c r="K4" s="124">
        <v>9</v>
      </c>
      <c r="L4" s="163">
        <f>($B$6*L16+$B$9*L17+$B$10*L18+$B$12*L20)/L21</f>
        <v>7.4666666666666659</v>
      </c>
      <c r="M4" s="163">
        <f t="shared" ref="M4:X4" si="0">($B$6*M16+$B$9*M17+$B$10*M18+$B$12*M20)/M21</f>
        <v>6.333333333333333</v>
      </c>
      <c r="N4" s="163">
        <f t="shared" si="0"/>
        <v>5.833333333333333</v>
      </c>
      <c r="O4" s="163">
        <f t="shared" si="0"/>
        <v>5.7</v>
      </c>
      <c r="P4" s="163">
        <f t="shared" si="0"/>
        <v>5.416666666666667</v>
      </c>
      <c r="Q4" s="163">
        <f t="shared" si="0"/>
        <v>6.8999999999999995</v>
      </c>
      <c r="R4" s="163">
        <f t="shared" si="0"/>
        <v>5.8999999999999995</v>
      </c>
      <c r="S4" s="163">
        <f t="shared" si="0"/>
        <v>5.6333333333333329</v>
      </c>
      <c r="T4" s="163">
        <f t="shared" si="0"/>
        <v>6.25</v>
      </c>
      <c r="U4" s="116">
        <f t="shared" si="0"/>
        <v>6.1166666666666671</v>
      </c>
      <c r="V4" s="116">
        <f t="shared" si="0"/>
        <v>4.3500000000000005</v>
      </c>
      <c r="W4" s="116">
        <f t="shared" si="0"/>
        <v>4.5666666666666664</v>
      </c>
      <c r="X4" s="116">
        <f t="shared" si="0"/>
        <v>3.7833333333333332</v>
      </c>
      <c r="Y4" s="124">
        <v>3.5</v>
      </c>
      <c r="Z4" s="155" t="s">
        <v>187</v>
      </c>
      <c r="AA4" s="155" t="s">
        <v>185</v>
      </c>
      <c r="AB4" s="155" t="s">
        <v>184</v>
      </c>
      <c r="AC4" s="116" t="s">
        <v>186</v>
      </c>
      <c r="AD4" s="146" t="s">
        <v>175</v>
      </c>
      <c r="AE4" s="140" t="s">
        <v>176</v>
      </c>
      <c r="AF4" s="140" t="s">
        <v>191</v>
      </c>
      <c r="AG4" s="140" t="s">
        <v>177</v>
      </c>
      <c r="AH4" s="140" t="s">
        <v>177</v>
      </c>
      <c r="AI4" s="140" t="s">
        <v>178</v>
      </c>
      <c r="AJ4" s="140" t="s">
        <v>178</v>
      </c>
    </row>
    <row r="5" spans="1:36" s="101" customFormat="1">
      <c r="A5" s="101" t="s">
        <v>169</v>
      </c>
      <c r="B5" s="101" t="s">
        <v>167</v>
      </c>
      <c r="C5" s="101" t="s">
        <v>168</v>
      </c>
      <c r="E5" s="113" t="s">
        <v>150</v>
      </c>
      <c r="F5" s="114">
        <f>($C$6*F16+$C$9*F17+$C$10*F18+$C$12*F20)/F21</f>
        <v>3.9</v>
      </c>
      <c r="G5" s="114">
        <f>($C$6*G16+$C$9*G17+$C$10*G18+$C$12*G20)/G21</f>
        <v>12</v>
      </c>
      <c r="H5" s="114">
        <f>($C$6*H16+$C$9*H17+$C$10*H18+$C$12*H20)/H21</f>
        <v>25</v>
      </c>
      <c r="I5" s="114">
        <v>27</v>
      </c>
      <c r="J5" s="114">
        <f>($C$6*J16+$C$9*J17+$C$10*J18+$C$12*J20)/J21</f>
        <v>80</v>
      </c>
      <c r="K5" s="124">
        <f>($C$6*K16+$C$9*K17+$C$10*K18+$C$12*K20)/K21</f>
        <v>3.9</v>
      </c>
      <c r="L5" s="163">
        <f t="shared" ref="L5:X5" si="1">($C$6*L16+$C$9*L17+$C$10*L18+$C$12*L20)/L21</f>
        <v>13.633333333333333</v>
      </c>
      <c r="M5" s="163">
        <f>($C$6*M16+$C$9*M17+$C$10*M18+$C$12*M20)/M21</f>
        <v>19.316666666666666</v>
      </c>
      <c r="N5" s="163">
        <f>($C$6*N16+$C$9*N17+$C$10*N18+$C$12*N20)/N21</f>
        <v>21.483333333333334</v>
      </c>
      <c r="O5" s="163">
        <f>($C$6*O16+$C$9*O17+$C$10*O18+$C$12*O20)/O21</f>
        <v>22.833333333333332</v>
      </c>
      <c r="P5" s="163">
        <f>($C$6*P16+$C$9*P17+$C$10*P18+$C$12*P20)/P21</f>
        <v>32</v>
      </c>
      <c r="Q5" s="163">
        <f>($C$6*Q16+$C$9*Q17+$C$10*Q18+$C$12*Q20)/Q21</f>
        <v>31.966666666666669</v>
      </c>
      <c r="R5" s="163">
        <f t="shared" si="1"/>
        <v>36.300000000000004</v>
      </c>
      <c r="S5" s="163">
        <f>($C$6*S16+$C$9*S17+$C$10*S18+$C$12*S20)/S21</f>
        <v>39</v>
      </c>
      <c r="T5" s="163">
        <f>($C$6*T16+$C$9*T17+$C$10*T18+$C$12*T20)/T21</f>
        <v>41.949999999999996</v>
      </c>
      <c r="U5" s="116">
        <f t="shared" si="1"/>
        <v>43.300000000000004</v>
      </c>
      <c r="V5" s="116">
        <f t="shared" si="1"/>
        <v>52.5</v>
      </c>
      <c r="W5" s="116">
        <f t="shared" si="1"/>
        <v>59.5</v>
      </c>
      <c r="X5" s="116">
        <f t="shared" si="1"/>
        <v>70.833333333333329</v>
      </c>
      <c r="Y5" s="124">
        <f>($C$6*Y16+$C$9*Y17+$C$10*Y18+$C$12*Y20)/Y21</f>
        <v>80</v>
      </c>
      <c r="Z5" s="155">
        <v>80</v>
      </c>
      <c r="AA5" s="155">
        <v>80</v>
      </c>
      <c r="AB5" s="155">
        <v>80</v>
      </c>
      <c r="AC5" s="116"/>
      <c r="AD5" s="146"/>
      <c r="AE5" s="140"/>
      <c r="AF5" s="140"/>
      <c r="AG5" s="140"/>
      <c r="AH5" s="140"/>
      <c r="AI5" s="140"/>
    </row>
    <row r="6" spans="1:36" ht="15.75">
      <c r="A6" s="48" t="s">
        <v>23</v>
      </c>
      <c r="B6" s="48">
        <v>9</v>
      </c>
      <c r="C6" s="48">
        <v>3.9</v>
      </c>
      <c r="E6" s="109" t="s">
        <v>140</v>
      </c>
      <c r="F6" s="164">
        <v>0.53180000000000005</v>
      </c>
      <c r="G6" s="164">
        <v>0.75160000000000005</v>
      </c>
      <c r="H6" s="164">
        <v>0.86729999999999996</v>
      </c>
      <c r="I6" s="164">
        <v>0.88529999999999998</v>
      </c>
      <c r="J6" s="164">
        <v>0.94210000000000005</v>
      </c>
      <c r="K6" s="164">
        <f t="shared" ref="K6:K15" si="2">F6</f>
        <v>0.53180000000000005</v>
      </c>
      <c r="L6" s="164">
        <v>0.70120000000000005</v>
      </c>
      <c r="M6" s="164">
        <v>0.78169999999999995</v>
      </c>
      <c r="N6" s="164">
        <v>0.80010000000000003</v>
      </c>
      <c r="O6" s="164">
        <v>0.84470000000000001</v>
      </c>
      <c r="P6" s="164">
        <v>0.85799999999999998</v>
      </c>
      <c r="Q6" s="164">
        <v>0.73119999999999996</v>
      </c>
      <c r="R6" s="164">
        <v>0.76880000000000004</v>
      </c>
      <c r="S6" s="164">
        <v>0.84970000000000001</v>
      </c>
      <c r="T6" s="164">
        <v>0.72519999999999996</v>
      </c>
      <c r="U6" s="164">
        <v>0.7631</v>
      </c>
      <c r="V6" s="164">
        <v>0.90269999999999995</v>
      </c>
      <c r="W6" s="164">
        <v>0.8952</v>
      </c>
      <c r="X6" s="164">
        <v>0.92789999999999995</v>
      </c>
      <c r="Y6" s="164">
        <f>J6</f>
        <v>0.94210000000000005</v>
      </c>
      <c r="Z6" s="156">
        <v>1.0038</v>
      </c>
      <c r="AA6" s="156">
        <v>1.0028999999999999</v>
      </c>
      <c r="AB6" s="156">
        <v>1.008</v>
      </c>
      <c r="AC6" s="152">
        <f>(AA6-AB6)/AA6</f>
        <v>-5.0852527669758745E-3</v>
      </c>
      <c r="AD6" s="147">
        <v>0.92800000000000005</v>
      </c>
      <c r="AE6" s="141">
        <f t="shared" ref="AE6:AE15" si="3">($AD6-G6)/G6</f>
        <v>0.23469930814262904</v>
      </c>
      <c r="AF6" s="141"/>
      <c r="AG6" s="141">
        <f t="shared" ref="AG6:AG15" si="4">($AD6-H6)/H6</f>
        <v>6.998731696068268E-2</v>
      </c>
      <c r="AH6" s="141"/>
      <c r="AI6" s="141">
        <f t="shared" ref="AI6:AI15" si="5">($AD6-J6)/J6</f>
        <v>-1.496656405901709E-2</v>
      </c>
    </row>
    <row r="7" spans="1:36" ht="15.75">
      <c r="A7" s="48" t="s">
        <v>170</v>
      </c>
      <c r="B7" s="48">
        <v>4.5999999999999996</v>
      </c>
      <c r="C7" s="48">
        <v>7.5</v>
      </c>
      <c r="E7" s="109" t="s">
        <v>142</v>
      </c>
      <c r="F7" s="164">
        <v>89.6</v>
      </c>
      <c r="G7" s="164">
        <v>87.8</v>
      </c>
      <c r="H7" s="164">
        <v>82.5</v>
      </c>
      <c r="I7" s="164">
        <v>81.8</v>
      </c>
      <c r="J7" s="164">
        <v>76.2</v>
      </c>
      <c r="K7" s="164">
        <f t="shared" si="2"/>
        <v>89.6</v>
      </c>
      <c r="L7" s="164">
        <v>82.6</v>
      </c>
      <c r="M7" s="164">
        <v>81.099999999999994</v>
      </c>
      <c r="N7" s="164">
        <v>81.7</v>
      </c>
      <c r="O7" s="164">
        <v>82</v>
      </c>
      <c r="P7" s="164">
        <v>80.3</v>
      </c>
      <c r="Q7" s="164">
        <v>78.900000000000006</v>
      </c>
      <c r="R7" s="164">
        <v>76.8</v>
      </c>
      <c r="S7" s="164">
        <v>79</v>
      </c>
      <c r="T7" s="164">
        <v>77.099999999999994</v>
      </c>
      <c r="U7" s="164">
        <v>76.2</v>
      </c>
      <c r="V7" s="164">
        <v>79.8</v>
      </c>
      <c r="W7" s="164">
        <v>78.3</v>
      </c>
      <c r="X7" s="164">
        <v>77</v>
      </c>
      <c r="Y7" s="164">
        <f t="shared" ref="Y7:Y15" si="6">J7</f>
        <v>76.2</v>
      </c>
      <c r="Z7" s="156">
        <v>56.8</v>
      </c>
      <c r="AA7" s="156">
        <v>56.1</v>
      </c>
      <c r="AB7" s="156">
        <v>59</v>
      </c>
      <c r="AC7" s="152">
        <f t="shared" ref="AC7:AC15" si="7">(AA7-AB7)/AA7</f>
        <v>-5.169340463458108E-2</v>
      </c>
      <c r="AD7" s="147">
        <v>58.3</v>
      </c>
      <c r="AE7" s="141">
        <f t="shared" si="3"/>
        <v>-0.33599088838268792</v>
      </c>
      <c r="AF7" s="141"/>
      <c r="AG7" s="141">
        <f t="shared" si="4"/>
        <v>-0.29333333333333339</v>
      </c>
      <c r="AH7" s="141"/>
      <c r="AI7" s="141">
        <f t="shared" si="5"/>
        <v>-0.23490813648293971</v>
      </c>
    </row>
    <row r="8" spans="1:36" ht="15.75">
      <c r="A8" s="48" t="s">
        <v>39</v>
      </c>
      <c r="B8" s="48"/>
      <c r="C8" s="48">
        <v>12</v>
      </c>
      <c r="E8" s="109" t="s">
        <v>143</v>
      </c>
      <c r="F8" s="164">
        <v>89.5</v>
      </c>
      <c r="G8" s="164">
        <v>88.1</v>
      </c>
      <c r="H8" s="164">
        <v>82.8</v>
      </c>
      <c r="I8" s="164">
        <v>82.1</v>
      </c>
      <c r="J8" s="164">
        <v>75</v>
      </c>
      <c r="K8" s="164">
        <f t="shared" si="2"/>
        <v>89.5</v>
      </c>
      <c r="L8" s="164">
        <v>82.7</v>
      </c>
      <c r="M8" s="164">
        <v>81.400000000000006</v>
      </c>
      <c r="N8" s="164">
        <v>81.900000000000006</v>
      </c>
      <c r="O8" s="164">
        <v>82.4</v>
      </c>
      <c r="P8" s="164">
        <v>80.7</v>
      </c>
      <c r="Q8" s="164">
        <v>-1099.8</v>
      </c>
      <c r="R8" s="164">
        <v>76.900000000000006</v>
      </c>
      <c r="S8" s="164">
        <v>79.3</v>
      </c>
      <c r="T8" s="164">
        <v>77.3</v>
      </c>
      <c r="U8" s="164">
        <v>76.3</v>
      </c>
      <c r="V8" s="164">
        <v>80</v>
      </c>
      <c r="W8" s="164">
        <v>78.400000000000006</v>
      </c>
      <c r="X8" s="164">
        <v>76.2</v>
      </c>
      <c r="Y8" s="164">
        <f t="shared" si="6"/>
        <v>75</v>
      </c>
      <c r="Z8" s="156">
        <v>56.7</v>
      </c>
      <c r="AA8" s="156">
        <v>55.7</v>
      </c>
      <c r="AB8" s="156">
        <v>58.9</v>
      </c>
      <c r="AC8" s="152">
        <f t="shared" si="7"/>
        <v>-5.7450628366247675E-2</v>
      </c>
      <c r="AD8" s="147">
        <v>57.8</v>
      </c>
      <c r="AE8" s="141">
        <f t="shared" si="3"/>
        <v>-0.34392735527809304</v>
      </c>
      <c r="AF8" s="141"/>
      <c r="AG8" s="141">
        <f t="shared" si="4"/>
        <v>-0.30193236714975846</v>
      </c>
      <c r="AH8" s="141"/>
      <c r="AI8" s="141">
        <f t="shared" si="5"/>
        <v>-0.22933333333333336</v>
      </c>
    </row>
    <row r="9" spans="1:36" ht="15.75">
      <c r="A9" s="48" t="s">
        <v>25</v>
      </c>
      <c r="B9" s="48">
        <v>8.1999999999999993</v>
      </c>
      <c r="C9" s="48">
        <v>12</v>
      </c>
      <c r="E9" s="109" t="s">
        <v>2</v>
      </c>
      <c r="F9" s="164">
        <v>19.3</v>
      </c>
      <c r="G9" s="164">
        <v>13.13</v>
      </c>
      <c r="H9" s="164">
        <v>8.8699999999999992</v>
      </c>
      <c r="I9" s="164">
        <v>7.57</v>
      </c>
      <c r="J9" s="164">
        <v>5.04</v>
      </c>
      <c r="K9" s="164">
        <f t="shared" si="2"/>
        <v>19.3</v>
      </c>
      <c r="L9" s="164">
        <v>15.22</v>
      </c>
      <c r="M9" s="164">
        <v>9.3000000000000007</v>
      </c>
      <c r="N9" s="164">
        <v>8.43</v>
      </c>
      <c r="O9" s="164">
        <v>9.83</v>
      </c>
      <c r="P9" s="164">
        <v>8.6999999999999993</v>
      </c>
      <c r="Q9" s="164">
        <v>12.52</v>
      </c>
      <c r="R9" s="164">
        <v>9.48</v>
      </c>
      <c r="S9" s="164">
        <v>8.8699999999999992</v>
      </c>
      <c r="T9" s="164">
        <v>12.7</v>
      </c>
      <c r="U9" s="164">
        <v>9.74</v>
      </c>
      <c r="V9" s="164">
        <v>6.17</v>
      </c>
      <c r="W9" s="164">
        <v>6.43</v>
      </c>
      <c r="X9" s="164">
        <v>5.48</v>
      </c>
      <c r="Y9" s="164">
        <f t="shared" si="6"/>
        <v>5.04</v>
      </c>
      <c r="Z9" s="156">
        <v>7.39</v>
      </c>
      <c r="AA9" s="156">
        <v>7.48</v>
      </c>
      <c r="AB9" s="156">
        <v>6.96</v>
      </c>
      <c r="AC9" s="152">
        <f t="shared" si="7"/>
        <v>6.9518716577540163E-2</v>
      </c>
      <c r="AD9" s="147">
        <v>6.87</v>
      </c>
      <c r="AE9" s="141">
        <f t="shared" si="3"/>
        <v>-0.47677075399847679</v>
      </c>
      <c r="AF9" s="102" t="s">
        <v>182</v>
      </c>
      <c r="AG9" s="141">
        <f t="shared" si="4"/>
        <v>-0.22547914317925583</v>
      </c>
      <c r="AH9" s="102" t="s">
        <v>181</v>
      </c>
      <c r="AI9" s="141">
        <f t="shared" si="5"/>
        <v>0.36309523809523808</v>
      </c>
      <c r="AJ9" s="102" t="s">
        <v>180</v>
      </c>
    </row>
    <row r="10" spans="1:36" ht="15.75">
      <c r="A10" s="48" t="s">
        <v>21</v>
      </c>
      <c r="B10" s="48">
        <v>5.2</v>
      </c>
      <c r="C10" s="48">
        <v>25</v>
      </c>
      <c r="E10" s="109" t="s">
        <v>12</v>
      </c>
      <c r="F10" s="165">
        <v>9.9999999999999998E-13</v>
      </c>
      <c r="G10" s="165">
        <v>1E-14</v>
      </c>
      <c r="H10" s="165">
        <v>9.9999999999999998E-17</v>
      </c>
      <c r="I10" s="165">
        <v>9.9999999999999998E-17</v>
      </c>
      <c r="J10" s="165">
        <v>1.0000000000000001E-17</v>
      </c>
      <c r="K10" s="165">
        <f t="shared" si="2"/>
        <v>9.9999999999999998E-13</v>
      </c>
      <c r="L10" s="165">
        <v>1E-14</v>
      </c>
      <c r="M10" s="165">
        <v>1.0000000000000001E-15</v>
      </c>
      <c r="N10" s="165">
        <v>1.0000000000000001E-15</v>
      </c>
      <c r="O10" s="165">
        <v>9.9999999999999998E-17</v>
      </c>
      <c r="P10" s="165">
        <v>9.9999999999999998E-17</v>
      </c>
      <c r="Q10" s="165">
        <v>1.0000000000000001E-15</v>
      </c>
      <c r="R10" s="165">
        <v>1.0000000000000001E-15</v>
      </c>
      <c r="S10" s="165">
        <v>9.9999999999999998E-17</v>
      </c>
      <c r="T10" s="165">
        <v>1.0000000000000001E-15</v>
      </c>
      <c r="U10" s="165">
        <v>9.9999999999999998E-17</v>
      </c>
      <c r="V10" s="165">
        <v>1.0000000000000001E-17</v>
      </c>
      <c r="W10" s="165">
        <v>1.0000000000000001E-17</v>
      </c>
      <c r="X10" s="165">
        <v>1.0000000000000001E-17</v>
      </c>
      <c r="Y10" s="165">
        <f t="shared" si="6"/>
        <v>1.0000000000000001E-17</v>
      </c>
      <c r="Z10" s="157">
        <v>9.9999999999999994E-30</v>
      </c>
      <c r="AA10" s="157">
        <v>1.0000000000000001E-31</v>
      </c>
      <c r="AB10" s="157">
        <v>9.9999999999999996E-24</v>
      </c>
      <c r="AC10" s="152">
        <f t="shared" si="7"/>
        <v>-99999999</v>
      </c>
      <c r="AD10" s="148">
        <v>9.9999999999999991E-22</v>
      </c>
      <c r="AE10" s="141">
        <f t="shared" si="3"/>
        <v>-0.99999990000000005</v>
      </c>
      <c r="AF10" s="141"/>
      <c r="AG10" s="141">
        <f t="shared" si="4"/>
        <v>-0.99998999999999993</v>
      </c>
      <c r="AH10" s="141"/>
      <c r="AI10" s="141">
        <f t="shared" si="5"/>
        <v>-0.99990000000000001</v>
      </c>
    </row>
    <row r="11" spans="1:36" ht="15.75">
      <c r="A11" s="48" t="s">
        <v>26</v>
      </c>
      <c r="B11" s="48">
        <v>5.6</v>
      </c>
      <c r="C11" s="48">
        <v>35</v>
      </c>
      <c r="E11" s="109" t="s">
        <v>144</v>
      </c>
      <c r="F11" s="165">
        <v>9.9999999999999995E-8</v>
      </c>
      <c r="G11" s="165">
        <v>9.9999999999999995E-8</v>
      </c>
      <c r="H11" s="165">
        <v>9.9999999999999995E-8</v>
      </c>
      <c r="I11" s="165">
        <v>9.9999999999999995E-8</v>
      </c>
      <c r="J11" s="165">
        <v>9.9999999999999995E-8</v>
      </c>
      <c r="K11" s="165">
        <f t="shared" si="2"/>
        <v>9.9999999999999995E-8</v>
      </c>
      <c r="L11" s="165">
        <v>9.9999999999999995E-8</v>
      </c>
      <c r="M11" s="165">
        <v>9.9999999999999995E-8</v>
      </c>
      <c r="N11" s="165">
        <v>9.9999999999999995E-8</v>
      </c>
      <c r="O11" s="165">
        <v>9.9999999999999995E-8</v>
      </c>
      <c r="P11" s="165">
        <v>9.9999999999999995E-8</v>
      </c>
      <c r="Q11" s="165">
        <v>9.9999999999999995E-8</v>
      </c>
      <c r="R11" s="165">
        <v>9.9999999999999995E-8</v>
      </c>
      <c r="S11" s="165">
        <v>9.9999999999999995E-8</v>
      </c>
      <c r="T11" s="165">
        <v>9.9999999999999995E-8</v>
      </c>
      <c r="U11" s="165">
        <v>9.9999999999999995E-8</v>
      </c>
      <c r="V11" s="165">
        <v>9.9999999999999995E-8</v>
      </c>
      <c r="W11" s="165">
        <v>9.9999999999999995E-8</v>
      </c>
      <c r="X11" s="165">
        <v>9.9999999999999995E-8</v>
      </c>
      <c r="Y11" s="165">
        <f t="shared" si="6"/>
        <v>9.9999999999999995E-8</v>
      </c>
      <c r="Z11" s="157">
        <v>9.9999999999999995E-8</v>
      </c>
      <c r="AA11" s="157">
        <v>9.9999999999999995E-8</v>
      </c>
      <c r="AB11" s="157">
        <v>9.9999999999999995E-8</v>
      </c>
      <c r="AC11" s="152">
        <f t="shared" si="7"/>
        <v>0</v>
      </c>
      <c r="AD11" s="148">
        <v>9.9999999999999995E-8</v>
      </c>
      <c r="AE11" s="141">
        <f t="shared" si="3"/>
        <v>0</v>
      </c>
      <c r="AF11" s="141"/>
      <c r="AG11" s="141">
        <f t="shared" si="4"/>
        <v>0</v>
      </c>
      <c r="AH11" s="141"/>
      <c r="AI11" s="141">
        <f t="shared" si="5"/>
        <v>0</v>
      </c>
    </row>
    <row r="12" spans="1:36" ht="15.75">
      <c r="A12" s="48" t="s">
        <v>20</v>
      </c>
      <c r="B12" s="48">
        <v>3.5</v>
      </c>
      <c r="C12" s="48">
        <v>80</v>
      </c>
      <c r="E12" s="109" t="s">
        <v>4</v>
      </c>
      <c r="F12" s="165">
        <v>100000</v>
      </c>
      <c r="G12" s="165">
        <v>10000000</v>
      </c>
      <c r="H12" s="165">
        <v>1000000000</v>
      </c>
      <c r="I12" s="165">
        <v>1000000000</v>
      </c>
      <c r="J12" s="165">
        <v>10000000000</v>
      </c>
      <c r="K12" s="165">
        <f t="shared" si="2"/>
        <v>100000</v>
      </c>
      <c r="L12" s="165">
        <v>10000000</v>
      </c>
      <c r="M12" s="165">
        <v>100000000</v>
      </c>
      <c r="N12" s="165">
        <v>100000000</v>
      </c>
      <c r="O12" s="165">
        <v>1000000000</v>
      </c>
      <c r="P12" s="165">
        <v>1000000000</v>
      </c>
      <c r="Q12" s="165">
        <v>100000000</v>
      </c>
      <c r="R12" s="165">
        <v>100000000</v>
      </c>
      <c r="S12" s="165">
        <v>1000000000</v>
      </c>
      <c r="T12" s="165">
        <v>100000000</v>
      </c>
      <c r="U12" s="165">
        <v>1000000000</v>
      </c>
      <c r="V12" s="165">
        <v>10000000000</v>
      </c>
      <c r="W12" s="165">
        <v>10000000000</v>
      </c>
      <c r="X12" s="165">
        <v>10000000000</v>
      </c>
      <c r="Y12" s="165">
        <f t="shared" si="6"/>
        <v>10000000000</v>
      </c>
      <c r="Z12" s="157">
        <v>1E+22</v>
      </c>
      <c r="AA12" s="157">
        <v>9.9999999999999998E+23</v>
      </c>
      <c r="AB12" s="157">
        <v>1E+16</v>
      </c>
      <c r="AC12" s="152">
        <f t="shared" si="7"/>
        <v>0.99999998999999995</v>
      </c>
      <c r="AD12" s="148">
        <v>100000000000000</v>
      </c>
      <c r="AE12" s="141">
        <f t="shared" si="3"/>
        <v>9999999</v>
      </c>
      <c r="AF12" s="141"/>
      <c r="AG12" s="141">
        <f t="shared" si="4"/>
        <v>99999</v>
      </c>
      <c r="AH12" s="141"/>
      <c r="AI12" s="141">
        <f t="shared" si="5"/>
        <v>9999</v>
      </c>
    </row>
    <row r="13" spans="1:36">
      <c r="E13" s="109" t="s">
        <v>145</v>
      </c>
      <c r="F13" s="165">
        <v>3.5498819279999998E-14</v>
      </c>
      <c r="G13" s="165">
        <v>4.2785692460000002E-16</v>
      </c>
      <c r="H13" s="165">
        <v>1.37294566E-17</v>
      </c>
      <c r="I13" s="165">
        <v>6.9021704639999997E-18</v>
      </c>
      <c r="J13" s="165">
        <v>3.2121096930000001E-19</v>
      </c>
      <c r="K13" s="165">
        <f t="shared" si="2"/>
        <v>3.5498819279999998E-14</v>
      </c>
      <c r="L13" s="165">
        <v>3.2885927990000001E-16</v>
      </c>
      <c r="M13" s="165">
        <v>4.7632356960000001E-17</v>
      </c>
      <c r="N13" s="165">
        <v>2.8082815860000003E-17</v>
      </c>
      <c r="O13" s="165">
        <v>1.9365883659999999E-17</v>
      </c>
      <c r="P13" s="165">
        <v>8.3604322150000003E-18</v>
      </c>
      <c r="Q13" s="165">
        <v>7.9159222519999996E-17</v>
      </c>
      <c r="R13" s="165">
        <v>1.844024602E-17</v>
      </c>
      <c r="S13" s="165">
        <v>6.4873805830000003E-18</v>
      </c>
      <c r="T13" s="165">
        <v>4.4236330220000001E-17</v>
      </c>
      <c r="U13" s="165">
        <v>1.7175918300000001E-17</v>
      </c>
      <c r="V13" s="165">
        <v>1.6351807910000001E-18</v>
      </c>
      <c r="W13" s="165">
        <v>1.049373011E-18</v>
      </c>
      <c r="X13" s="165">
        <v>5.2241631520000003E-19</v>
      </c>
      <c r="Y13" s="165">
        <f t="shared" si="6"/>
        <v>3.2121096930000001E-19</v>
      </c>
      <c r="Z13" s="157">
        <v>7.033988107E-32</v>
      </c>
      <c r="AA13" s="157">
        <v>4.4730253240000003E-33</v>
      </c>
      <c r="AB13" s="157">
        <v>3.8688353129999998E-24</v>
      </c>
      <c r="AC13" s="152">
        <f t="shared" si="7"/>
        <v>-864925867.45904458</v>
      </c>
      <c r="AD13" s="148">
        <v>4.4519499929999999E-23</v>
      </c>
      <c r="AE13" s="141">
        <f t="shared" si="3"/>
        <v>-0.99999989594769334</v>
      </c>
      <c r="AF13" s="141"/>
      <c r="AG13" s="141">
        <f t="shared" si="4"/>
        <v>-0.99999675737349059</v>
      </c>
      <c r="AH13" s="141"/>
      <c r="AI13" s="141">
        <f t="shared" si="5"/>
        <v>-0.99986140105978638</v>
      </c>
    </row>
    <row r="14" spans="1:36">
      <c r="E14" s="109" t="s">
        <v>141</v>
      </c>
      <c r="F14" s="165">
        <v>2.0045235509999999E-5</v>
      </c>
      <c r="G14" s="165">
        <v>1.870040223E-5</v>
      </c>
      <c r="H14" s="165">
        <v>1.1713095980000001E-5</v>
      </c>
      <c r="I14" s="165">
        <v>1.423963863E-5</v>
      </c>
      <c r="J14" s="165">
        <v>1.372821104E-5</v>
      </c>
      <c r="K14" s="165">
        <f t="shared" si="2"/>
        <v>2.0045235509999999E-5</v>
      </c>
      <c r="L14" s="165">
        <v>1.9071899419999999E-5</v>
      </c>
      <c r="M14" s="165">
        <v>1.632321543E-5</v>
      </c>
      <c r="N14" s="165">
        <v>1.8835130689999999E-5</v>
      </c>
      <c r="O14" s="165">
        <v>1.425507866E-5</v>
      </c>
      <c r="P14" s="165">
        <v>1.5619603890000002E-5</v>
      </c>
      <c r="Q14" s="165">
        <v>1.085889421E-5</v>
      </c>
      <c r="R14" s="165">
        <v>1.786813879E-5</v>
      </c>
      <c r="S14" s="165">
        <v>1.231310583E-5</v>
      </c>
      <c r="T14" s="165">
        <v>1.9268158390000001E-5</v>
      </c>
      <c r="U14" s="165">
        <v>1.7931580230000001E-5</v>
      </c>
      <c r="V14" s="165">
        <v>1.4197163190000001E-5</v>
      </c>
      <c r="W14" s="165">
        <v>1.590327458E-5</v>
      </c>
      <c r="X14" s="165">
        <v>1.4735582659999999E-5</v>
      </c>
      <c r="Y14" s="165">
        <f t="shared" si="6"/>
        <v>1.372821104E-5</v>
      </c>
      <c r="Z14" s="157">
        <v>7.3744474909999997E-6</v>
      </c>
      <c r="AA14" s="157">
        <v>5.0408818470000002E-6</v>
      </c>
      <c r="AB14" s="157">
        <v>7.0087980669999996E-6</v>
      </c>
      <c r="AC14" s="152">
        <f t="shared" si="7"/>
        <v>-0.39039126084083348</v>
      </c>
      <c r="AD14" s="148">
        <v>9.0773877379999999E-6</v>
      </c>
      <c r="AE14" s="141">
        <f t="shared" si="3"/>
        <v>-0.51458863684559364</v>
      </c>
      <c r="AF14" s="141"/>
      <c r="AG14" s="141">
        <f t="shared" si="4"/>
        <v>-0.225022337945531</v>
      </c>
      <c r="AH14" s="141"/>
      <c r="AI14" s="141">
        <f t="shared" si="5"/>
        <v>-0.3387785406597304</v>
      </c>
      <c r="AJ14" s="102" t="s">
        <v>179</v>
      </c>
    </row>
    <row r="15" spans="1:36">
      <c r="E15" s="109" t="s">
        <v>219</v>
      </c>
      <c r="F15" s="165">
        <v>564673300</v>
      </c>
      <c r="G15" s="165">
        <v>43707140000</v>
      </c>
      <c r="H15" s="165">
        <v>853136200000</v>
      </c>
      <c r="I15" s="165">
        <v>2063067000000</v>
      </c>
      <c r="J15" s="165">
        <v>42738920000000</v>
      </c>
      <c r="K15" s="165">
        <f t="shared" si="2"/>
        <v>564673300</v>
      </c>
      <c r="L15" s="165">
        <v>57994100000</v>
      </c>
      <c r="M15" s="165">
        <v>342691700000</v>
      </c>
      <c r="N15" s="165">
        <v>670699500000</v>
      </c>
      <c r="O15" s="165">
        <v>736092300000</v>
      </c>
      <c r="P15" s="165">
        <v>1868277000000</v>
      </c>
      <c r="Q15" s="165">
        <v>137177900000</v>
      </c>
      <c r="R15" s="165">
        <v>968975100000</v>
      </c>
      <c r="S15" s="165">
        <v>1898009000000</v>
      </c>
      <c r="T15" s="165">
        <v>435573200000</v>
      </c>
      <c r="U15" s="165">
        <v>1043995000000</v>
      </c>
      <c r="V15" s="165">
        <v>8682320000000</v>
      </c>
      <c r="W15" s="165">
        <v>15155030000000</v>
      </c>
      <c r="X15" s="165">
        <v>28206590000000</v>
      </c>
      <c r="Y15" s="165">
        <f t="shared" si="6"/>
        <v>42738920000000</v>
      </c>
      <c r="Z15" s="157">
        <v>1.0484020000000001E+26</v>
      </c>
      <c r="AA15" s="157">
        <v>1.126951E+27</v>
      </c>
      <c r="AB15" s="157">
        <v>1.811604E+18</v>
      </c>
      <c r="AC15" s="152">
        <f t="shared" si="7"/>
        <v>0.99999999839247311</v>
      </c>
      <c r="AD15" s="148">
        <v>2.038969E+17</v>
      </c>
      <c r="AE15" s="141">
        <f t="shared" si="3"/>
        <v>4665069.741302222</v>
      </c>
      <c r="AF15" s="141"/>
      <c r="AG15" s="141">
        <f t="shared" si="4"/>
        <v>238995.89170381002</v>
      </c>
      <c r="AH15" s="141"/>
      <c r="AI15" s="141">
        <f t="shared" si="5"/>
        <v>4769.7546189749301</v>
      </c>
    </row>
    <row r="16" spans="1:36" s="134" customFormat="1">
      <c r="E16" s="135" t="s">
        <v>13</v>
      </c>
      <c r="F16" s="166">
        <v>3</v>
      </c>
      <c r="G16" s="166">
        <v>0</v>
      </c>
      <c r="H16" s="199">
        <v>0</v>
      </c>
      <c r="I16" s="199">
        <v>0</v>
      </c>
      <c r="J16" s="199">
        <v>0</v>
      </c>
      <c r="K16" s="197">
        <v>3</v>
      </c>
      <c r="L16" s="197">
        <v>1</v>
      </c>
      <c r="M16" s="197">
        <v>0.5</v>
      </c>
      <c r="N16" s="119">
        <v>0.5</v>
      </c>
      <c r="O16" s="119">
        <v>0</v>
      </c>
      <c r="P16" s="119">
        <v>0</v>
      </c>
      <c r="Q16" s="119">
        <v>1</v>
      </c>
      <c r="R16" s="119">
        <v>1</v>
      </c>
      <c r="S16" s="197">
        <v>0</v>
      </c>
      <c r="T16" s="197">
        <v>1.5</v>
      </c>
      <c r="U16" s="197">
        <v>1</v>
      </c>
      <c r="V16" s="197">
        <v>0</v>
      </c>
      <c r="W16" s="197">
        <v>0</v>
      </c>
      <c r="X16" s="197">
        <v>0</v>
      </c>
      <c r="Y16" s="198">
        <v>0</v>
      </c>
      <c r="Z16" s="158"/>
      <c r="AA16" s="158"/>
      <c r="AB16" s="158"/>
      <c r="AC16" s="120"/>
      <c r="AD16" s="149">
        <v>0</v>
      </c>
      <c r="AE16" s="140"/>
      <c r="AF16" s="140"/>
      <c r="AG16" s="140"/>
      <c r="AH16" s="140"/>
      <c r="AI16" s="140"/>
    </row>
    <row r="17" spans="5:35">
      <c r="E17" s="109" t="s">
        <v>33</v>
      </c>
      <c r="F17" s="121">
        <v>0</v>
      </c>
      <c r="G17" s="121">
        <v>3</v>
      </c>
      <c r="H17" s="122">
        <v>0</v>
      </c>
      <c r="I17" s="122">
        <v>0</v>
      </c>
      <c r="J17" s="122">
        <v>0</v>
      </c>
      <c r="K17" s="127">
        <v>0</v>
      </c>
      <c r="L17" s="167">
        <v>1</v>
      </c>
      <c r="M17" s="167">
        <v>0.5</v>
      </c>
      <c r="N17" s="108">
        <v>0</v>
      </c>
      <c r="O17" s="108">
        <v>0.5</v>
      </c>
      <c r="P17" s="108">
        <v>0.5</v>
      </c>
      <c r="Q17" s="108">
        <v>1</v>
      </c>
      <c r="R17" s="108">
        <v>0</v>
      </c>
      <c r="S17" s="167">
        <v>1</v>
      </c>
      <c r="T17" s="167">
        <v>0</v>
      </c>
      <c r="U17" s="119">
        <v>0.5</v>
      </c>
      <c r="V17" s="119">
        <v>0</v>
      </c>
      <c r="W17" s="119">
        <v>0.5</v>
      </c>
      <c r="X17" s="119">
        <v>0</v>
      </c>
      <c r="Y17" s="129">
        <v>0</v>
      </c>
      <c r="Z17" s="159"/>
      <c r="AA17" s="159"/>
      <c r="AB17" s="159"/>
      <c r="AC17" s="119"/>
      <c r="AD17" s="150">
        <v>1</v>
      </c>
      <c r="AE17" s="142"/>
      <c r="AF17" s="142"/>
      <c r="AG17" s="142"/>
      <c r="AH17" s="142"/>
      <c r="AI17" s="142"/>
    </row>
    <row r="18" spans="5:35" s="178" customFormat="1">
      <c r="E18" s="175" t="s">
        <v>14</v>
      </c>
      <c r="F18" s="158">
        <v>0</v>
      </c>
      <c r="G18" s="158">
        <v>0</v>
      </c>
      <c r="H18" s="176">
        <v>3</v>
      </c>
      <c r="I18" s="176">
        <v>0</v>
      </c>
      <c r="J18" s="176">
        <v>0</v>
      </c>
      <c r="K18" s="158">
        <v>0</v>
      </c>
      <c r="L18" s="158">
        <v>1</v>
      </c>
      <c r="M18" s="158">
        <v>2</v>
      </c>
      <c r="N18" s="158">
        <v>2.5</v>
      </c>
      <c r="O18" s="158">
        <v>2.5</v>
      </c>
      <c r="P18" s="158">
        <v>2</v>
      </c>
      <c r="Q18" s="158">
        <v>0</v>
      </c>
      <c r="R18" s="158">
        <v>1</v>
      </c>
      <c r="S18" s="158">
        <v>1</v>
      </c>
      <c r="T18" s="158">
        <v>0</v>
      </c>
      <c r="U18" s="158">
        <v>0</v>
      </c>
      <c r="V18" s="158">
        <v>1.5</v>
      </c>
      <c r="W18" s="158">
        <v>0.5</v>
      </c>
      <c r="X18" s="158">
        <v>0.5</v>
      </c>
      <c r="Y18" s="176">
        <v>0</v>
      </c>
      <c r="Z18" s="158"/>
      <c r="AA18" s="158"/>
      <c r="AB18" s="158"/>
      <c r="AC18" s="158"/>
      <c r="AD18" s="158">
        <v>1</v>
      </c>
      <c r="AE18" s="177"/>
      <c r="AF18" s="177"/>
      <c r="AG18" s="177"/>
      <c r="AH18" s="177"/>
      <c r="AI18" s="177"/>
    </row>
    <row r="19" spans="5:35" s="134" customFormat="1">
      <c r="E19" s="135" t="s">
        <v>196</v>
      </c>
      <c r="F19" s="123">
        <v>0</v>
      </c>
      <c r="G19" s="123">
        <v>0</v>
      </c>
      <c r="H19" s="136">
        <v>0</v>
      </c>
      <c r="I19" s="136">
        <v>3</v>
      </c>
      <c r="J19" s="136">
        <v>0</v>
      </c>
      <c r="K19" s="128">
        <v>0</v>
      </c>
      <c r="L19" s="166">
        <v>0</v>
      </c>
      <c r="M19" s="166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66">
        <v>0</v>
      </c>
      <c r="T19" s="166">
        <v>0</v>
      </c>
      <c r="U19" s="120">
        <v>0</v>
      </c>
      <c r="V19" s="120">
        <v>0</v>
      </c>
      <c r="W19" s="120">
        <v>0</v>
      </c>
      <c r="X19" s="120">
        <v>0</v>
      </c>
      <c r="Y19" s="137">
        <v>0</v>
      </c>
      <c r="Z19" s="158"/>
      <c r="AA19" s="158"/>
      <c r="AB19" s="158"/>
      <c r="AC19" s="120"/>
      <c r="AD19" s="149"/>
      <c r="AE19" s="140"/>
      <c r="AF19" s="140"/>
      <c r="AG19" s="140"/>
      <c r="AH19" s="140"/>
      <c r="AI19" s="140"/>
    </row>
    <row r="20" spans="5:35" s="204" customFormat="1">
      <c r="E20" s="200" t="s">
        <v>34</v>
      </c>
      <c r="F20" s="201">
        <v>0</v>
      </c>
      <c r="G20" s="201">
        <v>0</v>
      </c>
      <c r="H20" s="202">
        <v>0</v>
      </c>
      <c r="I20" s="202">
        <v>0</v>
      </c>
      <c r="J20" s="202">
        <v>3</v>
      </c>
      <c r="K20" s="201">
        <v>0</v>
      </c>
      <c r="L20" s="201">
        <v>0</v>
      </c>
      <c r="M20" s="201">
        <v>0</v>
      </c>
      <c r="N20" s="201">
        <v>0</v>
      </c>
      <c r="O20" s="201">
        <v>0</v>
      </c>
      <c r="P20" s="201">
        <v>0.5</v>
      </c>
      <c r="Q20" s="201">
        <v>1</v>
      </c>
      <c r="R20" s="201">
        <v>1</v>
      </c>
      <c r="S20" s="201">
        <v>1</v>
      </c>
      <c r="T20" s="201">
        <v>1.5</v>
      </c>
      <c r="U20" s="201">
        <v>1.5</v>
      </c>
      <c r="V20" s="201">
        <v>1.5</v>
      </c>
      <c r="W20" s="201">
        <v>2</v>
      </c>
      <c r="X20" s="201">
        <v>2.5</v>
      </c>
      <c r="Y20" s="202">
        <v>3</v>
      </c>
      <c r="Z20" s="201"/>
      <c r="AA20" s="201"/>
      <c r="AB20" s="201"/>
      <c r="AC20" s="201"/>
      <c r="AD20" s="201">
        <v>1</v>
      </c>
      <c r="AE20" s="203"/>
      <c r="AF20" s="203"/>
      <c r="AG20" s="203"/>
      <c r="AH20" s="203"/>
      <c r="AI20" s="203"/>
    </row>
    <row r="21" spans="5:35" s="134" customFormat="1">
      <c r="E21" s="135" t="s">
        <v>151</v>
      </c>
      <c r="F21" s="123">
        <f t="shared" ref="F21:M21" si="8">SUM(F16:F20)</f>
        <v>3</v>
      </c>
      <c r="G21" s="123">
        <f t="shared" si="8"/>
        <v>3</v>
      </c>
      <c r="H21" s="123">
        <f t="shared" si="8"/>
        <v>3</v>
      </c>
      <c r="I21" s="123">
        <f t="shared" si="8"/>
        <v>3</v>
      </c>
      <c r="J21" s="123">
        <f t="shared" si="8"/>
        <v>3</v>
      </c>
      <c r="K21" s="128">
        <f t="shared" si="8"/>
        <v>3</v>
      </c>
      <c r="L21" s="166">
        <f t="shared" si="8"/>
        <v>3</v>
      </c>
      <c r="M21" s="166">
        <f t="shared" si="8"/>
        <v>3</v>
      </c>
      <c r="N21" s="120">
        <f>SUM(N16:N20)</f>
        <v>3</v>
      </c>
      <c r="O21" s="120">
        <f>SUM(O16:O20)</f>
        <v>3</v>
      </c>
      <c r="P21" s="120">
        <v>3</v>
      </c>
      <c r="Q21" s="120">
        <f t="shared" ref="Q21:Y21" si="9">SUM(Q16:Q20)</f>
        <v>3</v>
      </c>
      <c r="R21" s="120">
        <f t="shared" si="9"/>
        <v>3</v>
      </c>
      <c r="S21" s="166">
        <f t="shared" si="9"/>
        <v>3</v>
      </c>
      <c r="T21" s="166">
        <f t="shared" si="9"/>
        <v>3</v>
      </c>
      <c r="U21" s="120">
        <f t="shared" si="9"/>
        <v>3</v>
      </c>
      <c r="V21" s="120">
        <f t="shared" si="9"/>
        <v>3</v>
      </c>
      <c r="W21" s="120">
        <f t="shared" si="9"/>
        <v>3</v>
      </c>
      <c r="X21" s="120">
        <f t="shared" si="9"/>
        <v>3</v>
      </c>
      <c r="Y21" s="128">
        <f t="shared" si="9"/>
        <v>3</v>
      </c>
      <c r="Z21" s="158"/>
      <c r="AA21" s="158"/>
      <c r="AB21" s="158"/>
      <c r="AC21" s="120"/>
      <c r="AD21" s="149">
        <f>SUM(AD16:AD20)</f>
        <v>3</v>
      </c>
      <c r="AE21" s="140"/>
      <c r="AF21" s="140"/>
      <c r="AG21" s="140"/>
      <c r="AH21" s="140"/>
      <c r="AI21" s="140"/>
    </row>
    <row r="22" spans="5:35" ht="14.45" customHeight="1">
      <c r="E22" s="109" t="s">
        <v>153</v>
      </c>
      <c r="F22" s="123" t="s">
        <v>23</v>
      </c>
      <c r="G22" s="123" t="s">
        <v>195</v>
      </c>
      <c r="H22" s="136" t="s">
        <v>21</v>
      </c>
      <c r="I22" s="136" t="s">
        <v>26</v>
      </c>
      <c r="J22" s="136" t="s">
        <v>20</v>
      </c>
      <c r="K22" s="128"/>
      <c r="L22" s="166" t="s">
        <v>66</v>
      </c>
      <c r="M22" s="166" t="s">
        <v>67</v>
      </c>
      <c r="N22" s="120" t="s">
        <v>68</v>
      </c>
      <c r="O22" s="120" t="s">
        <v>220</v>
      </c>
      <c r="P22" s="120" t="s">
        <v>69</v>
      </c>
      <c r="Q22" s="120" t="s">
        <v>70</v>
      </c>
      <c r="R22" s="120" t="s">
        <v>71</v>
      </c>
      <c r="S22" s="166" t="s">
        <v>72</v>
      </c>
      <c r="T22" s="166" t="s">
        <v>154</v>
      </c>
      <c r="U22" s="120" t="s">
        <v>155</v>
      </c>
      <c r="V22" s="120" t="s">
        <v>156</v>
      </c>
      <c r="W22" s="120" t="s">
        <v>192</v>
      </c>
      <c r="X22" s="120" t="s">
        <v>194</v>
      </c>
      <c r="Y22" s="130"/>
      <c r="Z22" s="158"/>
      <c r="AA22" s="158"/>
      <c r="AB22" s="158"/>
      <c r="AC22" s="120"/>
      <c r="AD22" s="149" t="s">
        <v>72</v>
      </c>
      <c r="AE22" s="140"/>
      <c r="AF22" s="140"/>
      <c r="AG22" s="140"/>
      <c r="AH22" s="140"/>
      <c r="AI22" s="140"/>
    </row>
    <row r="23" spans="5:35">
      <c r="L23" s="170"/>
      <c r="M23" s="170"/>
      <c r="N23" s="171"/>
      <c r="O23" s="171"/>
      <c r="P23" s="171"/>
      <c r="Q23" s="171" t="s">
        <v>197</v>
      </c>
      <c r="R23" s="171"/>
      <c r="S23" s="170"/>
      <c r="T23" s="170" t="s">
        <v>197</v>
      </c>
      <c r="U23" s="170" t="s">
        <v>197</v>
      </c>
      <c r="V23" s="170"/>
      <c r="W23" s="170"/>
      <c r="X23" s="170"/>
      <c r="Z23" s="172"/>
      <c r="AA23" s="172"/>
      <c r="AB23" s="172"/>
      <c r="AC23" s="171"/>
      <c r="AD23" s="173"/>
      <c r="AE23" s="174"/>
      <c r="AF23" s="174"/>
      <c r="AG23" s="174"/>
      <c r="AH23" s="174"/>
      <c r="AI23" s="174"/>
    </row>
    <row r="24" spans="5:35">
      <c r="E24" s="185" t="s">
        <v>198</v>
      </c>
      <c r="F24" s="186"/>
      <c r="G24" s="186"/>
      <c r="H24" s="187"/>
      <c r="I24" s="187"/>
      <c r="J24" s="187"/>
      <c r="K24" s="188"/>
      <c r="L24" s="189"/>
      <c r="M24" s="189">
        <f>COUNTIF(M16:M20,"&gt;0")</f>
        <v>3</v>
      </c>
      <c r="N24" s="190">
        <f>COUNTIF(N16:N20,"&gt;0")</f>
        <v>2</v>
      </c>
      <c r="O24" s="190"/>
      <c r="P24" s="190">
        <f t="shared" ref="P24:X24" si="10">COUNTIF(P16:P20,"&gt;0")</f>
        <v>3</v>
      </c>
      <c r="Q24" s="190">
        <f t="shared" si="10"/>
        <v>3</v>
      </c>
      <c r="R24" s="190">
        <f t="shared" si="10"/>
        <v>3</v>
      </c>
      <c r="S24" s="189">
        <f t="shared" si="10"/>
        <v>3</v>
      </c>
      <c r="T24" s="189">
        <f t="shared" si="10"/>
        <v>2</v>
      </c>
      <c r="U24" s="190">
        <f t="shared" si="10"/>
        <v>3</v>
      </c>
      <c r="V24" s="190">
        <f t="shared" si="10"/>
        <v>2</v>
      </c>
      <c r="W24" s="190">
        <f t="shared" si="10"/>
        <v>3</v>
      </c>
      <c r="X24" s="190">
        <f t="shared" si="10"/>
        <v>2</v>
      </c>
      <c r="Z24" s="172"/>
      <c r="AA24" s="172"/>
      <c r="AB24" s="172"/>
      <c r="AC24" s="171"/>
      <c r="AD24" s="173"/>
      <c r="AE24" s="174"/>
      <c r="AF24" s="174"/>
      <c r="AG24" s="174"/>
      <c r="AH24" s="174"/>
      <c r="AI24" s="174"/>
    </row>
    <row r="25" spans="5:35">
      <c r="E25" s="109" t="s">
        <v>208</v>
      </c>
      <c r="F25" s="123" t="str">
        <f>F22</f>
        <v>SiO2</v>
      </c>
      <c r="G25" s="123" t="str">
        <f>G22</f>
        <v>Al2O3</v>
      </c>
      <c r="H25" s="123" t="str">
        <f>H22</f>
        <v>HfO2</v>
      </c>
      <c r="I25" s="123" t="str">
        <f>I22</f>
        <v>La2O3</v>
      </c>
      <c r="J25" s="123" t="str">
        <f>J22</f>
        <v>TiO2</v>
      </c>
      <c r="K25" s="128" t="str">
        <f>F25</f>
        <v>SiO2</v>
      </c>
      <c r="L25" s="166" t="str">
        <f>L22</f>
        <v>A</v>
      </c>
      <c r="M25" s="166" t="str">
        <f t="shared" ref="M25:X25" si="11">M22</f>
        <v>B</v>
      </c>
      <c r="N25" s="166" t="str">
        <f t="shared" si="11"/>
        <v>C</v>
      </c>
      <c r="O25" s="166" t="s">
        <v>220</v>
      </c>
      <c r="P25" s="166" t="s">
        <v>69</v>
      </c>
      <c r="Q25" s="166" t="str">
        <f t="shared" si="11"/>
        <v>E</v>
      </c>
      <c r="R25" s="166" t="str">
        <f t="shared" si="11"/>
        <v>F</v>
      </c>
      <c r="S25" s="166" t="str">
        <f t="shared" si="11"/>
        <v>G</v>
      </c>
      <c r="T25" s="166" t="str">
        <f t="shared" si="11"/>
        <v>H</v>
      </c>
      <c r="U25" s="166" t="str">
        <f t="shared" si="11"/>
        <v>J</v>
      </c>
      <c r="V25" s="166" t="str">
        <f t="shared" si="11"/>
        <v>K</v>
      </c>
      <c r="W25" s="166" t="str">
        <f t="shared" si="11"/>
        <v>L</v>
      </c>
      <c r="X25" s="166" t="str">
        <f t="shared" si="11"/>
        <v>M</v>
      </c>
      <c r="Y25" s="129" t="str">
        <f>J25</f>
        <v>TiO2</v>
      </c>
      <c r="Z25" s="172"/>
      <c r="AA25" s="172"/>
      <c r="AB25" s="172"/>
      <c r="AC25" s="171"/>
      <c r="AD25" s="173"/>
      <c r="AE25" s="174"/>
      <c r="AF25" s="174"/>
      <c r="AG25" s="174"/>
      <c r="AH25" s="174"/>
      <c r="AI25" s="174"/>
    </row>
    <row r="26" spans="5:35">
      <c r="E26" s="109" t="s">
        <v>207</v>
      </c>
      <c r="F26" s="191">
        <f>1/(F7*F9^2*F6^3)*LOG10(F15)*1000</f>
        <v>1.7435307908169231</v>
      </c>
      <c r="G26" s="191">
        <f t="shared" ref="G26:Y26" si="12">1/(G7*G9^2*G6^3)*LOG10(G15)*1000</f>
        <v>1.6556933022866323</v>
      </c>
      <c r="H26" s="191">
        <f t="shared" si="12"/>
        <v>2.8175283006248075</v>
      </c>
      <c r="I26" s="191">
        <f t="shared" si="12"/>
        <v>3.7861759973956066</v>
      </c>
      <c r="J26" s="191">
        <f t="shared" si="12"/>
        <v>8.421996180064184</v>
      </c>
      <c r="K26" s="191">
        <f t="shared" si="12"/>
        <v>1.7435307908169231</v>
      </c>
      <c r="L26" s="191">
        <f t="shared" si="12"/>
        <v>1.6316002104712681</v>
      </c>
      <c r="M26" s="191">
        <f t="shared" si="12"/>
        <v>3.4427610560049509</v>
      </c>
      <c r="N26" s="191">
        <f t="shared" si="12"/>
        <v>3.9769235888723182</v>
      </c>
      <c r="O26" s="191">
        <f t="shared" si="12"/>
        <v>2.4849067353282712</v>
      </c>
      <c r="P26" s="191">
        <f t="shared" si="12"/>
        <v>3.1965364354809136</v>
      </c>
      <c r="Q26" s="191">
        <f t="shared" si="12"/>
        <v>2.3034834219297564</v>
      </c>
      <c r="R26" s="191">
        <f t="shared" si="12"/>
        <v>3.8217967055737141</v>
      </c>
      <c r="S26" s="191">
        <f t="shared" si="12"/>
        <v>3.2200824613269194</v>
      </c>
      <c r="T26" s="191">
        <f t="shared" si="12"/>
        <v>2.4540462519144173</v>
      </c>
      <c r="U26" s="191">
        <f t="shared" si="12"/>
        <v>3.7414521207517901</v>
      </c>
      <c r="V26" s="191">
        <f t="shared" si="12"/>
        <v>5.7900850251476514</v>
      </c>
      <c r="W26" s="191">
        <f t="shared" si="12"/>
        <v>5.675313133074984</v>
      </c>
      <c r="X26" s="191">
        <f t="shared" si="12"/>
        <v>7.2807855284558798</v>
      </c>
      <c r="Y26" s="191">
        <f t="shared" si="12"/>
        <v>8.421996180064184</v>
      </c>
      <c r="Z26" s="172"/>
      <c r="AA26" s="172"/>
      <c r="AB26" s="172"/>
      <c r="AC26" s="171"/>
      <c r="AD26" s="173"/>
      <c r="AE26" s="174"/>
      <c r="AF26" s="174"/>
      <c r="AG26" s="174"/>
      <c r="AH26" s="174"/>
      <c r="AI26" s="174"/>
    </row>
    <row r="29" spans="5:35" ht="15">
      <c r="E29" s="193" t="s">
        <v>208</v>
      </c>
      <c r="F29" s="194" t="str">
        <f t="shared" ref="F29:J30" si="13">F25</f>
        <v>SiO2</v>
      </c>
      <c r="G29" s="194" t="str">
        <f t="shared" si="13"/>
        <v>Al2O3</v>
      </c>
      <c r="H29" s="194" t="str">
        <f t="shared" si="13"/>
        <v>HfO2</v>
      </c>
      <c r="I29" s="194" t="str">
        <f t="shared" si="13"/>
        <v>La2O3</v>
      </c>
      <c r="J29" s="194" t="str">
        <f t="shared" si="13"/>
        <v>TiO2</v>
      </c>
      <c r="K29" s="194" t="str">
        <f t="shared" ref="K29:W30" si="14">L25</f>
        <v>A</v>
      </c>
      <c r="L29" s="194" t="str">
        <f t="shared" si="14"/>
        <v>B</v>
      </c>
      <c r="M29" s="194" t="str">
        <f t="shared" si="14"/>
        <v>C</v>
      </c>
      <c r="N29" s="194" t="str">
        <f>P25</f>
        <v>D</v>
      </c>
      <c r="O29" s="194"/>
      <c r="P29" s="194" t="str">
        <f t="shared" si="14"/>
        <v>E</v>
      </c>
      <c r="Q29" s="194" t="str">
        <f>R25</f>
        <v>F</v>
      </c>
      <c r="R29" s="194" t="str">
        <f>S25</f>
        <v>G</v>
      </c>
      <c r="S29" s="194" t="str">
        <f t="shared" si="14"/>
        <v>H</v>
      </c>
      <c r="T29" s="194" t="str">
        <f t="shared" si="14"/>
        <v>J</v>
      </c>
      <c r="U29" s="194" t="str">
        <f t="shared" si="14"/>
        <v>K</v>
      </c>
      <c r="V29" s="194" t="str">
        <f t="shared" si="14"/>
        <v>L</v>
      </c>
      <c r="W29" s="194" t="str">
        <f t="shared" si="14"/>
        <v>M</v>
      </c>
      <c r="X29" s="194"/>
    </row>
    <row r="30" spans="5:35" ht="15">
      <c r="E30" s="193" t="s">
        <v>207</v>
      </c>
      <c r="F30" s="195">
        <f t="shared" si="13"/>
        <v>1.7435307908169231</v>
      </c>
      <c r="G30" s="195">
        <f t="shared" si="13"/>
        <v>1.6556933022866323</v>
      </c>
      <c r="H30" s="195">
        <f t="shared" si="13"/>
        <v>2.8175283006248075</v>
      </c>
      <c r="I30" s="195">
        <f t="shared" si="13"/>
        <v>3.7861759973956066</v>
      </c>
      <c r="J30" s="195">
        <f t="shared" si="13"/>
        <v>8.421996180064184</v>
      </c>
      <c r="K30" s="195">
        <f t="shared" si="14"/>
        <v>1.6316002104712681</v>
      </c>
      <c r="L30" s="195">
        <f t="shared" si="14"/>
        <v>3.4427610560049509</v>
      </c>
      <c r="M30" s="195">
        <f t="shared" si="14"/>
        <v>3.9769235888723182</v>
      </c>
      <c r="N30" s="195">
        <f>P26</f>
        <v>3.1965364354809136</v>
      </c>
      <c r="O30" s="195"/>
      <c r="P30" s="195">
        <f t="shared" si="14"/>
        <v>2.3034834219297564</v>
      </c>
      <c r="Q30" s="195">
        <f>R26</f>
        <v>3.8217967055737141</v>
      </c>
      <c r="R30" s="195">
        <f>S26</f>
        <v>3.2200824613269194</v>
      </c>
      <c r="S30" s="195">
        <f t="shared" si="14"/>
        <v>2.4540462519144173</v>
      </c>
      <c r="T30" s="195">
        <f t="shared" si="14"/>
        <v>3.7414521207517901</v>
      </c>
      <c r="U30" s="195">
        <f t="shared" si="14"/>
        <v>5.7900850251476514</v>
      </c>
      <c r="V30" s="195">
        <f t="shared" si="14"/>
        <v>5.675313133074984</v>
      </c>
      <c r="W30" s="195">
        <f t="shared" si="14"/>
        <v>7.2807855284558798</v>
      </c>
      <c r="X30" s="195"/>
    </row>
    <row r="33" spans="5:58" ht="15">
      <c r="E33" s="193" t="s">
        <v>208</v>
      </c>
      <c r="F33" s="194" t="s">
        <v>23</v>
      </c>
      <c r="G33" s="194" t="s">
        <v>195</v>
      </c>
      <c r="H33" s="194" t="s">
        <v>21</v>
      </c>
      <c r="I33" s="194" t="s">
        <v>26</v>
      </c>
      <c r="J33" s="194" t="s">
        <v>20</v>
      </c>
      <c r="K33" s="194" t="s">
        <v>66</v>
      </c>
      <c r="L33" s="194" t="s">
        <v>67</v>
      </c>
      <c r="M33" s="194" t="s">
        <v>68</v>
      </c>
      <c r="N33" s="194" t="s">
        <v>69</v>
      </c>
      <c r="O33" s="194"/>
      <c r="P33" s="194" t="s">
        <v>70</v>
      </c>
      <c r="Q33" s="194" t="s">
        <v>71</v>
      </c>
      <c r="R33" s="194" t="s">
        <v>72</v>
      </c>
      <c r="S33" s="194" t="s">
        <v>154</v>
      </c>
      <c r="T33" s="194" t="s">
        <v>155</v>
      </c>
      <c r="U33" s="194" t="s">
        <v>156</v>
      </c>
      <c r="V33" s="194" t="s">
        <v>192</v>
      </c>
      <c r="W33" s="194" t="s">
        <v>194</v>
      </c>
      <c r="X33" s="194"/>
    </row>
    <row r="34" spans="5:58" ht="15">
      <c r="E34" s="193" t="s">
        <v>207</v>
      </c>
      <c r="F34" s="195">
        <v>1.3650788947414774</v>
      </c>
      <c r="G34" s="195">
        <v>1.9682949061120321</v>
      </c>
      <c r="H34" s="195">
        <v>8.3065190909133904</v>
      </c>
      <c r="I34" s="195">
        <v>2.2124356973465851</v>
      </c>
      <c r="J34" s="195">
        <v>8.5556164471982648</v>
      </c>
      <c r="K34" s="195">
        <v>2.9989968049116347</v>
      </c>
      <c r="L34" s="195">
        <v>2.2549814000038353</v>
      </c>
      <c r="M34" s="195">
        <v>7.9244487946162971</v>
      </c>
      <c r="N34" s="195">
        <v>10.56541107189117</v>
      </c>
      <c r="O34" s="195"/>
      <c r="P34" s="195">
        <v>-9.1640610512162643E-2</v>
      </c>
      <c r="Q34" s="195">
        <v>4.9149936396199063</v>
      </c>
      <c r="R34" s="195">
        <v>11.592210143766989</v>
      </c>
      <c r="S34" s="195">
        <v>3.0914347745448993</v>
      </c>
      <c r="T34" s="195">
        <v>-0.33306489462359323</v>
      </c>
      <c r="U34" s="195">
        <v>5.3029694271291214</v>
      </c>
      <c r="V34" s="195">
        <v>5.3312225661302799</v>
      </c>
      <c r="W34" s="195">
        <v>8.7999018229524211</v>
      </c>
      <c r="X34" s="195"/>
    </row>
    <row r="37" spans="5:58" ht="15">
      <c r="E37" s="193" t="s">
        <v>208</v>
      </c>
      <c r="F37" s="193" t="s">
        <v>207</v>
      </c>
    </row>
    <row r="38" spans="5:58" ht="15">
      <c r="E38" s="194" t="s">
        <v>23</v>
      </c>
      <c r="F38" s="195">
        <f>F26</f>
        <v>1.7435307908169231</v>
      </c>
      <c r="AM38" s="103" t="s">
        <v>153</v>
      </c>
      <c r="AN38" s="103" t="s">
        <v>23</v>
      </c>
      <c r="AO38" s="103" t="s">
        <v>195</v>
      </c>
      <c r="AP38" s="103" t="s">
        <v>21</v>
      </c>
      <c r="AQ38" s="103" t="s">
        <v>26</v>
      </c>
      <c r="AR38" s="103" t="s">
        <v>20</v>
      </c>
      <c r="AS38" s="103" t="s">
        <v>204</v>
      </c>
      <c r="AT38" s="103" t="s">
        <v>66</v>
      </c>
      <c r="AU38" s="103" t="s">
        <v>67</v>
      </c>
      <c r="AV38" s="103" t="s">
        <v>68</v>
      </c>
      <c r="AW38" s="103" t="s">
        <v>69</v>
      </c>
      <c r="AX38" s="103" t="s">
        <v>70</v>
      </c>
      <c r="AY38" s="103" t="s">
        <v>71</v>
      </c>
      <c r="AZ38" s="103" t="s">
        <v>72</v>
      </c>
      <c r="BA38" s="103" t="s">
        <v>154</v>
      </c>
      <c r="BB38" s="103" t="s">
        <v>155</v>
      </c>
      <c r="BC38" s="103" t="s">
        <v>156</v>
      </c>
      <c r="BD38" s="103" t="s">
        <v>192</v>
      </c>
      <c r="BE38" s="103" t="s">
        <v>194</v>
      </c>
      <c r="BF38" s="103" t="s">
        <v>205</v>
      </c>
    </row>
    <row r="39" spans="5:58" ht="15">
      <c r="E39" s="194" t="s">
        <v>195</v>
      </c>
      <c r="F39" s="195">
        <f>G26</f>
        <v>1.6556933022866323</v>
      </c>
      <c r="AM39" s="103" t="s">
        <v>150</v>
      </c>
      <c r="AN39" s="184">
        <v>3.9</v>
      </c>
      <c r="AO39" s="184">
        <v>12</v>
      </c>
      <c r="AP39" s="184">
        <v>22</v>
      </c>
      <c r="AQ39" s="184">
        <v>27</v>
      </c>
      <c r="AR39" s="184">
        <v>80</v>
      </c>
      <c r="AS39" s="184">
        <v>3.9</v>
      </c>
      <c r="AT39" s="184">
        <v>12.633333333333333</v>
      </c>
      <c r="AU39" s="184">
        <v>17.316666666666666</v>
      </c>
      <c r="AV39" s="184">
        <v>20.333333333333332</v>
      </c>
      <c r="AW39" s="184">
        <v>30</v>
      </c>
      <c r="AX39" s="184">
        <v>31.966666666666669</v>
      </c>
      <c r="AY39" s="184">
        <v>35.300000000000004</v>
      </c>
      <c r="AZ39" s="184">
        <v>38</v>
      </c>
      <c r="BA39" s="184">
        <v>41.949999999999996</v>
      </c>
      <c r="BB39" s="184">
        <v>43.300000000000004</v>
      </c>
      <c r="BC39" s="184">
        <v>51</v>
      </c>
      <c r="BD39" s="184">
        <v>59</v>
      </c>
      <c r="BE39" s="184">
        <v>70.333333333333329</v>
      </c>
      <c r="BF39" s="184">
        <v>80</v>
      </c>
    </row>
    <row r="40" spans="5:58" ht="15">
      <c r="E40" s="194" t="s">
        <v>21</v>
      </c>
      <c r="F40" s="195">
        <f>H26</f>
        <v>2.8175283006248075</v>
      </c>
      <c r="AM40" s="103" t="s">
        <v>13</v>
      </c>
      <c r="AN40" s="103">
        <v>3</v>
      </c>
      <c r="AO40" s="103">
        <v>0</v>
      </c>
      <c r="AP40" s="103">
        <v>0</v>
      </c>
      <c r="AQ40" s="103">
        <v>0</v>
      </c>
      <c r="AR40" s="103">
        <v>0</v>
      </c>
      <c r="AS40" s="103">
        <v>3</v>
      </c>
      <c r="AT40" s="103">
        <v>1</v>
      </c>
      <c r="AU40" s="103">
        <v>0.5</v>
      </c>
      <c r="AV40" s="103">
        <v>0</v>
      </c>
      <c r="AW40" s="103">
        <v>0</v>
      </c>
      <c r="AX40" s="103">
        <v>1</v>
      </c>
      <c r="AY40" s="103">
        <v>1</v>
      </c>
      <c r="AZ40" s="103">
        <v>0</v>
      </c>
      <c r="BA40" s="103">
        <v>1.5</v>
      </c>
      <c r="BB40" s="103">
        <v>1</v>
      </c>
      <c r="BC40" s="103">
        <v>0</v>
      </c>
      <c r="BD40" s="103">
        <v>0</v>
      </c>
      <c r="BE40" s="103">
        <v>0</v>
      </c>
      <c r="BF40" s="103">
        <v>0</v>
      </c>
    </row>
    <row r="41" spans="5:58" ht="15">
      <c r="E41" s="194" t="s">
        <v>26</v>
      </c>
      <c r="F41" s="195">
        <f>I26</f>
        <v>3.7861759973956066</v>
      </c>
      <c r="AM41" s="103" t="s">
        <v>33</v>
      </c>
      <c r="AN41" s="103">
        <v>0</v>
      </c>
      <c r="AO41" s="103">
        <v>3</v>
      </c>
      <c r="AP41" s="103">
        <v>0</v>
      </c>
      <c r="AQ41" s="103">
        <v>0</v>
      </c>
      <c r="AR41" s="103">
        <v>0</v>
      </c>
      <c r="AS41" s="103">
        <v>0</v>
      </c>
      <c r="AT41" s="103">
        <v>1</v>
      </c>
      <c r="AU41" s="103">
        <v>0.5</v>
      </c>
      <c r="AV41" s="103">
        <v>0.5</v>
      </c>
      <c r="AW41" s="103">
        <v>0.5</v>
      </c>
      <c r="AX41" s="103">
        <v>1</v>
      </c>
      <c r="AY41" s="103">
        <v>0</v>
      </c>
      <c r="AZ41" s="103">
        <v>1</v>
      </c>
      <c r="BA41" s="103">
        <v>0</v>
      </c>
      <c r="BB41" s="103">
        <v>0.5</v>
      </c>
      <c r="BC41" s="103">
        <v>0</v>
      </c>
      <c r="BD41" s="103">
        <v>0.5</v>
      </c>
      <c r="BE41" s="103">
        <v>0</v>
      </c>
      <c r="BF41" s="103">
        <v>0</v>
      </c>
    </row>
    <row r="42" spans="5:58" ht="15">
      <c r="E42" s="194" t="s">
        <v>20</v>
      </c>
      <c r="F42" s="195">
        <f>J26</f>
        <v>8.421996180064184</v>
      </c>
      <c r="AM42" s="103" t="s">
        <v>14</v>
      </c>
      <c r="AN42" s="103">
        <v>0</v>
      </c>
      <c r="AO42" s="103">
        <v>0</v>
      </c>
      <c r="AP42" s="103">
        <v>3</v>
      </c>
      <c r="AQ42" s="103">
        <v>0</v>
      </c>
      <c r="AR42" s="103">
        <v>0</v>
      </c>
      <c r="AS42" s="103">
        <v>0</v>
      </c>
      <c r="AT42" s="103">
        <v>1</v>
      </c>
      <c r="AU42" s="103">
        <v>2</v>
      </c>
      <c r="AV42" s="103">
        <v>2.5</v>
      </c>
      <c r="AW42" s="103">
        <v>2</v>
      </c>
      <c r="AX42" s="103">
        <v>0</v>
      </c>
      <c r="AY42" s="103">
        <v>1</v>
      </c>
      <c r="AZ42" s="103">
        <v>1</v>
      </c>
      <c r="BA42" s="103">
        <v>0</v>
      </c>
      <c r="BB42" s="103">
        <v>0</v>
      </c>
      <c r="BC42" s="103">
        <v>1.5</v>
      </c>
      <c r="BD42" s="103">
        <v>0.5</v>
      </c>
      <c r="BE42" s="103">
        <v>0.5</v>
      </c>
      <c r="BF42" s="103">
        <v>0</v>
      </c>
    </row>
    <row r="43" spans="5:58" ht="15">
      <c r="E43" s="194" t="s">
        <v>66</v>
      </c>
      <c r="F43" s="195">
        <f>L26</f>
        <v>1.6316002104712681</v>
      </c>
      <c r="AM43" s="103" t="s">
        <v>196</v>
      </c>
      <c r="AN43" s="103">
        <v>0</v>
      </c>
      <c r="AO43" s="103">
        <v>0</v>
      </c>
      <c r="AP43" s="103">
        <v>0</v>
      </c>
      <c r="AQ43" s="103">
        <v>3</v>
      </c>
      <c r="AR43" s="103">
        <v>0</v>
      </c>
      <c r="AS43" s="103">
        <v>0</v>
      </c>
      <c r="AT43" s="103">
        <v>0</v>
      </c>
      <c r="AU43" s="103">
        <v>0</v>
      </c>
      <c r="AV43" s="103">
        <v>0</v>
      </c>
      <c r="AW43" s="103">
        <v>0</v>
      </c>
      <c r="AX43" s="103">
        <v>0</v>
      </c>
      <c r="AY43" s="103">
        <v>0</v>
      </c>
      <c r="AZ43" s="103">
        <v>0</v>
      </c>
      <c r="BA43" s="103">
        <v>0</v>
      </c>
      <c r="BB43" s="103">
        <v>0</v>
      </c>
      <c r="BC43" s="103">
        <v>0</v>
      </c>
      <c r="BD43" s="103">
        <v>0</v>
      </c>
      <c r="BE43" s="103">
        <v>0</v>
      </c>
      <c r="BF43" s="103">
        <v>0</v>
      </c>
    </row>
    <row r="44" spans="5:58" ht="15">
      <c r="E44" s="194" t="s">
        <v>67</v>
      </c>
      <c r="F44" s="195">
        <f>M26</f>
        <v>3.4427610560049509</v>
      </c>
      <c r="AM44" s="103" t="s">
        <v>34</v>
      </c>
      <c r="AN44" s="103">
        <v>0</v>
      </c>
      <c r="AO44" s="103">
        <v>0</v>
      </c>
      <c r="AP44" s="103">
        <v>0</v>
      </c>
      <c r="AQ44" s="103">
        <v>0</v>
      </c>
      <c r="AR44" s="103">
        <v>3</v>
      </c>
      <c r="AS44" s="103">
        <v>0</v>
      </c>
      <c r="AT44" s="103">
        <v>0</v>
      </c>
      <c r="AU44" s="103">
        <v>0</v>
      </c>
      <c r="AV44" s="103">
        <v>0</v>
      </c>
      <c r="AW44" s="103">
        <v>0.5</v>
      </c>
      <c r="AX44" s="103">
        <v>1</v>
      </c>
      <c r="AY44" s="103">
        <v>1</v>
      </c>
      <c r="AZ44" s="103">
        <v>1</v>
      </c>
      <c r="BA44" s="103">
        <v>1.5</v>
      </c>
      <c r="BB44" s="103">
        <v>1.5</v>
      </c>
      <c r="BC44" s="103">
        <v>1.5</v>
      </c>
      <c r="BD44" s="103">
        <v>2</v>
      </c>
      <c r="BE44" s="103">
        <v>2.5</v>
      </c>
      <c r="BF44" s="103">
        <v>3</v>
      </c>
    </row>
    <row r="45" spans="5:58" ht="15">
      <c r="E45" s="194" t="s">
        <v>68</v>
      </c>
      <c r="F45" s="195">
        <f>N26</f>
        <v>3.9769235888723182</v>
      </c>
      <c r="AM45" s="103" t="s">
        <v>206</v>
      </c>
      <c r="AN45" s="103">
        <v>3</v>
      </c>
      <c r="AO45" s="103">
        <v>3</v>
      </c>
      <c r="AP45" s="103">
        <v>3</v>
      </c>
      <c r="AQ45" s="103">
        <v>3</v>
      </c>
      <c r="AR45" s="103">
        <v>3</v>
      </c>
      <c r="AS45" s="103">
        <v>3</v>
      </c>
      <c r="AT45" s="103">
        <v>3</v>
      </c>
      <c r="AU45" s="103">
        <v>3</v>
      </c>
      <c r="AV45" s="103">
        <v>3</v>
      </c>
      <c r="AW45" s="103">
        <v>3</v>
      </c>
      <c r="AX45" s="103">
        <v>3</v>
      </c>
      <c r="AY45" s="103">
        <v>3</v>
      </c>
      <c r="AZ45" s="103">
        <v>3</v>
      </c>
      <c r="BA45" s="103">
        <v>3</v>
      </c>
      <c r="BB45" s="103">
        <v>3</v>
      </c>
      <c r="BC45" s="103">
        <v>3</v>
      </c>
      <c r="BD45" s="103">
        <v>3</v>
      </c>
      <c r="BE45" s="103">
        <v>3</v>
      </c>
      <c r="BF45" s="103">
        <v>3</v>
      </c>
    </row>
    <row r="46" spans="5:58" ht="15">
      <c r="E46" s="194" t="s">
        <v>220</v>
      </c>
      <c r="F46" s="195">
        <f>O26</f>
        <v>2.4849067353282712</v>
      </c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</row>
    <row r="47" spans="5:58" ht="15">
      <c r="E47" s="194" t="s">
        <v>69</v>
      </c>
      <c r="F47" s="195">
        <f>P26</f>
        <v>3.1965364354809136</v>
      </c>
    </row>
    <row r="48" spans="5:58" ht="15">
      <c r="E48" s="194" t="s">
        <v>70</v>
      </c>
      <c r="F48" s="195">
        <f>Q26</f>
        <v>2.3034834219297564</v>
      </c>
      <c r="AZ48" s="102">
        <v>0.84970000000000001</v>
      </c>
    </row>
    <row r="49" spans="5:52" ht="15">
      <c r="E49" s="194" t="s">
        <v>71</v>
      </c>
      <c r="F49" s="195">
        <f>R26</f>
        <v>3.8217967055737141</v>
      </c>
      <c r="AZ49" s="102">
        <v>79</v>
      </c>
    </row>
    <row r="50" spans="5:52" ht="15">
      <c r="E50" s="194" t="s">
        <v>72</v>
      </c>
      <c r="F50" s="195">
        <f>S26</f>
        <v>3.2200824613269194</v>
      </c>
      <c r="AZ50" s="102">
        <v>79.3</v>
      </c>
    </row>
    <row r="51" spans="5:52" ht="15">
      <c r="E51" s="194" t="s">
        <v>154</v>
      </c>
      <c r="F51" s="195">
        <f>T26</f>
        <v>2.4540462519144173</v>
      </c>
      <c r="AZ51" s="102">
        <v>8.8699999999999992</v>
      </c>
    </row>
    <row r="52" spans="5:52" ht="15">
      <c r="E52" s="194" t="s">
        <v>155</v>
      </c>
      <c r="F52" s="195">
        <f>U26</f>
        <v>3.7414521207517901</v>
      </c>
      <c r="AZ52" s="196">
        <v>9.9999999999999998E-17</v>
      </c>
    </row>
    <row r="53" spans="5:52" ht="15">
      <c r="E53" s="194" t="s">
        <v>156</v>
      </c>
      <c r="F53" s="195">
        <f>V26</f>
        <v>5.7900850251476514</v>
      </c>
      <c r="AZ53" s="196">
        <v>9.9999999999999995E-8</v>
      </c>
    </row>
    <row r="54" spans="5:52" ht="15">
      <c r="E54" s="194" t="s">
        <v>192</v>
      </c>
      <c r="F54" s="195">
        <f>W26</f>
        <v>5.675313133074984</v>
      </c>
      <c r="AZ54" s="196">
        <v>1000000000</v>
      </c>
    </row>
    <row r="55" spans="5:52" ht="15">
      <c r="E55" s="194" t="s">
        <v>194</v>
      </c>
      <c r="F55" s="195">
        <f>X26</f>
        <v>7.2807855284558798</v>
      </c>
      <c r="AZ55" s="196">
        <v>6.4800000000000002E-18</v>
      </c>
    </row>
    <row r="56" spans="5:52">
      <c r="AZ56" s="196">
        <v>1.2300000000000001E-5</v>
      </c>
    </row>
    <row r="57" spans="5:52">
      <c r="AZ57" s="196">
        <v>1890000000000</v>
      </c>
    </row>
    <row r="101" spans="4:11" ht="21">
      <c r="D101" s="180" t="s">
        <v>199</v>
      </c>
      <c r="E101" s="181"/>
      <c r="F101" s="182"/>
      <c r="G101" s="182"/>
      <c r="H101" s="183"/>
      <c r="I101" s="183"/>
      <c r="J101" s="183"/>
      <c r="K101" s="182"/>
    </row>
    <row r="102" spans="4:11" ht="21">
      <c r="D102" s="180" t="s">
        <v>202</v>
      </c>
      <c r="E102" s="181"/>
      <c r="F102" s="182"/>
      <c r="G102" s="182"/>
      <c r="H102" s="183"/>
      <c r="I102" s="183"/>
      <c r="J102" s="183"/>
      <c r="K102" s="182"/>
    </row>
    <row r="103" spans="4:11" ht="21">
      <c r="D103" s="180" t="s">
        <v>200</v>
      </c>
      <c r="E103" s="181"/>
      <c r="F103" s="182"/>
      <c r="G103" s="182"/>
      <c r="H103" s="183"/>
      <c r="I103" s="183"/>
      <c r="J103" s="183"/>
      <c r="K103" s="182"/>
    </row>
    <row r="104" spans="4:11" ht="21">
      <c r="D104" s="180" t="s">
        <v>201</v>
      </c>
      <c r="E104" s="181"/>
      <c r="F104" s="182"/>
      <c r="G104" s="182"/>
      <c r="H104" s="183"/>
      <c r="I104" s="183"/>
      <c r="J104" s="183"/>
      <c r="K104" s="182"/>
    </row>
    <row r="105" spans="4:11" ht="21">
      <c r="D105" s="180" t="s">
        <v>203</v>
      </c>
      <c r="E105" s="181"/>
      <c r="F105" s="182"/>
      <c r="G105" s="182"/>
      <c r="H105" s="183"/>
      <c r="I105" s="183"/>
      <c r="J105" s="183"/>
      <c r="K105" s="182"/>
    </row>
    <row r="106" spans="4:11" ht="21">
      <c r="D106" s="179"/>
    </row>
    <row r="107" spans="4:11" ht="21">
      <c r="D107" s="179"/>
    </row>
    <row r="108" spans="4:11" ht="21">
      <c r="D108" s="179"/>
    </row>
  </sheetData>
  <conditionalFormatting sqref="F38:F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I30 K30:L30 N30:O30 S30 U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I34 K34:L34 N34:O34 S34 U3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Y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26</vt:i4>
      </vt:variant>
    </vt:vector>
  </HeadingPairs>
  <TitlesOfParts>
    <vt:vector size="26" baseType="lpstr">
      <vt:lpstr>Sheet1</vt:lpstr>
      <vt:lpstr>FinFET_v9_Makale.in</vt:lpstr>
      <vt:lpstr>FinFET_v9_Makale_Try_La2O3.in</vt:lpstr>
      <vt:lpstr>FinFET_v9_Makale_Try_SOI.in</vt:lpstr>
      <vt:lpstr>FinFET_v92 ve FinFET_v94.in</vt:lpstr>
      <vt:lpstr>FinFET_v94.in Sapp-HfO2-TiO2</vt:lpstr>
      <vt:lpstr>FinFET_v94R_BOXSiO2</vt:lpstr>
      <vt:lpstr>FinFET_v95_BOXSiO2 (HfO2)</vt:lpstr>
      <vt:lpstr>FinFET_v96_Bulk_Added</vt:lpstr>
      <vt:lpstr>FinFET_v96_Eq_Kappa_BOX=HfO2</vt:lpstr>
      <vt:lpstr>FinFET_v97_Maxwell Garnet</vt:lpstr>
      <vt:lpstr>FinFET_v97_QTUNN_FN_SCHENK_BBT_</vt:lpstr>
      <vt:lpstr>FinFET_v98_HEI_HHI</vt:lpstr>
      <vt:lpstr>FinFET_v98_HEI_HHI w PENN MODEL</vt:lpstr>
      <vt:lpstr>Keff_V2</vt:lpstr>
      <vt:lpstr>Keff</vt:lpstr>
      <vt:lpstr>FinFET_v97 kappa vs thickness</vt:lpstr>
      <vt:lpstr>Maxwell Garnet model </vt:lpstr>
      <vt:lpstr>No.1</vt:lpstr>
      <vt:lpstr>No.2</vt:lpstr>
      <vt:lpstr>No.3</vt:lpstr>
      <vt:lpstr>No.4</vt:lpstr>
      <vt:lpstr>No.5</vt:lpstr>
      <vt:lpstr>No.6</vt:lpstr>
      <vt:lpstr>No.7</vt:lpstr>
      <vt:lpstr>FinFET_v98C_FOM_NORMALIZED</vt:lpstr>
    </vt:vector>
  </TitlesOfParts>
  <Company>Aselsan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aulku</dc:creator>
  <cp:keywords>ASELSAN ÖZEL</cp:keywords>
  <cp:lastModifiedBy>Esin Uçar</cp:lastModifiedBy>
  <dcterms:created xsi:type="dcterms:W3CDTF">2023-09-15T07:02:27Z</dcterms:created>
  <dcterms:modified xsi:type="dcterms:W3CDTF">2024-03-16T12:19:02Z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35f73dad-5f28-4711-8417-b3e8a3efd4c9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As02mt9Qy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