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8FEE3F59-12E5-4F4A-8835-087F4D7C48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EX Müşteri" sheetId="1" r:id="rId1"/>
    <sheet name="FOREX ORTAK" sheetId="5" r:id="rId2"/>
    <sheet name="Rabia Çakmak (ÖNCE BUNU GİR)" sheetId="3" r:id="rId3"/>
    <sheet name="Can Aksoy" sheetId="2" r:id="rId4"/>
    <sheet name="Ferah Ünlü" sheetId="7" r:id="rId5"/>
    <sheet name="Market 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M32" i="1"/>
  <c r="M31" i="1"/>
  <c r="M30" i="1"/>
  <c r="M29" i="1"/>
  <c r="I32" i="1"/>
  <c r="I31" i="1"/>
  <c r="I30" i="1"/>
  <c r="I29" i="1"/>
  <c r="F28" i="1"/>
  <c r="E11" i="7"/>
  <c r="G11" i="7"/>
  <c r="I11" i="7" s="1"/>
  <c r="G12" i="7"/>
  <c r="I12" i="7" s="1"/>
  <c r="E12" i="7"/>
  <c r="G10" i="7"/>
  <c r="I10" i="7" s="1"/>
  <c r="E10" i="7"/>
  <c r="K7" i="7"/>
  <c r="H10" i="7" s="1"/>
  <c r="I5" i="7"/>
  <c r="K29" i="1" l="1"/>
  <c r="J29" i="1"/>
  <c r="K32" i="1"/>
  <c r="K31" i="1"/>
  <c r="K30" i="1"/>
  <c r="J10" i="7"/>
  <c r="J11" i="7"/>
  <c r="K11" i="7"/>
  <c r="H11" i="7"/>
  <c r="E14" i="7"/>
  <c r="F10" i="7" s="1"/>
  <c r="K12" i="7"/>
  <c r="J12" i="7"/>
  <c r="K10" i="7"/>
  <c r="I14" i="7"/>
  <c r="I17" i="7" s="1"/>
  <c r="I4" i="7"/>
  <c r="H17" i="7"/>
  <c r="H12" i="7"/>
  <c r="K40" i="1"/>
  <c r="V40" i="1"/>
  <c r="R41" i="1"/>
  <c r="H47" i="1"/>
  <c r="I47" i="1" s="1"/>
  <c r="S47" i="1"/>
  <c r="T47" i="1" s="1"/>
  <c r="V47" i="1" s="1"/>
  <c r="H48" i="1"/>
  <c r="I48" i="1" s="1"/>
  <c r="S48" i="1"/>
  <c r="T48" i="1" s="1"/>
  <c r="V48" i="1" s="1"/>
  <c r="H49" i="1"/>
  <c r="I49" i="1" s="1"/>
  <c r="K49" i="1" s="1"/>
  <c r="S49" i="1"/>
  <c r="T49" i="1" s="1"/>
  <c r="V49" i="1" s="1"/>
  <c r="V12" i="1"/>
  <c r="S20" i="1"/>
  <c r="T20" i="1"/>
  <c r="U20" i="1"/>
  <c r="S21" i="1"/>
  <c r="T21" i="1" s="1"/>
  <c r="U21" i="1"/>
  <c r="S28" i="1"/>
  <c r="T28" i="1"/>
  <c r="U28" i="1"/>
  <c r="I5" i="2"/>
  <c r="L12" i="1"/>
  <c r="M12" i="1" s="1"/>
  <c r="V20" i="1" l="1"/>
  <c r="W13" i="1"/>
  <c r="V21" i="1"/>
  <c r="Q42" i="1"/>
  <c r="Q39" i="1" s="1"/>
  <c r="Q40" i="1" s="1"/>
  <c r="Q44" i="1" s="1"/>
  <c r="K14" i="7"/>
  <c r="F12" i="7"/>
  <c r="F11" i="7"/>
  <c r="J14" i="7"/>
  <c r="J17" i="7" s="1"/>
  <c r="V28" i="1"/>
  <c r="O17" i="5"/>
  <c r="H23" i="5" s="1"/>
  <c r="O16" i="5"/>
  <c r="H24" i="5" s="1"/>
  <c r="O15" i="5"/>
  <c r="H22" i="5" s="1"/>
  <c r="Q15" i="1" l="1"/>
  <c r="Q12" i="1" s="1"/>
  <c r="Q13" i="1" s="1"/>
  <c r="Q17" i="1" s="1"/>
  <c r="F14" i="7"/>
  <c r="J18" i="7"/>
  <c r="H22" i="1"/>
  <c r="M22" i="1" s="1"/>
  <c r="H14" i="1"/>
  <c r="K16" i="1"/>
  <c r="J20" i="1" s="1"/>
  <c r="F16" i="3"/>
  <c r="L16" i="3" s="1"/>
  <c r="G14" i="2"/>
  <c r="G13" i="2"/>
  <c r="G12" i="2"/>
  <c r="G11" i="2"/>
  <c r="G10" i="2"/>
  <c r="K5" i="3"/>
  <c r="K17" i="7" l="1"/>
  <c r="K13" i="1"/>
  <c r="J48" i="1"/>
  <c r="K48" i="1" s="1"/>
  <c r="J47" i="1"/>
  <c r="K47" i="1" s="1"/>
  <c r="F42" i="1" s="1"/>
  <c r="F39" i="1" s="1"/>
  <c r="F40" i="1" s="1"/>
  <c r="F44" i="1" s="1"/>
  <c r="H25" i="1"/>
  <c r="M25" i="1" s="1"/>
  <c r="H21" i="1"/>
  <c r="H20" i="1"/>
  <c r="M20" i="1" s="1"/>
  <c r="H27" i="1"/>
  <c r="M27" i="1" s="1"/>
  <c r="H26" i="1"/>
  <c r="M26" i="1" s="1"/>
  <c r="H24" i="1"/>
  <c r="M24" i="1" s="1"/>
  <c r="H23" i="1"/>
  <c r="M23" i="1" s="1"/>
  <c r="I22" i="1"/>
  <c r="F14" i="1"/>
  <c r="K16" i="3"/>
  <c r="O14" i="5"/>
  <c r="H25" i="5" s="1"/>
  <c r="H27" i="5" s="1"/>
  <c r="R19" i="5"/>
  <c r="S19" i="5" s="1"/>
  <c r="O18" i="5"/>
  <c r="H26" i="5" s="1"/>
  <c r="J27" i="5"/>
  <c r="D6" i="5"/>
  <c r="H12" i="5"/>
  <c r="H13" i="5"/>
  <c r="H11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 s="1"/>
  <c r="XFD1048556" i="4" a="1"/>
  <c r="XFD1048556" i="4" s="1"/>
  <c r="XFD1048557" i="4" a="1"/>
  <c r="XFD1048557" i="4" s="1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 s="1"/>
  <c r="XFD1048564" i="4" a="1"/>
  <c r="XFD1048564" i="4" s="1"/>
  <c r="XFD1048565" i="4" a="1"/>
  <c r="XFD1048565" i="4" s="1"/>
  <c r="XFD1048566" i="4" a="1"/>
  <c r="XFD1048566" i="4" s="1"/>
  <c r="XFD1048567" i="4" a="1"/>
  <c r="XFD1048567" i="4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 s="1"/>
  <c r="XFD1048574" i="4" a="1"/>
  <c r="XFD1048574" i="4" s="1"/>
  <c r="XFD1048575" i="4" a="1"/>
  <c r="XFD1048575" i="4" s="1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XFD1048555" i="4" a="1"/>
  <c r="I21" i="1" l="1"/>
  <c r="M21" i="1"/>
  <c r="I26" i="1"/>
  <c r="I27" i="1"/>
  <c r="I23" i="1"/>
  <c r="I24" i="1"/>
  <c r="I25" i="1"/>
  <c r="J17" i="3"/>
  <c r="F17" i="3"/>
  <c r="L11" i="3"/>
  <c r="L10" i="3"/>
  <c r="XFD1048555" i="4"/>
  <c r="O19" i="5"/>
  <c r="I23" i="5"/>
  <c r="J23" i="5" s="1"/>
  <c r="D7" i="5"/>
  <c r="E3" i="5" s="1"/>
  <c r="H14" i="5"/>
  <c r="H15" i="5" s="1"/>
  <c r="K11" i="3"/>
  <c r="L15" i="3"/>
  <c r="L13" i="3"/>
  <c r="K13" i="3"/>
  <c r="K12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K20" i="2"/>
  <c r="C21" i="2"/>
  <c r="E21" i="2" s="1"/>
  <c r="K21" i="2" s="1"/>
  <c r="I4" i="2"/>
  <c r="H23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I23" i="2" s="1"/>
  <c r="K11" i="2"/>
  <c r="K13" i="2"/>
  <c r="K14" i="2"/>
  <c r="K15" i="2"/>
  <c r="E17" i="2"/>
  <c r="F14" i="2" s="1"/>
  <c r="I20" i="1"/>
  <c r="J21" i="2" l="1"/>
  <c r="P14" i="5"/>
  <c r="O22" i="5"/>
  <c r="J18" i="3"/>
  <c r="L17" i="3"/>
  <c r="J19" i="3"/>
  <c r="G16" i="3"/>
  <c r="F18" i="3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G11" i="3"/>
  <c r="G10" i="3"/>
  <c r="G13" i="3"/>
  <c r="G15" i="3"/>
  <c r="K17" i="3"/>
  <c r="G14" i="3"/>
  <c r="G12" i="3"/>
  <c r="K17" i="2"/>
  <c r="J17" i="2"/>
  <c r="F15" i="2"/>
  <c r="F13" i="2"/>
  <c r="F12" i="2"/>
  <c r="F10" i="2"/>
  <c r="F11" i="2"/>
  <c r="K20" i="1"/>
  <c r="L18" i="3" l="1"/>
  <c r="K18" i="3"/>
  <c r="J23" i="2"/>
  <c r="J24" i="2" s="1"/>
  <c r="J22" i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K19" i="3"/>
  <c r="K20" i="3" s="1"/>
  <c r="G17" i="3"/>
  <c r="I27" i="5"/>
  <c r="L25" i="5"/>
  <c r="L22" i="5"/>
  <c r="L24" i="5"/>
  <c r="F17" i="2"/>
  <c r="K28" i="1" l="1"/>
  <c r="F15" i="1" s="1"/>
  <c r="F12" i="1" s="1"/>
  <c r="G12" i="1" s="1"/>
  <c r="K23" i="2"/>
  <c r="L19" i="3"/>
  <c r="L27" i="5"/>
  <c r="F6" i="5"/>
  <c r="F4" i="5"/>
  <c r="F3" i="5"/>
  <c r="F5" i="5"/>
  <c r="F13" i="1" l="1"/>
  <c r="F1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<sst xmlns="http://schemas.openxmlformats.org/spreadsheetml/2006/main" count="934" uniqueCount="471">
  <si>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</si>
  <si>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</si>
  <si>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</si>
  <si>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</si>
  <si>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</si>
  <si>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</si>
  <si>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</si>
  <si>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</si>
  <si>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</si>
  <si>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</si>
  <si>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</si>
  <si>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</si>
  <si>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</si>
  <si>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</si>
  <si>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</si>
  <si>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</si>
  <si>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</si>
  <si>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</si>
  <si>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</si>
  <si>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</si>
  <si>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</si>
  <si>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</si>
  <si>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</si>
  <si>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</si>
  <si>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</si>
  <si>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</si>
  <si>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</si>
  <si>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</si>
  <si>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</si>
  <si>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</si>
  <si>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</si>
  <si>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</si>
  <si>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</si>
  <si>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</si>
  <si>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</si>
  <si>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</si>
  <si>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</si>
  <si>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</si>
  <si>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</si>
  <si>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</si>
  <si>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</si>
  <si>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</si>
  <si>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</si>
  <si>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</si>
  <si>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</si>
  <si>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</si>
  <si>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</si>
  <si>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</si>
  <si>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</si>
  <si>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</si>
  <si>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</si>
  <si>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</si>
  <si>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</si>
  <si>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</si>
  <si>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</si>
  <si>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</si>
  <si>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</si>
  <si>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</si>
  <si>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</si>
  <si>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</si>
  <si>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</si>
  <si>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</si>
  <si>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</si>
  <si>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</si>
  <si>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</si>
  <si>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</si>
  <si>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</si>
  <si>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</si>
  <si>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</si>
  <si>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</si>
  <si>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</si>
  <si>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</si>
  <si>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</si>
  <si>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</si>
  <si>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</si>
  <si>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</si>
  <si>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</si>
  <si>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</si>
  <si>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</si>
  <si>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</si>
  <si>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</si>
  <si>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</si>
  <si>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</si>
  <si>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</si>
  <si>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</si>
  <si>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</si>
  <si>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</si>
  <si>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</si>
  <si>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</si>
  <si>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</si>
  <si>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</si>
  <si>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</si>
  <si>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</si>
  <si>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</si>
  <si>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</si>
  <si>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</si>
  <si>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</si>
  <si>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</si>
  <si>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</si>
  <si>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</si>
  <si>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</si>
  <si>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</si>
  <si>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</si>
  <si>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</si>
  <si>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</si>
  <si>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</si>
  <si>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</si>
  <si>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</si>
  <si>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</si>
  <si>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</si>
  <si>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</si>
  <si>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</si>
  <si>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</si>
  <si>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</si>
  <si>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</si>
  <si>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</si>
  <si>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</si>
  <si>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</si>
  <si>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</si>
  <si>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</si>
  <si>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</si>
  <si>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</si>
  <si>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</si>
  <si>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</si>
  <si>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</si>
  <si>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</si>
  <si>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</si>
  <si>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</si>
  <si>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</si>
  <si>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</si>
  <si>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</si>
  <si>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</si>
  <si>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</si>
  <si>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</si>
  <si>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</si>
  <si>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</si>
  <si>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</si>
  <si>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</si>
  <si>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</si>
  <si>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</si>
  <si>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</si>
  <si>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</si>
  <si>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</si>
  <si>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</si>
  <si>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</si>
  <si>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</si>
  <si>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</si>
  <si>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</si>
  <si>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</si>
  <si>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</si>
  <si>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</si>
  <si>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</si>
  <si>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</si>
  <si>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</si>
  <si>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</si>
  <si>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</si>
  <si>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</si>
  <si>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</si>
  <si>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</si>
  <si>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</si>
  <si>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</si>
  <si>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</si>
  <si>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</si>
  <si>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</si>
  <si>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</si>
  <si>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</si>
  <si>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</si>
  <si>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</si>
  <si>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</si>
  <si>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</si>
  <si>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</si>
  <si>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</si>
  <si>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</si>
  <si>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</si>
  <si>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</si>
  <si>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</si>
  <si>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</si>
  <si>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</si>
  <si>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</si>
  <si>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</si>
  <si>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</si>
  <si>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</si>
  <si>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</si>
  <si>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</si>
  <si>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</si>
  <si>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</si>
  <si>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</si>
  <si>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</si>
  <si>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</si>
  <si>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</si>
  <si>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</si>
  <si>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</si>
  <si>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</si>
  <si>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</si>
  <si>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</si>
  <si>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</si>
  <si>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</si>
  <si>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</si>
  <si>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</si>
  <si>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</si>
  <si>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</si>
  <si>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</si>
  <si>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</si>
  <si>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</si>
  <si>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</si>
  <si>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</si>
  <si>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</si>
  <si>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</si>
  <si>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</si>
  <si>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</si>
  <si>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</si>
  <si>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</si>
  <si>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</si>
  <si>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</si>
  <si>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</si>
  <si>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</si>
  <si>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</si>
  <si>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</si>
  <si>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</si>
  <si>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</si>
  <si>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</si>
  <si>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</si>
  <si>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</si>
  <si>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</si>
  <si>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</si>
  <si>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</si>
  <si>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</si>
  <si>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</si>
  <si>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</si>
  <si>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</si>
  <si>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</si>
  <si>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</si>
  <si>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</si>
  <si>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</si>
  <si>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</si>
  <si>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</si>
  <si>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</si>
  <si>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</si>
  <si>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</si>
  <si>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</si>
  <si>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</si>
  <si>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</si>
  <si>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</si>
  <si>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</si>
  <si>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</si>
  <si>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</si>
  <si>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</si>
  <si>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</si>
  <si>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</si>
  <si>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</si>
  <si>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</si>
  <si>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</si>
  <si>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</si>
  <si>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</si>
  <si>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</si>
  <si>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</si>
  <si>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</si>
  <si>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</si>
  <si>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</si>
  <si>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</si>
  <si>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</si>
  <si>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</si>
  <si>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</si>
  <si>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</si>
  <si>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</si>
  <si>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</si>
  <si>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</si>
  <si>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</si>
  <si>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</si>
  <si>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</si>
  <si>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</si>
  <si>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</si>
  <si>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</si>
  <si>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</si>
  <si>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</si>
  <si>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</si>
  <si>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</si>
  <si>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</si>
  <si>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</si>
  <si>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</si>
  <si>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</si>
  <si>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</si>
  <si>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</si>
  <si>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</si>
  <si>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</si>
  <si>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</si>
  <si>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</si>
  <si>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</si>
  <si>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</si>
  <si>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</si>
  <si>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</si>
  <si>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</si>
  <si>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</si>
  <si>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</si>
  <si>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</si>
  <si>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</si>
  <si>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</si>
  <si>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</si>
  <si>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</si>
  <si>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</si>
  <si>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</si>
  <si>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</si>
  <si>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</si>
  <si>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</si>
  <si>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</si>
  <si>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</si>
  <si>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</si>
  <si>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</si>
  <si>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</si>
  <si>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</si>
  <si>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</si>
  <si>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</si>
  <si>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</si>
  <si>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</si>
  <si>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</si>
  <si>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</si>
  <si>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</si>
  <si>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</si>
  <si>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</si>
  <si>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</si>
  <si>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</si>
  <si>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</si>
  <si>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</si>
  <si>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</si>
  <si>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</si>
  <si>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</si>
  <si>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</si>
  <si>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</si>
  <si>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</si>
  <si>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</si>
  <si>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</si>
  <si>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</si>
  <si>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</si>
  <si>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</si>
  <si>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</si>
  <si>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</si>
  <si>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</si>
  <si>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</si>
  <si>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</si>
  <si>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</si>
  <si>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</si>
  <si>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</si>
  <si>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</si>
  <si>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</si>
  <si>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</si>
  <si>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</si>
  <si>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</si>
  <si>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</si>
  <si>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</si>
  <si>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</si>
  <si>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</si>
  <si>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</si>
  <si>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</si>
  <si>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</si>
  <si>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</si>
  <si>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</si>
  <si>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</si>
  <si>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</si>
  <si>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</si>
  <si>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</si>
  <si>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</si>
  <si>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</si>
  <si>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</si>
  <si>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</si>
  <si>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</si>
  <si>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</si>
  <si>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</si>
  <si>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</si>
  <si>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</si>
  <si>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</si>
  <si>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</si>
  <si>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</si>
  <si>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</si>
  <si>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</si>
  <si>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</si>
  <si>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</si>
  <si>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</si>
  <si>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</si>
  <si>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</si>
  <si>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</si>
  <si>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</si>
  <si>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</si>
  <si>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</si>
  <si>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</si>
  <si>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</si>
  <si>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</si>
  <si>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</si>
  <si>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</si>
  <si>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</si>
  <si>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</si>
  <si>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</si>
  <si>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</si>
  <si>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</si>
  <si>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</si>
  <si>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</si>
  <si>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</si>
  <si>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</si>
  <si>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</si>
  <si>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</si>
  <si>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</si>
  <si>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</si>
  <si>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</si>
  <si>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</si>
  <si>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</si>
  <si>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</si>
  <si>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</si>
  <si>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</si>
  <si>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</si>
  <si>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</si>
  <si>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</si>
  <si>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</si>
  <si>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</si>
  <si>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</si>
  <si>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</si>
  <si>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</si>
  <si>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</si>
  <si>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</si>
  <si>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</si>
  <si>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</si>
  <si>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</si>
  <si>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</si>
  <si>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</si>
  <si>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</si>
  <si>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</si>
  <si>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</si>
  <si>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</si>
  <si>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</si>
  <si>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</si>
  <si>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</si>
  <si>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</si>
  <si>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</si>
  <si>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</si>
  <si>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</si>
  <si>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</si>
  <si>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</si>
  <si>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</si>
  <si>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</si>
  <si>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</si>
  <si>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</si>
  <si>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</si>
  <si>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</si>
  <si>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</si>
  <si>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</si>
  <si>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</si>
  <si>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</si>
  <si>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</si>
  <si>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</si>
  <si>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</si>
  <si>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</si>
  <si>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</si>
  <si>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</si>
  <si>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</si>
  <si>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</si>
  <si>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</si>
  <si>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</si>
  <si>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</si>
  <si>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</si>
  <si>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</si>
  <si>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</si>
  <si>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</si>
  <si>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</si>
  <si>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</si>
  <si>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Dengi USD</t>
  </si>
  <si>
    <t>NAKIT</t>
  </si>
  <si>
    <t>TEST MULTIPLIER</t>
  </si>
  <si>
    <t>MARGIN/0.01LOT</t>
  </si>
  <si>
    <t>PRICE NOW</t>
  </si>
  <si>
    <t>bu endeksin %1 lik hareketinde %10 kazanırız</t>
  </si>
  <si>
    <t>OP START</t>
  </si>
  <si>
    <t xml:space="preserve">NOW 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</si>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</sst>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10" fontId="4" fillId="6" borderId="0" xfId="1" applyNumberFormat="1" applyFont="1" applyFill="1"/>
    <xf numFmtId="0" fontId="6" fillId="2" borderId="0" xfId="0" applyFont="1" applyFill="1" applyAlignment="1">
      <alignment horizontal="center" vertical="center" wrapText="1"/>
    </xf>
    <xf numFmtId="0" fontId="10" fillId="10" borderId="1" xfId="0" applyFont="1" applyFill="1" applyBorder="1" applyAlignment="1">
      <alignment horizontal="right"/>
    </xf>
    <xf numFmtId="171" fontId="0" fillId="10" borderId="1" xfId="2" applyNumberFormat="1" applyFont="1" applyFill="1" applyBorder="1"/>
    <xf numFmtId="169" fontId="0" fillId="10" borderId="1" xfId="3" applyNumberFormat="1" applyFont="1" applyFill="1" applyBorder="1"/>
    <xf numFmtId="14" fontId="0" fillId="10" borderId="1" xfId="3" applyNumberFormat="1" applyFont="1" applyFill="1" applyBorder="1"/>
    <xf numFmtId="44" fontId="0" fillId="10" borderId="1" xfId="3" applyFont="1" applyFill="1" applyBorder="1"/>
    <xf numFmtId="170" fontId="0" fillId="10" borderId="1" xfId="1" applyNumberFormat="1" applyFont="1" applyFill="1" applyBorder="1"/>
    <xf numFmtId="10" fontId="0" fillId="10" borderId="1" xfId="1" applyNumberFormat="1" applyFont="1" applyFill="1" applyBorder="1"/>
    <xf numFmtId="0" fontId="0" fillId="10" borderId="0" xfId="0" applyFill="1"/>
    <xf numFmtId="0" fontId="3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X50"/>
  <sheetViews>
    <sheetView tabSelected="1" topLeftCell="A5" zoomScale="115" zoomScaleNormal="115" workbookViewId="0">
      <selection activeCell="I25" sqref="I25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3.5703125" customWidth="1"/>
    <col min="9" max="9" width="13.140625" customWidth="1"/>
    <col min="10" max="10" width="16.140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.5703125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1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108" t="s">
        <v>469</v>
      </c>
      <c r="L11" s="108" t="s">
        <v>468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1632.2260144123584</v>
      </c>
      <c r="G12" s="107">
        <f>F12/F16-1</f>
        <v>-0.44078292759883153</v>
      </c>
      <c r="H12" s="2"/>
      <c r="I12" s="2"/>
      <c r="J12" s="9" t="s">
        <v>466</v>
      </c>
      <c r="K12" s="22">
        <v>18442</v>
      </c>
      <c r="L12" s="16">
        <f>AVERAGE(G20:G27)</f>
        <v>17824.474999999999</v>
      </c>
      <c r="M12" s="7">
        <f>-(K12/L12-1)</f>
        <v>-3.4644779158993444E-2</v>
      </c>
      <c r="O12" s="2"/>
      <c r="P12" s="11" t="s">
        <v>0</v>
      </c>
      <c r="Q12" s="27">
        <f>Q15+Q16</f>
        <v>-8699.5541889999986</v>
      </c>
      <c r="R12" s="2"/>
      <c r="S12" s="2"/>
      <c r="T12" s="2"/>
      <c r="U12" s="9" t="s">
        <v>17</v>
      </c>
      <c r="V12" s="22">
        <f>K12</f>
        <v>18442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1347.0360144123583</v>
      </c>
      <c r="G13" s="2"/>
      <c r="H13" s="2" t="s">
        <v>465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-8783.2541889999993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6" customHeight="1" x14ac:dyDescent="0.25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117" t="s">
        <v>467</v>
      </c>
      <c r="M14" s="117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27">
        <f>K28+K33</f>
        <v>-1286.5439855876416</v>
      </c>
      <c r="G15" s="2"/>
      <c r="H15" s="2"/>
      <c r="I15" s="2"/>
      <c r="J15" s="9" t="s">
        <v>0</v>
      </c>
      <c r="K15" s="4" t="s">
        <v>426</v>
      </c>
      <c r="L15" s="117"/>
      <c r="M15" s="117"/>
      <c r="O15" s="2"/>
      <c r="P15" s="11" t="s">
        <v>3</v>
      </c>
      <c r="Q15" s="19">
        <f>V20+V21+V28</f>
        <v>-9028.5641889999988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2918.77</v>
      </c>
      <c r="G16" s="2"/>
      <c r="H16" s="2"/>
      <c r="I16" s="2"/>
      <c r="J16" s="9" t="s">
        <v>464</v>
      </c>
      <c r="K16" s="106">
        <f>0.200006</f>
        <v>0.20000599999999999</v>
      </c>
      <c r="L16" s="117"/>
      <c r="M16" s="117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107">
        <f>F13/F14+1</f>
        <v>5.7232932936370782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-103.93732603345279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-0.01</v>
      </c>
      <c r="G20" s="12">
        <v>17834.310000000001</v>
      </c>
      <c r="H20" s="14">
        <f>$K$12</f>
        <v>18442</v>
      </c>
      <c r="I20" s="14">
        <f>G20-H20</f>
        <v>-607.68999999999869</v>
      </c>
      <c r="J20" s="25">
        <f t="shared" ref="J20:J27" si="0">$K$16</f>
        <v>0.20000599999999999</v>
      </c>
      <c r="K20" s="19">
        <f>I20*J20</f>
        <v>-121.54164613999973</v>
      </c>
      <c r="L20" s="14">
        <v>-2.34</v>
      </c>
      <c r="M20" s="7">
        <f>(H20/G20-1)</f>
        <v>3.4074208646143189E-2</v>
      </c>
      <c r="O20" s="2"/>
      <c r="P20" s="13" t="s">
        <v>16</v>
      </c>
      <c r="Q20" s="12">
        <v>-0.1</v>
      </c>
      <c r="R20" s="12">
        <v>8921.59</v>
      </c>
      <c r="S20" s="14">
        <f>$K$12</f>
        <v>18442</v>
      </c>
      <c r="T20" s="12">
        <f>R20-S20</f>
        <v>-9520.41</v>
      </c>
      <c r="U20" s="25">
        <f>$V$13</f>
        <v>0.31414999999999998</v>
      </c>
      <c r="V20" s="14">
        <f>T20*U20</f>
        <v>-2990.8368014999996</v>
      </c>
      <c r="W20" s="14"/>
      <c r="X20" s="6"/>
    </row>
    <row r="21" spans="4:24" ht="15.75" x14ac:dyDescent="0.25">
      <c r="D21" s="2"/>
      <c r="E21" s="13" t="s">
        <v>426</v>
      </c>
      <c r="F21" s="12">
        <v>-0.01</v>
      </c>
      <c r="G21" s="14">
        <v>17835</v>
      </c>
      <c r="H21" s="14">
        <f>$K$12</f>
        <v>18442</v>
      </c>
      <c r="I21" s="14">
        <f t="shared" ref="I21:I29" si="1">G21-H21</f>
        <v>-607</v>
      </c>
      <c r="J21" s="25">
        <f t="shared" si="0"/>
        <v>0.20000599999999999</v>
      </c>
      <c r="K21" s="19">
        <f>I21*J21</f>
        <v>-121.40364199999999</v>
      </c>
      <c r="L21" s="14">
        <v>-2.19</v>
      </c>
      <c r="M21" s="7">
        <f t="shared" ref="M21:M27" si="2">(H21/G21-1)</f>
        <v>3.4034202410989645E-2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18442</v>
      </c>
      <c r="T21" s="12">
        <f>R21-S21</f>
        <v>-9604.6200000000008</v>
      </c>
      <c r="U21" s="25">
        <f t="shared" ref="U21:U28" si="3">$V$13</f>
        <v>0.31414999999999998</v>
      </c>
      <c r="V21" s="14">
        <f>T21*U21</f>
        <v>-3017.291373</v>
      </c>
      <c r="W21" s="3"/>
      <c r="X21" s="6"/>
    </row>
    <row r="22" spans="4:24" ht="15.75" x14ac:dyDescent="0.25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18442</v>
      </c>
      <c r="I22" s="14">
        <f t="shared" si="1"/>
        <v>-612.09999999999854</v>
      </c>
      <c r="J22" s="25">
        <f t="shared" si="0"/>
        <v>0.20000599999999999</v>
      </c>
      <c r="K22" s="19">
        <f t="shared" ref="K22:K27" si="5">I22*J22</f>
        <v>-122.4236725999997</v>
      </c>
      <c r="L22" s="14"/>
      <c r="M22" s="7">
        <f t="shared" si="2"/>
        <v>3.432997380804137E-2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75" x14ac:dyDescent="0.25">
      <c r="D23" s="2"/>
      <c r="E23" s="13" t="s">
        <v>426</v>
      </c>
      <c r="F23" s="12">
        <v>-0.01</v>
      </c>
      <c r="G23" s="14">
        <v>17825.22</v>
      </c>
      <c r="H23" s="14">
        <f t="shared" si="4"/>
        <v>18442</v>
      </c>
      <c r="I23" s="14">
        <f t="shared" si="1"/>
        <v>-616.77999999999884</v>
      </c>
      <c r="J23" s="25">
        <f t="shared" si="0"/>
        <v>0.20000599999999999</v>
      </c>
      <c r="K23" s="19">
        <f t="shared" si="5"/>
        <v>-123.35970067999976</v>
      </c>
      <c r="L23" s="14"/>
      <c r="M23" s="7">
        <f t="shared" si="2"/>
        <v>3.460153647472497E-2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75" x14ac:dyDescent="0.25">
      <c r="D24" s="2"/>
      <c r="E24" s="13" t="s">
        <v>426</v>
      </c>
      <c r="F24" s="12">
        <v>-0.01</v>
      </c>
      <c r="G24" s="14">
        <v>17820.22</v>
      </c>
      <c r="H24" s="14">
        <f t="shared" si="4"/>
        <v>18442</v>
      </c>
      <c r="I24" s="14">
        <f t="shared" si="1"/>
        <v>-621.77999999999884</v>
      </c>
      <c r="J24" s="25">
        <f t="shared" si="0"/>
        <v>0.20000599999999999</v>
      </c>
      <c r="K24" s="19">
        <f t="shared" si="5"/>
        <v>-124.35973067999976</v>
      </c>
      <c r="L24" s="14"/>
      <c r="M24" s="7">
        <f t="shared" si="2"/>
        <v>3.4891825128982701E-2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75" x14ac:dyDescent="0.25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18442</v>
      </c>
      <c r="I25" s="14">
        <f t="shared" si="1"/>
        <v>-625.84999999999854</v>
      </c>
      <c r="J25" s="25">
        <f t="shared" si="0"/>
        <v>0.20000599999999999</v>
      </c>
      <c r="K25" s="19">
        <f t="shared" si="5"/>
        <v>-125.1737550999997</v>
      </c>
      <c r="L25" s="14"/>
      <c r="M25" s="7">
        <f t="shared" si="2"/>
        <v>3.5128240388636156E-2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75" x14ac:dyDescent="0.25">
      <c r="D26" s="2"/>
      <c r="E26" s="13" t="s">
        <v>426</v>
      </c>
      <c r="F26" s="12">
        <v>-0.01</v>
      </c>
      <c r="G26" s="14">
        <v>17820</v>
      </c>
      <c r="H26" s="14">
        <f t="shared" si="4"/>
        <v>18442</v>
      </c>
      <c r="I26" s="14">
        <f t="shared" si="1"/>
        <v>-622</v>
      </c>
      <c r="J26" s="25">
        <f t="shared" si="0"/>
        <v>0.20000599999999999</v>
      </c>
      <c r="K26" s="19">
        <f t="shared" si="5"/>
        <v>-124.40373199999999</v>
      </c>
      <c r="L26" s="14"/>
      <c r="M26" s="7">
        <f t="shared" si="2"/>
        <v>3.4904601571268179E-2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75" x14ac:dyDescent="0.25">
      <c r="D27" s="2"/>
      <c r="E27" s="13" t="s">
        <v>426</v>
      </c>
      <c r="F27" s="12">
        <v>-0.01</v>
      </c>
      <c r="G27" s="14">
        <v>17815</v>
      </c>
      <c r="H27" s="14">
        <f t="shared" si="4"/>
        <v>18442</v>
      </c>
      <c r="I27" s="14">
        <f t="shared" si="1"/>
        <v>-627</v>
      </c>
      <c r="J27" s="25">
        <f t="shared" si="0"/>
        <v>0.20000599999999999</v>
      </c>
      <c r="K27" s="19">
        <f t="shared" si="5"/>
        <v>-125.403762</v>
      </c>
      <c r="L27" s="14"/>
      <c r="M27" s="7">
        <f t="shared" si="2"/>
        <v>3.5195060342408047E-2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75" x14ac:dyDescent="0.25">
      <c r="D28" s="2"/>
      <c r="E28" s="13"/>
      <c r="F28" s="14">
        <f>SUM(F20:F27)</f>
        <v>-0.08</v>
      </c>
      <c r="G28" s="12"/>
      <c r="H28" s="12"/>
      <c r="I28" s="12"/>
      <c r="J28" s="17"/>
      <c r="K28" s="19">
        <f>SUM(K20:K27)</f>
        <v>-988.06964119999861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18442</v>
      </c>
      <c r="T28" s="14">
        <f>R28-S28</f>
        <v>-9614.6299999999992</v>
      </c>
      <c r="U28" s="25">
        <f t="shared" si="3"/>
        <v>0.31414999999999998</v>
      </c>
      <c r="V28" s="14">
        <f>T28*U28</f>
        <v>-3020.4360144999996</v>
      </c>
      <c r="W28" s="3"/>
      <c r="X28" s="6"/>
    </row>
    <row r="29" spans="4:24" ht="15.75" x14ac:dyDescent="0.25">
      <c r="D29" s="2"/>
      <c r="E29" s="13" t="s">
        <v>13</v>
      </c>
      <c r="F29" s="14">
        <v>-0.1</v>
      </c>
      <c r="G29" s="12">
        <v>8731.1299999999992</v>
      </c>
      <c r="H29" s="14">
        <v>8960</v>
      </c>
      <c r="I29" s="14">
        <f t="shared" si="1"/>
        <v>-228.8700000000008</v>
      </c>
      <c r="J29" s="17">
        <f>L29/I29</f>
        <v>0.30938960982216873</v>
      </c>
      <c r="K29" s="19">
        <f>I29*J29</f>
        <v>-70.81</v>
      </c>
      <c r="L29" s="6">
        <v>-70.81</v>
      </c>
      <c r="M29" s="7">
        <f t="shared" ref="M29:M32" si="6">(H29/G29-1)*F29*10</f>
        <v>-2.621310185508641E-2</v>
      </c>
      <c r="O29" s="2"/>
      <c r="P29" s="13"/>
      <c r="Q29" s="12"/>
      <c r="R29" s="12"/>
      <c r="S29" s="14"/>
      <c r="T29" s="14"/>
      <c r="U29" s="25"/>
      <c r="V29" s="14"/>
      <c r="W29" s="3"/>
      <c r="X29" s="6"/>
    </row>
    <row r="30" spans="4:24" ht="15.75" x14ac:dyDescent="0.25">
      <c r="D30" s="2"/>
      <c r="E30" s="13"/>
      <c r="F30" s="14">
        <v>-0.1</v>
      </c>
      <c r="G30" s="12">
        <v>8723.33</v>
      </c>
      <c r="H30" s="14">
        <v>8960</v>
      </c>
      <c r="I30" s="14">
        <f t="shared" ref="I30:I32" si="7">G30-H30</f>
        <v>-236.67000000000007</v>
      </c>
      <c r="J30" s="17">
        <v>0.30938960982216873</v>
      </c>
      <c r="K30" s="19">
        <f>I30*J30</f>
        <v>-73.22323895661269</v>
      </c>
      <c r="L30" s="6">
        <v>-70.81</v>
      </c>
      <c r="M30" s="7">
        <f t="shared" si="6"/>
        <v>-2.7130694356398255E-2</v>
      </c>
      <c r="O30" s="2"/>
      <c r="P30" s="13"/>
      <c r="Q30" s="12"/>
      <c r="R30" s="12"/>
      <c r="S30" s="14"/>
      <c r="T30" s="14"/>
      <c r="U30" s="25"/>
      <c r="V30" s="14"/>
      <c r="W30" s="3"/>
      <c r="X30" s="6"/>
    </row>
    <row r="31" spans="4:24" ht="15.75" x14ac:dyDescent="0.25">
      <c r="D31" s="2"/>
      <c r="E31" s="13"/>
      <c r="F31" s="14">
        <v>-0.1</v>
      </c>
      <c r="G31" s="14">
        <v>8711.7999999999993</v>
      </c>
      <c r="H31" s="14">
        <v>8960</v>
      </c>
      <c r="I31" s="14">
        <f t="shared" si="7"/>
        <v>-248.20000000000073</v>
      </c>
      <c r="J31" s="17">
        <v>0.30938960982216873</v>
      </c>
      <c r="K31" s="19">
        <f>I31*J31</f>
        <v>-76.790501157862508</v>
      </c>
      <c r="L31" s="6">
        <v>-70.81</v>
      </c>
      <c r="M31" s="7">
        <f t="shared" si="6"/>
        <v>-2.8490093895635841E-2</v>
      </c>
      <c r="O31" s="2"/>
      <c r="P31" s="13"/>
      <c r="Q31" s="12"/>
      <c r="R31" s="12"/>
      <c r="S31" s="14"/>
      <c r="T31" s="14"/>
      <c r="U31" s="25"/>
      <c r="V31" s="14"/>
      <c r="W31" s="3"/>
      <c r="X31" s="6"/>
    </row>
    <row r="32" spans="4:24" ht="15.75" x14ac:dyDescent="0.25">
      <c r="D32" s="2"/>
      <c r="E32" s="13"/>
      <c r="F32" s="14">
        <v>-0.1</v>
      </c>
      <c r="G32" s="12">
        <v>8709.02</v>
      </c>
      <c r="H32" s="14">
        <v>8960</v>
      </c>
      <c r="I32" s="14">
        <f t="shared" si="7"/>
        <v>-250.97999999999956</v>
      </c>
      <c r="J32" s="17">
        <v>0.30938960982216873</v>
      </c>
      <c r="K32" s="19">
        <f>I32*J32</f>
        <v>-77.650604273167772</v>
      </c>
      <c r="L32" s="6">
        <v>-70.81</v>
      </c>
      <c r="M32" s="7">
        <f t="shared" si="6"/>
        <v>-2.8818397477557767E-2</v>
      </c>
      <c r="O32" s="2"/>
      <c r="P32" s="13"/>
      <c r="Q32" s="12"/>
      <c r="R32" s="12"/>
      <c r="S32" s="14"/>
      <c r="T32" s="14"/>
      <c r="U32" s="25"/>
      <c r="V32" s="14"/>
      <c r="W32" s="3"/>
      <c r="X32" s="6"/>
    </row>
    <row r="33" spans="4:24" ht="15.75" x14ac:dyDescent="0.25">
      <c r="D33" s="2"/>
      <c r="E33" s="13"/>
      <c r="F33" s="14"/>
      <c r="G33" s="12"/>
      <c r="H33" s="12"/>
      <c r="I33" s="12"/>
      <c r="J33" s="17"/>
      <c r="K33" s="19">
        <f>SUM(K29:K32)</f>
        <v>-298.47434438764299</v>
      </c>
      <c r="L33" s="6"/>
      <c r="M33" s="6"/>
      <c r="O33" s="2"/>
      <c r="P33" s="13"/>
      <c r="Q33" s="12"/>
      <c r="R33" s="12"/>
      <c r="S33" s="14"/>
      <c r="T33" s="14"/>
      <c r="U33" s="25"/>
      <c r="V33" s="14"/>
      <c r="W33" s="3"/>
      <c r="X33" s="6"/>
    </row>
    <row r="34" spans="4:24" x14ac:dyDescent="0.25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1"/>
      <c r="W34" s="3"/>
      <c r="X34" s="6"/>
    </row>
    <row r="36" spans="4:24" ht="18.75" x14ac:dyDescent="0.3">
      <c r="D36" s="23">
        <v>9675887</v>
      </c>
      <c r="E36" s="2"/>
      <c r="F36" s="2"/>
      <c r="G36" s="2"/>
      <c r="H36" s="2"/>
      <c r="I36" s="8" t="s">
        <v>23</v>
      </c>
      <c r="J36" s="2"/>
      <c r="K36" s="2"/>
      <c r="L36" s="3"/>
      <c r="M36" s="28">
        <v>3</v>
      </c>
      <c r="O36" s="23">
        <v>9675888</v>
      </c>
      <c r="P36" s="2"/>
      <c r="Q36" s="2"/>
      <c r="R36" s="2"/>
      <c r="S36" s="2"/>
      <c r="T36" s="8" t="s">
        <v>22</v>
      </c>
      <c r="U36" s="2"/>
      <c r="V36" s="2"/>
      <c r="W36" s="3"/>
      <c r="X36" s="28">
        <v>1</v>
      </c>
    </row>
    <row r="37" spans="4:24" x14ac:dyDescent="0.25">
      <c r="D37" s="2"/>
      <c r="E37" s="2"/>
      <c r="F37" s="2"/>
      <c r="G37" s="2"/>
      <c r="H37" s="2"/>
      <c r="I37" s="2"/>
      <c r="J37" s="2"/>
      <c r="K37" s="2"/>
      <c r="L37" s="3"/>
      <c r="M37" s="6"/>
      <c r="O37" s="2"/>
      <c r="P37" s="2"/>
      <c r="Q37" s="2"/>
      <c r="R37" s="2"/>
      <c r="S37" s="2"/>
      <c r="T37" s="2"/>
      <c r="U37" s="2"/>
      <c r="V37" s="2"/>
      <c r="W37" s="3"/>
      <c r="X37" s="6"/>
    </row>
    <row r="38" spans="4:24" ht="30" x14ac:dyDescent="0.25">
      <c r="D38" s="2"/>
      <c r="E38" s="2"/>
      <c r="F38" s="2"/>
      <c r="G38" s="2"/>
      <c r="H38" s="2"/>
      <c r="I38" s="2"/>
      <c r="J38" s="2"/>
      <c r="K38" s="2"/>
      <c r="L38" s="15" t="s">
        <v>18</v>
      </c>
      <c r="M38" s="10" t="s">
        <v>15</v>
      </c>
      <c r="O38" s="2"/>
      <c r="P38" s="2"/>
      <c r="Q38" s="2"/>
      <c r="R38" s="2"/>
      <c r="S38" s="2"/>
      <c r="T38" s="2"/>
      <c r="U38" s="2"/>
      <c r="V38" s="2"/>
      <c r="W38" s="15" t="s">
        <v>18</v>
      </c>
      <c r="X38" s="10" t="s">
        <v>15</v>
      </c>
    </row>
    <row r="39" spans="4:24" ht="15.75" x14ac:dyDescent="0.25">
      <c r="D39" s="2"/>
      <c r="E39" s="11" t="s">
        <v>0</v>
      </c>
      <c r="F39" s="27">
        <f>F42+F43</f>
        <v>-6517.8090634999999</v>
      </c>
      <c r="G39" s="2"/>
      <c r="H39" s="2"/>
      <c r="I39" s="2"/>
      <c r="J39" s="9" t="s">
        <v>17</v>
      </c>
      <c r="K39" s="22">
        <v>9034.8700000000008</v>
      </c>
      <c r="L39" s="16">
        <v>8741.99</v>
      </c>
      <c r="M39" s="7">
        <v>-0.01</v>
      </c>
      <c r="O39" s="2"/>
      <c r="P39" s="11" t="s">
        <v>0</v>
      </c>
      <c r="Q39" s="27">
        <f>Q42+Q43</f>
        <v>-8704.1640480000005</v>
      </c>
      <c r="R39" s="2"/>
      <c r="S39" s="2"/>
      <c r="T39" s="2"/>
      <c r="U39" s="9" t="s">
        <v>17</v>
      </c>
      <c r="V39" s="22">
        <v>9034.8700000000008</v>
      </c>
      <c r="W39" s="16">
        <v>8741.99</v>
      </c>
      <c r="X39" s="7">
        <v>-0.01</v>
      </c>
    </row>
    <row r="40" spans="4:24" ht="15.75" x14ac:dyDescent="0.25">
      <c r="D40" s="2"/>
      <c r="E40" s="11" t="s">
        <v>1</v>
      </c>
      <c r="F40" s="19">
        <f>F39-F41</f>
        <v>-6601.7490634999995</v>
      </c>
      <c r="G40" s="2"/>
      <c r="H40" s="2"/>
      <c r="I40" s="2"/>
      <c r="J40" s="9" t="s">
        <v>12</v>
      </c>
      <c r="K40" s="18">
        <f>V13</f>
        <v>0.31414999999999998</v>
      </c>
      <c r="L40" s="3"/>
      <c r="M40" s="6"/>
      <c r="O40" s="2"/>
      <c r="P40" s="11" t="s">
        <v>1</v>
      </c>
      <c r="Q40" s="19">
        <f>Q39-Q41</f>
        <v>-8784.3340480000006</v>
      </c>
      <c r="R40" s="2"/>
      <c r="S40" s="2"/>
      <c r="T40" s="2"/>
      <c r="U40" s="9" t="s">
        <v>12</v>
      </c>
      <c r="V40" s="18">
        <f>K40</f>
        <v>0.31414999999999998</v>
      </c>
      <c r="W40" s="3"/>
      <c r="X40" s="6"/>
    </row>
    <row r="41" spans="4:24" ht="15.75" x14ac:dyDescent="0.25">
      <c r="D41" s="2"/>
      <c r="E41" s="11" t="s">
        <v>2</v>
      </c>
      <c r="F41" s="19">
        <v>83.94</v>
      </c>
      <c r="G41" s="2"/>
      <c r="H41" s="2"/>
      <c r="I41" s="2"/>
      <c r="J41" s="9" t="s">
        <v>14</v>
      </c>
      <c r="K41" s="2">
        <v>100</v>
      </c>
      <c r="L41" s="3"/>
      <c r="M41" s="6"/>
      <c r="O41" s="2"/>
      <c r="P41" s="11" t="s">
        <v>2</v>
      </c>
      <c r="Q41" s="19">
        <v>80.17</v>
      </c>
      <c r="R41" s="2">
        <f>Q41/2</f>
        <v>40.085000000000001</v>
      </c>
      <c r="S41" s="2"/>
      <c r="T41" s="2"/>
      <c r="U41" s="9" t="s">
        <v>14</v>
      </c>
      <c r="V41" s="2">
        <v>100</v>
      </c>
      <c r="W41" s="3"/>
      <c r="X41" s="6"/>
    </row>
    <row r="42" spans="4:24" ht="15.75" x14ac:dyDescent="0.25">
      <c r="D42" s="2"/>
      <c r="E42" s="11" t="s">
        <v>3</v>
      </c>
      <c r="F42" s="19">
        <f>SUM(K47:K49)-G42</f>
        <v>-6832.2690634999999</v>
      </c>
      <c r="G42" s="19">
        <v>3</v>
      </c>
      <c r="H42" s="2" t="s">
        <v>24</v>
      </c>
      <c r="I42" s="2"/>
      <c r="J42" s="9" t="s">
        <v>0</v>
      </c>
      <c r="K42" s="4" t="s">
        <v>13</v>
      </c>
      <c r="L42" s="3"/>
      <c r="M42" s="6"/>
      <c r="O42" s="2"/>
      <c r="P42" s="11" t="s">
        <v>3</v>
      </c>
      <c r="Q42" s="19">
        <f>SUM(V47:V49)-R42</f>
        <v>-9026.0440479999997</v>
      </c>
      <c r="R42" s="19">
        <v>2.76</v>
      </c>
      <c r="S42" s="2" t="s">
        <v>24</v>
      </c>
      <c r="T42" s="2"/>
      <c r="U42" s="9" t="s">
        <v>0</v>
      </c>
      <c r="V42" s="4" t="s">
        <v>13</v>
      </c>
      <c r="W42" s="3"/>
      <c r="X42" s="6"/>
    </row>
    <row r="43" spans="4:24" ht="15.75" x14ac:dyDescent="0.25">
      <c r="D43" s="2"/>
      <c r="E43" s="11" t="s">
        <v>4</v>
      </c>
      <c r="F43" s="19">
        <v>314.45999999999998</v>
      </c>
      <c r="G43" s="2"/>
      <c r="H43" s="2"/>
      <c r="I43" s="2"/>
      <c r="J43" s="2"/>
      <c r="K43" s="2"/>
      <c r="L43" s="3"/>
      <c r="M43" s="6"/>
      <c r="O43" s="2"/>
      <c r="P43" s="11" t="s">
        <v>4</v>
      </c>
      <c r="Q43" s="19">
        <v>321.88</v>
      </c>
      <c r="R43" s="2"/>
      <c r="S43" s="2"/>
      <c r="T43" s="2"/>
      <c r="U43" s="2"/>
      <c r="V43" s="2"/>
      <c r="W43" s="3"/>
      <c r="X43" s="6"/>
    </row>
    <row r="44" spans="4:24" ht="15.75" x14ac:dyDescent="0.25">
      <c r="D44" s="2"/>
      <c r="E44" s="11" t="s">
        <v>5</v>
      </c>
      <c r="F44" s="26">
        <f>F40/F41+1</f>
        <v>-77.648428204669997</v>
      </c>
      <c r="G44" s="2"/>
      <c r="H44" s="2"/>
      <c r="I44" s="2"/>
      <c r="J44" s="2"/>
      <c r="K44" s="2"/>
      <c r="L44" s="3"/>
      <c r="M44" s="6"/>
      <c r="O44" s="2"/>
      <c r="P44" s="11" t="s">
        <v>5</v>
      </c>
      <c r="Q44" s="26">
        <f>Q40/Q41+1</f>
        <v>-108.57133650991643</v>
      </c>
      <c r="R44" s="2"/>
      <c r="S44" s="2"/>
      <c r="T44" s="2"/>
      <c r="U44" s="2"/>
      <c r="V44" s="2"/>
      <c r="W44" s="3"/>
      <c r="X44" s="6"/>
    </row>
    <row r="45" spans="4:24" x14ac:dyDescent="0.25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  <row r="46" spans="4:24" ht="15.75" x14ac:dyDescent="0.25">
      <c r="D46" s="2"/>
      <c r="E46" s="12"/>
      <c r="F46" s="13" t="s">
        <v>7</v>
      </c>
      <c r="G46" s="13" t="s">
        <v>6</v>
      </c>
      <c r="H46" s="13" t="s">
        <v>8</v>
      </c>
      <c r="I46" s="13" t="s">
        <v>9</v>
      </c>
      <c r="J46" s="13" t="s">
        <v>11</v>
      </c>
      <c r="K46" s="13" t="s">
        <v>10</v>
      </c>
      <c r="L46" s="13" t="s">
        <v>19</v>
      </c>
      <c r="M46" s="6"/>
      <c r="O46" s="2"/>
      <c r="P46" s="12"/>
      <c r="Q46" s="13" t="s">
        <v>7</v>
      </c>
      <c r="R46" s="13" t="s">
        <v>6</v>
      </c>
      <c r="S46" s="13" t="s">
        <v>8</v>
      </c>
      <c r="T46" s="13" t="s">
        <v>9</v>
      </c>
      <c r="U46" s="13" t="s">
        <v>11</v>
      </c>
      <c r="V46" s="13" t="s">
        <v>10</v>
      </c>
      <c r="W46" s="13" t="s">
        <v>19</v>
      </c>
      <c r="X46" s="6"/>
    </row>
    <row r="47" spans="4:24" ht="15.75" x14ac:dyDescent="0.25">
      <c r="D47" s="2"/>
      <c r="E47" s="13" t="s">
        <v>16</v>
      </c>
      <c r="F47" s="12">
        <v>-0.1</v>
      </c>
      <c r="G47" s="12">
        <v>8920.14</v>
      </c>
      <c r="H47" s="14">
        <f>$K$12</f>
        <v>18442</v>
      </c>
      <c r="I47" s="12">
        <f>G47-H47</f>
        <v>-9521.86</v>
      </c>
      <c r="J47" s="17">
        <f>$K$16</f>
        <v>0.20000599999999999</v>
      </c>
      <c r="K47" s="14">
        <f>I47*J47</f>
        <v>-1904.42913116</v>
      </c>
      <c r="L47" s="14">
        <v>40.61</v>
      </c>
      <c r="M47" s="6"/>
      <c r="O47" s="2"/>
      <c r="P47" s="13" t="s">
        <v>16</v>
      </c>
      <c r="Q47" s="12">
        <v>-0.1</v>
      </c>
      <c r="R47" s="14">
        <v>8921.43</v>
      </c>
      <c r="S47" s="14">
        <f>$K$12</f>
        <v>18442</v>
      </c>
      <c r="T47" s="12">
        <f>R47-S47</f>
        <v>-9520.57</v>
      </c>
      <c r="U47" s="17">
        <v>0.31424999999999997</v>
      </c>
      <c r="V47" s="14">
        <f>T47*U47</f>
        <v>-2991.8391224999996</v>
      </c>
      <c r="W47" s="14">
        <v>40.61</v>
      </c>
      <c r="X47" s="6"/>
    </row>
    <row r="48" spans="4:24" ht="15.75" x14ac:dyDescent="0.25">
      <c r="D48" s="2"/>
      <c r="E48" s="13" t="s">
        <v>16</v>
      </c>
      <c r="F48" s="12">
        <v>-0.1</v>
      </c>
      <c r="G48" s="14">
        <v>8897.86</v>
      </c>
      <c r="H48" s="14">
        <f>$K$12</f>
        <v>18442</v>
      </c>
      <c r="I48" s="12">
        <f>G48-H48</f>
        <v>-9544.14</v>
      </c>
      <c r="J48" s="17">
        <f>$K$16</f>
        <v>0.20000599999999999</v>
      </c>
      <c r="K48" s="14">
        <f>I48*J48</f>
        <v>-1908.8852648399998</v>
      </c>
      <c r="L48" s="3"/>
      <c r="M48" s="6"/>
      <c r="O48" s="2"/>
      <c r="P48" s="13" t="s">
        <v>16</v>
      </c>
      <c r="Q48" s="12">
        <v>-0.1</v>
      </c>
      <c r="R48" s="14">
        <v>8849.77</v>
      </c>
      <c r="S48" s="14">
        <f>$K$12</f>
        <v>18442</v>
      </c>
      <c r="T48" s="12">
        <f>R48-S48</f>
        <v>-9592.23</v>
      </c>
      <c r="U48" s="17">
        <v>0.31424999999999997</v>
      </c>
      <c r="V48" s="14">
        <f>T48*U48</f>
        <v>-3014.3582774999995</v>
      </c>
      <c r="W48" s="3"/>
      <c r="X48" s="6"/>
    </row>
    <row r="49" spans="4:24" ht="15.75" x14ac:dyDescent="0.25">
      <c r="D49" s="2"/>
      <c r="E49" s="13" t="s">
        <v>16</v>
      </c>
      <c r="F49" s="12">
        <v>-0.1</v>
      </c>
      <c r="G49" s="12">
        <v>8844.69</v>
      </c>
      <c r="H49" s="14">
        <f>$K$12</f>
        <v>18442</v>
      </c>
      <c r="I49" s="12">
        <f>G49-H49</f>
        <v>-9597.31</v>
      </c>
      <c r="J49" s="17">
        <v>0.31424999999999997</v>
      </c>
      <c r="K49" s="14">
        <f>I49*J49</f>
        <v>-3015.9546674999997</v>
      </c>
      <c r="L49" s="3"/>
      <c r="M49" s="6"/>
      <c r="O49" s="2"/>
      <c r="P49" s="13" t="s">
        <v>16</v>
      </c>
      <c r="Q49" s="12">
        <v>-0.1</v>
      </c>
      <c r="R49" s="12">
        <v>8839.56</v>
      </c>
      <c r="S49" s="14">
        <f>$K$12</f>
        <v>18442</v>
      </c>
      <c r="T49" s="12">
        <f>R49-S49</f>
        <v>-9602.44</v>
      </c>
      <c r="U49" s="17">
        <v>0.31419999999999998</v>
      </c>
      <c r="V49" s="14">
        <f>T49*U49</f>
        <v>-3017.086648</v>
      </c>
      <c r="W49" s="3"/>
      <c r="X49" s="6"/>
    </row>
    <row r="50" spans="4:24" x14ac:dyDescent="0.25">
      <c r="D50" s="2"/>
      <c r="E50" s="2"/>
      <c r="F50" s="2"/>
      <c r="G50" s="2"/>
      <c r="H50" s="2"/>
      <c r="I50" s="2"/>
      <c r="J50" s="2"/>
      <c r="K50" s="2"/>
      <c r="L50" s="3"/>
      <c r="M50" s="6"/>
      <c r="O50" s="2"/>
      <c r="P50" s="2"/>
      <c r="Q50" s="2"/>
      <c r="R50" s="2"/>
      <c r="S50" s="2"/>
      <c r="T50" s="2"/>
      <c r="U50" s="2"/>
      <c r="V50" s="2"/>
      <c r="W50" s="3"/>
      <c r="X50" s="6"/>
    </row>
  </sheetData>
  <mergeCells count="1">
    <mergeCell ref="L14:M16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workbookViewId="0">
      <selection activeCell="R15" sqref="R15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710937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6">
        <f ca="1">TODAY()</f>
        <v>45371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3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25" x14ac:dyDescent="0.3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25" x14ac:dyDescent="0.3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25" x14ac:dyDescent="0.3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25" x14ac:dyDescent="0.35">
      <c r="K8" s="91"/>
    </row>
    <row r="9" spans="3:19" ht="23.25" x14ac:dyDescent="0.3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25" x14ac:dyDescent="0.3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25">
      <c r="F11" s="118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25">
      <c r="F12" s="118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25" x14ac:dyDescent="0.25">
      <c r="F13" s="118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25" x14ac:dyDescent="0.35">
      <c r="F14" s="118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0.20186647720589357</v>
      </c>
      <c r="Q14" s="91"/>
      <c r="R14" s="91">
        <v>0</v>
      </c>
      <c r="S14" s="91"/>
    </row>
    <row r="15" spans="3:19" ht="23.25" x14ac:dyDescent="0.35">
      <c r="F15" s="118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f>315.45+10000/32.4</f>
        <v>624.09197530864196</v>
      </c>
      <c r="P15" s="95">
        <f t="shared" ref="P15:P19" si="5">O15/$O$19</f>
        <v>0.20008456842376413</v>
      </c>
      <c r="Q15" s="91"/>
      <c r="R15" s="91">
        <v>1.25</v>
      </c>
      <c r="S15" s="91"/>
    </row>
    <row r="16" spans="3:19" ht="23.25" x14ac:dyDescent="0.35">
      <c r="N16" s="89" t="s">
        <v>454</v>
      </c>
      <c r="O16" s="91">
        <f>314.46+10000/32.4</f>
        <v>623.10197530864195</v>
      </c>
      <c r="P16" s="95">
        <f t="shared" si="5"/>
        <v>0.19976717334326885</v>
      </c>
      <c r="Q16" s="91"/>
      <c r="R16" s="91">
        <v>5.46</v>
      </c>
      <c r="S16" s="91"/>
    </row>
    <row r="17" spans="6:19" ht="23.25" x14ac:dyDescent="0.35">
      <c r="G17" t="s">
        <v>450</v>
      </c>
      <c r="N17" s="89" t="s">
        <v>456</v>
      </c>
      <c r="O17" s="91">
        <f>314.46+10000/32.4</f>
        <v>623.10197530864195</v>
      </c>
      <c r="P17" s="95">
        <f t="shared" si="5"/>
        <v>0.19976717334326885</v>
      </c>
      <c r="Q17" s="91"/>
      <c r="R17" s="91">
        <v>5.48</v>
      </c>
      <c r="S17" s="91"/>
    </row>
    <row r="18" spans="6:19" ht="23.25" x14ac:dyDescent="0.35">
      <c r="G18" t="s">
        <v>446</v>
      </c>
      <c r="N18" s="89" t="s">
        <v>470</v>
      </c>
      <c r="O18" s="91">
        <f>20000/32.3</f>
        <v>619.19504643962853</v>
      </c>
      <c r="P18" s="95">
        <f t="shared" si="5"/>
        <v>0.19851460768380447</v>
      </c>
      <c r="Q18" s="91"/>
      <c r="R18" s="91">
        <v>0</v>
      </c>
      <c r="S18" s="91"/>
    </row>
    <row r="19" spans="6:19" ht="23.25" x14ac:dyDescent="0.35">
      <c r="G19" t="s">
        <v>449</v>
      </c>
      <c r="N19" s="92" t="s">
        <v>457</v>
      </c>
      <c r="O19" s="93">
        <f>SUM(O14:O18)</f>
        <v>3119.1409723655547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25" x14ac:dyDescent="0.3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2925.4</v>
      </c>
    </row>
    <row r="21" spans="6:19" x14ac:dyDescent="0.25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25" x14ac:dyDescent="0.35">
      <c r="F22" s="118" t="s">
        <v>445</v>
      </c>
      <c r="G22" s="57" t="s">
        <v>428</v>
      </c>
      <c r="H22" s="84">
        <f>O15</f>
        <v>624.09197530864196</v>
      </c>
      <c r="I22" s="85">
        <f>H22/$H$27</f>
        <v>0.20008456842376413</v>
      </c>
      <c r="J22" s="84">
        <f>$J$27*I22</f>
        <v>585.32739646687958</v>
      </c>
      <c r="K22" s="88">
        <f>J11</f>
        <v>167.25565694393165</v>
      </c>
      <c r="L22" s="88">
        <f>J22-K22</f>
        <v>418.07173952294795</v>
      </c>
      <c r="N22" s="92" t="s">
        <v>458</v>
      </c>
      <c r="O22" s="93">
        <f>O20-O19</f>
        <v>-193.74097236555463</v>
      </c>
    </row>
    <row r="23" spans="6:19" x14ac:dyDescent="0.25">
      <c r="F23" s="118"/>
      <c r="G23" s="57" t="s">
        <v>429</v>
      </c>
      <c r="H23" s="84">
        <f>O17</f>
        <v>623.10197530864195</v>
      </c>
      <c r="I23" s="85">
        <f t="shared" ref="I23:I26" si="6">H23/$H$27</f>
        <v>0.19976717334326885</v>
      </c>
      <c r="J23" s="84">
        <f t="shared" ref="J23:J26" si="7">$J$27*I23</f>
        <v>584.3988888983987</v>
      </c>
      <c r="K23" s="88">
        <f>J12</f>
        <v>167.25565694393165</v>
      </c>
      <c r="L23" s="88">
        <f t="shared" ref="L23:L26" si="8">J23-K23</f>
        <v>417.14323195446707</v>
      </c>
    </row>
    <row r="24" spans="6:19" x14ac:dyDescent="0.25">
      <c r="F24" s="118"/>
      <c r="G24" s="57" t="s">
        <v>430</v>
      </c>
      <c r="H24" s="84">
        <f>O16</f>
        <v>623.10197530864195</v>
      </c>
      <c r="I24" s="85">
        <f t="shared" si="6"/>
        <v>0.19976717334326885</v>
      </c>
      <c r="J24" s="84">
        <f t="shared" si="7"/>
        <v>584.3988888983987</v>
      </c>
      <c r="K24" s="88">
        <f>J13</f>
        <v>167.25565694393165</v>
      </c>
      <c r="L24" s="88">
        <f t="shared" si="8"/>
        <v>417.14323195446707</v>
      </c>
    </row>
    <row r="25" spans="6:19" x14ac:dyDescent="0.25">
      <c r="F25" s="118"/>
      <c r="G25" s="57" t="s">
        <v>431</v>
      </c>
      <c r="H25" s="84">
        <f>O14</f>
        <v>629.65</v>
      </c>
      <c r="I25" s="85">
        <f t="shared" si="6"/>
        <v>0.20186647720589357</v>
      </c>
      <c r="J25" s="84">
        <f t="shared" si="7"/>
        <v>590.54019241812102</v>
      </c>
      <c r="K25" s="88">
        <f>J14</f>
        <v>404.23302916820506</v>
      </c>
      <c r="L25" s="88">
        <f t="shared" si="8"/>
        <v>186.30716324991596</v>
      </c>
    </row>
    <row r="26" spans="6:19" x14ac:dyDescent="0.25">
      <c r="F26" s="118"/>
      <c r="G26" s="57" t="s">
        <v>442</v>
      </c>
      <c r="H26" s="84">
        <f>O18</f>
        <v>619.19504643962853</v>
      </c>
      <c r="I26" s="85">
        <f t="shared" si="6"/>
        <v>0.19851460768380447</v>
      </c>
      <c r="J26" s="84">
        <f t="shared" si="7"/>
        <v>580.73463331820165</v>
      </c>
      <c r="K26" s="88">
        <v>0</v>
      </c>
      <c r="L26" s="88">
        <f t="shared" si="8"/>
        <v>580.73463331820165</v>
      </c>
    </row>
    <row r="27" spans="6:19" x14ac:dyDescent="0.25">
      <c r="F27" s="118"/>
      <c r="G27" s="83" t="s">
        <v>432</v>
      </c>
      <c r="H27" s="86">
        <f>SUM(H22:H26)</f>
        <v>3119.1409723655547</v>
      </c>
      <c r="I27" s="87">
        <f>SUM(I22:I26)</f>
        <v>0.99999999999999989</v>
      </c>
      <c r="J27" s="86">
        <f>O20</f>
        <v>2925.4</v>
      </c>
      <c r="K27" s="57"/>
      <c r="L27" s="88">
        <f>SUM(L22:L26)</f>
        <v>2019.3999999999996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24"/>
  <sheetViews>
    <sheetView topLeftCell="A2" zoomScale="85" zoomScaleNormal="85" workbookViewId="0">
      <selection activeCell="H22" sqref="H22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6" style="29" bestFit="1" customWidth="1"/>
    <col min="7" max="7" width="12.7109375" bestFit="1" customWidth="1"/>
    <col min="8" max="8" width="15.85546875" style="30" customWidth="1"/>
    <col min="9" max="9" width="13" style="30" customWidth="1"/>
    <col min="10" max="10" width="17.5703125" style="29" bestFit="1" customWidth="1"/>
    <col min="11" max="11" width="15.28515625" style="29" customWidth="1"/>
    <col min="12" max="12" width="10.28515625" bestFit="1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5">
        <v>45358</v>
      </c>
      <c r="G4" s="80" t="s">
        <v>463</v>
      </c>
      <c r="H4" s="55"/>
      <c r="I4" s="55"/>
      <c r="J4" s="66">
        <f ca="1">L5</f>
        <v>45371</v>
      </c>
      <c r="K4" s="56"/>
      <c r="L4" s="38" t="s">
        <v>43</v>
      </c>
    </row>
    <row r="5" spans="2:13" x14ac:dyDescent="0.25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32.320900000000002</v>
      </c>
      <c r="K5" s="56">
        <f>J5</f>
        <v>32.320900000000002</v>
      </c>
      <c r="L5" s="65">
        <f ca="1">TODAY()</f>
        <v>45371</v>
      </c>
      <c r="M5" s="32"/>
    </row>
    <row r="6" spans="2:13" x14ac:dyDescent="0.25">
      <c r="B6" s="119" t="s">
        <v>21</v>
      </c>
      <c r="C6" s="120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0.185303</v>
      </c>
      <c r="I10" s="65">
        <f t="shared" ref="I10:I15" ca="1" si="2">$L$5</f>
        <v>45371</v>
      </c>
      <c r="J10" s="70">
        <f t="shared" ref="J10:J15" si="3">C10*H10</f>
        <v>383625.57408300001</v>
      </c>
      <c r="K10" s="70">
        <f t="shared" ref="K10:K15" si="4">J10-F10</f>
        <v>17210.079693000007</v>
      </c>
      <c r="L10" s="72">
        <f t="shared" ref="L10:L17" si="5">J10/F10-1</f>
        <v>4.6968755296909359E-2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0.20332600000000001</v>
      </c>
      <c r="I11" s="65">
        <f t="shared" ca="1" si="2"/>
        <v>45371</v>
      </c>
      <c r="J11" s="70">
        <f t="shared" si="3"/>
        <v>215139.24060000002</v>
      </c>
      <c r="K11" s="70">
        <f t="shared" si="4"/>
        <v>3639.8640000000014</v>
      </c>
      <c r="L11" s="72">
        <f t="shared" si="5"/>
        <v>1.7209809591467229E-2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3.0739450000000001</v>
      </c>
      <c r="I12" s="65">
        <f t="shared" ca="1" si="2"/>
        <v>45371</v>
      </c>
      <c r="J12" s="70">
        <f t="shared" si="3"/>
        <v>142763.22763500002</v>
      </c>
      <c r="K12" s="70">
        <f t="shared" si="4"/>
        <v>3979.4684550000238</v>
      </c>
      <c r="L12" s="72">
        <f t="shared" si="5"/>
        <v>2.8673877105740653E-2</v>
      </c>
    </row>
    <row r="13" spans="2:13" s="116" customFormat="1" x14ac:dyDescent="0.25">
      <c r="B13" s="109" t="s">
        <v>31</v>
      </c>
      <c r="C13" s="110">
        <v>2380</v>
      </c>
      <c r="D13" s="111">
        <v>3.2479200000000001</v>
      </c>
      <c r="E13" s="112">
        <v>45358</v>
      </c>
      <c r="F13" s="113">
        <f t="shared" si="0"/>
        <v>7730.0496000000003</v>
      </c>
      <c r="G13" s="114">
        <f t="shared" si="1"/>
        <v>1.053792745148556E-2</v>
      </c>
      <c r="H13" s="111">
        <v>3.273298</v>
      </c>
      <c r="I13" s="112">
        <f t="shared" ca="1" si="2"/>
        <v>45371</v>
      </c>
      <c r="J13" s="113">
        <f t="shared" si="3"/>
        <v>7790.4492399999999</v>
      </c>
      <c r="K13" s="113">
        <f t="shared" si="4"/>
        <v>60.399639999999636</v>
      </c>
      <c r="L13" s="115">
        <f t="shared" si="5"/>
        <v>7.8136160989186187E-3</v>
      </c>
    </row>
    <row r="14" spans="2:13" s="116" customFormat="1" x14ac:dyDescent="0.25">
      <c r="B14" s="109" t="s">
        <v>26</v>
      </c>
      <c r="C14" s="110">
        <v>715</v>
      </c>
      <c r="D14" s="111">
        <v>7.0558899999999998</v>
      </c>
      <c r="E14" s="112">
        <v>45358</v>
      </c>
      <c r="F14" s="113">
        <f t="shared" si="0"/>
        <v>5044.9613499999996</v>
      </c>
      <c r="G14" s="114">
        <f t="shared" si="1"/>
        <v>6.8775026620590688E-3</v>
      </c>
      <c r="H14" s="111">
        <v>7.3383789999999998</v>
      </c>
      <c r="I14" s="112">
        <f t="shared" ca="1" si="2"/>
        <v>45371</v>
      </c>
      <c r="J14" s="113">
        <f t="shared" si="3"/>
        <v>5246.9409850000002</v>
      </c>
      <c r="K14" s="113">
        <f t="shared" si="4"/>
        <v>201.9796350000006</v>
      </c>
      <c r="L14" s="115">
        <f t="shared" si="5"/>
        <v>4.0035913258285039E-2</v>
      </c>
    </row>
    <row r="15" spans="2:13" s="116" customFormat="1" x14ac:dyDescent="0.25">
      <c r="B15" s="109" t="s">
        <v>50</v>
      </c>
      <c r="C15" s="110">
        <v>41</v>
      </c>
      <c r="D15" s="111">
        <v>1.904415</v>
      </c>
      <c r="E15" s="112">
        <v>45358</v>
      </c>
      <c r="F15" s="113">
        <f t="shared" si="0"/>
        <v>78.081014999999994</v>
      </c>
      <c r="G15" s="114">
        <f t="shared" si="1"/>
        <v>1.0644331071411956E-4</v>
      </c>
      <c r="H15" s="111">
        <v>1.9490620000000001</v>
      </c>
      <c r="I15" s="112">
        <f t="shared" ca="1" si="2"/>
        <v>45371</v>
      </c>
      <c r="J15" s="113">
        <f t="shared" si="3"/>
        <v>79.911541999999997</v>
      </c>
      <c r="K15" s="113">
        <f t="shared" si="4"/>
        <v>1.8305270000000036</v>
      </c>
      <c r="L15" s="115">
        <f t="shared" si="5"/>
        <v>2.3443944728433808E-2</v>
      </c>
    </row>
    <row r="16" spans="2:13" s="73" customFormat="1" x14ac:dyDescent="0.25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.75" x14ac:dyDescent="0.3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758639.15408500016</v>
      </c>
      <c r="K17" s="98">
        <f>SUM(K10:K15)</f>
        <v>25093.62195000003</v>
      </c>
      <c r="L17" s="99">
        <f t="shared" si="5"/>
        <v>3.4208676695180129E-2</v>
      </c>
      <c r="M17" s="32"/>
    </row>
    <row r="18" spans="2:13" ht="18.75" x14ac:dyDescent="0.3">
      <c r="B18" s="34"/>
      <c r="C18" s="35"/>
      <c r="D18" s="36"/>
      <c r="E18" s="36" t="s">
        <v>462</v>
      </c>
      <c r="F18" s="101">
        <f>F17/F5</f>
        <v>23069.428289037121</v>
      </c>
      <c r="G18" s="48"/>
      <c r="H18" s="49"/>
      <c r="I18" s="49"/>
      <c r="J18" s="101">
        <f>J17/J5</f>
        <v>23472.092487678256</v>
      </c>
      <c r="K18" s="101">
        <f>J18-F18</f>
        <v>402.66419864113413</v>
      </c>
      <c r="L18" s="99">
        <f>J18/F18-1</f>
        <v>1.745445069535978E-2</v>
      </c>
      <c r="M18" s="32"/>
    </row>
    <row r="19" spans="2:13" x14ac:dyDescent="0.25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45371</v>
      </c>
      <c r="J19" s="53">
        <f>J17</f>
        <v>758639.15408500016</v>
      </c>
      <c r="K19" s="53">
        <f>K17</f>
        <v>25093.62195000003</v>
      </c>
      <c r="L19" s="54">
        <f>K19/J19</f>
        <v>3.3077151126302752E-2</v>
      </c>
    </row>
    <row r="20" spans="2:13" x14ac:dyDescent="0.25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1756.5535365000023</v>
      </c>
      <c r="L20" s="57"/>
    </row>
    <row r="24" spans="2:13" x14ac:dyDescent="0.25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L24"/>
  <sheetViews>
    <sheetView workbookViewId="0">
      <selection activeCell="L9" sqref="L9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45371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f>'Rabia Çakmak (ÖNCE BUNU GİR)'!J5</f>
        <v>32.320900000000002</v>
      </c>
      <c r="J5" s="56"/>
      <c r="L5" s="32"/>
    </row>
    <row r="6" spans="1:12" x14ac:dyDescent="0.25">
      <c r="A6" s="119" t="s">
        <v>39</v>
      </c>
      <c r="B6" s="120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45371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 (ÖNCE BUNU GİR)'!H10</f>
        <v>0.185303</v>
      </c>
      <c r="H10" s="39">
        <f t="shared" ref="H10:H15" ca="1" si="2">$K$7</f>
        <v>45371</v>
      </c>
      <c r="I10" s="102">
        <f t="shared" ref="I10:I15" si="3">B10*G10</f>
        <v>207968.521748</v>
      </c>
      <c r="J10" s="102">
        <f t="shared" ref="J10:J15" si="4">I10-E10</f>
        <v>13208.537004000013</v>
      </c>
      <c r="K10" s="105">
        <f t="shared" ref="K10:K15" si="5">I10/E10-1</f>
        <v>6.7819562736985306E-2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 (ÖNCE BUNU GİR)'!H11</f>
        <v>0.20332600000000001</v>
      </c>
      <c r="H11" s="39">
        <f t="shared" ca="1" si="2"/>
        <v>45371</v>
      </c>
      <c r="I11" s="102">
        <f t="shared" si="3"/>
        <v>97657.477800000008</v>
      </c>
      <c r="J11" s="102">
        <f t="shared" si="4"/>
        <v>1650.7911000000022</v>
      </c>
      <c r="K11" s="105">
        <f t="shared" si="5"/>
        <v>1.7194542971349147E-2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 (ÖNCE BUNU GİR)'!H12</f>
        <v>3.0739450000000001</v>
      </c>
      <c r="H12" s="39">
        <f t="shared" ca="1" si="2"/>
        <v>45371</v>
      </c>
      <c r="I12" s="102">
        <f t="shared" si="3"/>
        <v>63197.235255</v>
      </c>
      <c r="J12" s="102">
        <f t="shared" si="4"/>
        <v>-124.05300599999464</v>
      </c>
      <c r="K12" s="105">
        <f t="shared" si="5"/>
        <v>-1.9591042666199376E-3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 (ÖNCE BUNU GİR)'!H13</f>
        <v>3.273298</v>
      </c>
      <c r="H13" s="39">
        <f t="shared" ca="1" si="2"/>
        <v>45371</v>
      </c>
      <c r="I13" s="102">
        <f t="shared" si="3"/>
        <v>3564.6215219999999</v>
      </c>
      <c r="J13" s="102">
        <f t="shared" si="4"/>
        <v>37.934225999999853</v>
      </c>
      <c r="K13" s="105">
        <f t="shared" si="5"/>
        <v>1.0756333866919654E-2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 (ÖNCE BUNU GİR)'!H14</f>
        <v>7.3383789999999998</v>
      </c>
      <c r="H14" s="39">
        <f t="shared" ca="1" si="2"/>
        <v>45371</v>
      </c>
      <c r="I14" s="102">
        <f t="shared" si="3"/>
        <v>2311.5893849999998</v>
      </c>
      <c r="J14" s="102">
        <f t="shared" si="4"/>
        <v>12.334454999999707</v>
      </c>
      <c r="K14" s="105">
        <f t="shared" si="5"/>
        <v>5.3645443308887319E-3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2.4318819999999999</v>
      </c>
      <c r="H15" s="39">
        <f t="shared" ca="1" si="2"/>
        <v>45371</v>
      </c>
      <c r="I15" s="102">
        <f t="shared" si="3"/>
        <v>70.524577999999991</v>
      </c>
      <c r="J15" s="102">
        <f t="shared" si="4"/>
        <v>0.78392799999998886</v>
      </c>
      <c r="K15" s="105">
        <f t="shared" si="5"/>
        <v>1.1240617917957385E-2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103">
        <f>SUM(E10:E15)</f>
        <v>359983.64258099999</v>
      </c>
      <c r="F17" s="48">
        <f>SUM(F10:F15)</f>
        <v>1</v>
      </c>
      <c r="G17" s="49"/>
      <c r="H17" s="49"/>
      <c r="I17" s="103">
        <f>SUM(I10:I15)</f>
        <v>374769.97028800001</v>
      </c>
      <c r="J17" s="103">
        <f>SUM(J10:J15)</f>
        <v>14786.32770700002</v>
      </c>
      <c r="K17" s="104">
        <f>I17/E17-1</f>
        <v>4.1074998855463063E-2</v>
      </c>
      <c r="L17" s="32"/>
    </row>
    <row r="18" spans="1:12" x14ac:dyDescent="0.25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25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25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45371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25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9805.0298285000008</v>
      </c>
      <c r="H21" s="39">
        <f ca="1">$K$7</f>
        <v>45371</v>
      </c>
      <c r="I21" s="103">
        <f>I20*$I$5</f>
        <v>49025.149142500006</v>
      </c>
      <c r="J21" s="103">
        <f>I21-E21</f>
        <v>1822.4366425000117</v>
      </c>
      <c r="K21" s="104">
        <f>I21/E21-1</f>
        <v>3.8608727040845725E-2</v>
      </c>
      <c r="L21" s="32"/>
    </row>
    <row r="22" spans="1:12" x14ac:dyDescent="0.25">
      <c r="A22" s="61"/>
      <c r="B22" s="57"/>
      <c r="C22" s="55"/>
      <c r="D22" s="55"/>
      <c r="E22" s="100"/>
      <c r="F22" s="57"/>
      <c r="G22" s="55"/>
      <c r="H22" s="55"/>
      <c r="I22" s="56"/>
      <c r="J22" s="56"/>
      <c r="K22" s="57"/>
    </row>
    <row r="23" spans="1:12" x14ac:dyDescent="0.25">
      <c r="A23" s="61"/>
      <c r="B23" s="57"/>
      <c r="C23" s="55"/>
      <c r="D23" s="55"/>
      <c r="E23" s="56"/>
      <c r="F23" s="57"/>
      <c r="G23" s="63" t="s">
        <v>46</v>
      </c>
      <c r="H23" s="52">
        <f ca="1">$K$7</f>
        <v>45371</v>
      </c>
      <c r="I23" s="103">
        <f>I21+I17</f>
        <v>423795.11943050002</v>
      </c>
      <c r="J23" s="103">
        <f>J21+J17</f>
        <v>16608.76434950003</v>
      </c>
      <c r="K23" s="104">
        <f>J23/I23</f>
        <v>3.9190551254622868E-2</v>
      </c>
    </row>
    <row r="24" spans="1:12" x14ac:dyDescent="0.25">
      <c r="A24" s="61"/>
      <c r="B24" s="57"/>
      <c r="C24" s="55"/>
      <c r="D24" s="55"/>
      <c r="E24" s="56"/>
      <c r="F24" s="57"/>
      <c r="G24" s="64" t="s">
        <v>47</v>
      </c>
      <c r="H24" s="55"/>
      <c r="I24" s="56"/>
      <c r="J24" s="53">
        <f>J23*0.07</f>
        <v>1162.6135044650023</v>
      </c>
      <c r="K24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Aksoy'!XFD1048549:XFD1048576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L18"/>
  <sheetViews>
    <sheetView workbookViewId="0">
      <selection activeCell="G23" sqref="G23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45362</v>
      </c>
      <c r="F4" s="57"/>
      <c r="G4" s="55"/>
      <c r="H4" s="55"/>
      <c r="I4" s="66">
        <f ca="1">K7</f>
        <v>45371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f>'Rabia Çakmak (ÖNCE BUNU GİR)'!J5</f>
        <v>32.320900000000002</v>
      </c>
      <c r="J5" s="56"/>
      <c r="L5" s="32"/>
    </row>
    <row r="6" spans="1:12" x14ac:dyDescent="0.25">
      <c r="A6" s="119" t="s">
        <v>39</v>
      </c>
      <c r="B6" s="120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45371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106378</v>
      </c>
      <c r="C10" s="36">
        <v>0.17799599999999999</v>
      </c>
      <c r="D10" s="39">
        <v>45358</v>
      </c>
      <c r="E10" s="37">
        <f t="shared" ref="E10:E12" si="0">B10*C10</f>
        <v>18934.858487999998</v>
      </c>
      <c r="F10" s="45">
        <f>E10/$E$14</f>
        <v>0.53329383036388001</v>
      </c>
      <c r="G10" s="36">
        <f>'Rabia Çakmak (ÖNCE BUNU GİR)'!H10</f>
        <v>0.185303</v>
      </c>
      <c r="H10" s="39">
        <f t="shared" ref="H10:H12" ca="1" si="1">$K$7</f>
        <v>45371</v>
      </c>
      <c r="I10" s="102">
        <f t="shared" ref="I10:I12" si="2">B10*G10</f>
        <v>19712.162533999999</v>
      </c>
      <c r="J10" s="102">
        <f t="shared" ref="J10:J12" si="3">I10-E10</f>
        <v>777.30404600000111</v>
      </c>
      <c r="K10" s="105">
        <f t="shared" ref="K10:K12" si="4">I10/E10-1</f>
        <v>4.1051484303018082E-2</v>
      </c>
      <c r="L10" s="32"/>
    </row>
    <row r="11" spans="1:12" x14ac:dyDescent="0.25">
      <c r="A11" s="44" t="s">
        <v>27</v>
      </c>
      <c r="B11" s="35">
        <v>46100</v>
      </c>
      <c r="C11" s="36">
        <v>0.202096</v>
      </c>
      <c r="D11" s="39">
        <v>45358</v>
      </c>
      <c r="E11" s="37">
        <f t="shared" si="0"/>
        <v>9316.6255999999994</v>
      </c>
      <c r="F11" s="45">
        <f t="shared" ref="F11" si="5">E11/$E$14</f>
        <v>0.26239958198995667</v>
      </c>
      <c r="G11" s="36">
        <f>'Rabia Çakmak (ÖNCE BUNU GİR)'!H11</f>
        <v>0.20332600000000001</v>
      </c>
      <c r="H11" s="39">
        <f t="shared" ca="1" si="1"/>
        <v>45371</v>
      </c>
      <c r="I11" s="102">
        <f t="shared" si="2"/>
        <v>9373.3286000000007</v>
      </c>
      <c r="J11" s="102">
        <f t="shared" si="3"/>
        <v>56.703000000001339</v>
      </c>
      <c r="K11" s="105">
        <f t="shared" si="4"/>
        <v>6.0862164515875783E-3</v>
      </c>
      <c r="L11" s="32"/>
    </row>
    <row r="12" spans="1:12" x14ac:dyDescent="0.25">
      <c r="A12" s="44" t="s">
        <v>31</v>
      </c>
      <c r="B12" s="35">
        <v>2193</v>
      </c>
      <c r="C12" s="36">
        <v>3.3077999999999999</v>
      </c>
      <c r="D12" s="39">
        <v>45358</v>
      </c>
      <c r="E12" s="37">
        <f t="shared" si="0"/>
        <v>7254.0054</v>
      </c>
      <c r="F12" s="45">
        <f>E12/$E$14</f>
        <v>0.20430658764616325</v>
      </c>
      <c r="G12" s="36">
        <f>'Rabia Çakmak (ÖNCE BUNU GİR)'!H13</f>
        <v>3.273298</v>
      </c>
      <c r="H12" s="39">
        <f t="shared" ca="1" si="1"/>
        <v>45371</v>
      </c>
      <c r="I12" s="102">
        <f t="shared" si="2"/>
        <v>7178.3425139999999</v>
      </c>
      <c r="J12" s="102">
        <f t="shared" si="3"/>
        <v>-75.662886000000071</v>
      </c>
      <c r="K12" s="105">
        <f t="shared" si="4"/>
        <v>-1.0430497611705669E-2</v>
      </c>
      <c r="L12" s="32"/>
    </row>
    <row r="13" spans="1:12" x14ac:dyDescent="0.25">
      <c r="A13" s="44"/>
      <c r="B13" s="35"/>
      <c r="C13" s="36"/>
      <c r="D13" s="39"/>
      <c r="E13" s="37"/>
      <c r="F13" s="45"/>
      <c r="G13" s="36"/>
      <c r="H13" s="39"/>
      <c r="I13" s="37"/>
      <c r="J13" s="37"/>
      <c r="K13" s="46"/>
      <c r="L13" s="32"/>
    </row>
    <row r="14" spans="1:12" x14ac:dyDescent="0.25">
      <c r="A14" s="34"/>
      <c r="B14" s="35"/>
      <c r="C14" s="36"/>
      <c r="D14" s="36"/>
      <c r="E14" s="103">
        <f>SUM(E10:E12)</f>
        <v>35505.489487999999</v>
      </c>
      <c r="F14" s="48">
        <f>SUM(F10:F12)</f>
        <v>0.99999999999999989</v>
      </c>
      <c r="G14" s="49"/>
      <c r="H14" s="49"/>
      <c r="I14" s="103">
        <f>SUM(I10:I12)</f>
        <v>36263.833648</v>
      </c>
      <c r="J14" s="103">
        <f>SUM(J10:J12)</f>
        <v>758.34416000000238</v>
      </c>
      <c r="K14" s="104">
        <f>I14/E14-1</f>
        <v>2.1358504584377158E-2</v>
      </c>
      <c r="L14" s="32"/>
    </row>
    <row r="15" spans="1:12" x14ac:dyDescent="0.25">
      <c r="A15" s="34"/>
      <c r="B15" s="35"/>
      <c r="C15" s="36"/>
      <c r="D15" s="36"/>
      <c r="E15" s="51"/>
      <c r="F15" s="48"/>
      <c r="G15" s="49"/>
      <c r="H15" s="49"/>
      <c r="I15" s="51"/>
      <c r="J15" s="47"/>
      <c r="K15" s="50"/>
      <c r="L15" s="32"/>
    </row>
    <row r="16" spans="1:12" x14ac:dyDescent="0.25">
      <c r="A16" s="61"/>
      <c r="B16" s="57"/>
      <c r="C16" s="55"/>
      <c r="D16" s="55"/>
      <c r="E16" s="100"/>
      <c r="F16" s="57"/>
      <c r="G16" s="55"/>
      <c r="H16" s="55"/>
      <c r="I16" s="56"/>
      <c r="J16" s="56"/>
      <c r="K16" s="57"/>
    </row>
    <row r="17" spans="1:11" x14ac:dyDescent="0.25">
      <c r="A17" s="61"/>
      <c r="B17" s="57"/>
      <c r="C17" s="55"/>
      <c r="D17" s="55"/>
      <c r="E17" s="56"/>
      <c r="F17" s="57"/>
      <c r="G17" s="63" t="s">
        <v>46</v>
      </c>
      <c r="H17" s="52">
        <f ca="1">$K$7</f>
        <v>45371</v>
      </c>
      <c r="I17" s="103">
        <f>I14</f>
        <v>36263.833648</v>
      </c>
      <c r="J17" s="103">
        <f>J14</f>
        <v>758.34416000000238</v>
      </c>
      <c r="K17" s="104">
        <f>J17/I17</f>
        <v>2.0911858557508746E-2</v>
      </c>
    </row>
    <row r="18" spans="1:11" x14ac:dyDescent="0.25">
      <c r="A18" s="61"/>
      <c r="B18" s="57"/>
      <c r="C18" s="55"/>
      <c r="D18" s="55"/>
      <c r="E18" s="56"/>
      <c r="F18" s="57"/>
      <c r="G18" s="64" t="s">
        <v>47</v>
      </c>
      <c r="H18" s="55"/>
      <c r="I18" s="56"/>
      <c r="J18" s="53">
        <f>J17*0.07</f>
        <v>53.084091200000174</v>
      </c>
      <c r="K18" s="57"/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FOREX Müşteri</vt:lpstr>
      <vt:lpstr>FOREX ORTAK</vt:lpstr>
      <vt:lpstr>Rabia Çakmak (ÖNCE BUNU GİR)</vt:lpstr>
      <vt:lpstr>Can Aksoy</vt:lpstr>
      <vt:lpstr>Ferah Ünlü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2024-03-20T19:42:34Z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