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/>
  <mc:AlternateContent xmlns:mc="http://schemas.openxmlformats.org/markup-compatibility/2006">
    <mc:Choice Requires="x15">
      <x15ac:absPath xmlns:x15ac="http://schemas.microsoft.com/office/spreadsheetml/2010/11/ac" url="C:\Users\Farts of War\Documents\Paccar\CFA_research\"/>
    </mc:Choice>
  </mc:AlternateContent>
  <bookViews>
    <workbookView xWindow="0" yWindow="0" windowWidth="16470" windowHeight="11415" xr2:uid="{00000000-000D-0000-FFFF-FFFF00000000}"/>
  </bookViews>
  <sheets>
    <sheet name="BIData" sheetId="2" r:id="rId1"/>
    <sheet name="ReferenceData" sheetId="3" r:id="rId2"/>
    <sheet name="Help-Reference" sheetId="4" r:id="rId3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G110" i="3" l="1"/>
  <c r="CF110" i="3"/>
  <c r="CE110" i="3"/>
  <c r="CD110" i="3"/>
  <c r="CC110" i="3"/>
  <c r="CB110" i="3"/>
  <c r="CA110" i="3"/>
  <c r="BZ110" i="3"/>
  <c r="BY110" i="3"/>
  <c r="BX110" i="3"/>
  <c r="BW110" i="3"/>
  <c r="BV110" i="3"/>
  <c r="BU110" i="3"/>
  <c r="BT110" i="3"/>
  <c r="BS110" i="3"/>
  <c r="BR110" i="3"/>
  <c r="BQ110" i="3"/>
  <c r="BP110" i="3"/>
  <c r="BO110" i="3"/>
  <c r="BN110" i="3"/>
  <c r="BM110" i="3"/>
  <c r="BL110" i="3"/>
  <c r="BK110" i="3"/>
  <c r="BJ110" i="3"/>
  <c r="BI110" i="3"/>
  <c r="BH110" i="3"/>
  <c r="BG110" i="3"/>
  <c r="BF110" i="3"/>
  <c r="BE110" i="3"/>
  <c r="BD110" i="3"/>
  <c r="BC110" i="3"/>
  <c r="BB110" i="3"/>
  <c r="BA110" i="3"/>
  <c r="AZ110" i="3"/>
  <c r="AY110" i="3"/>
  <c r="AX110" i="3"/>
  <c r="AW110" i="3"/>
  <c r="AV110" i="3"/>
  <c r="AU110" i="3"/>
  <c r="AT110" i="3"/>
  <c r="E110" i="3"/>
  <c r="D110" i="3"/>
  <c r="C110" i="3"/>
  <c r="B110" i="3"/>
  <c r="A110" i="3"/>
  <c r="CG109" i="3"/>
  <c r="CF109" i="3"/>
  <c r="CE109" i="3"/>
  <c r="CD109" i="3"/>
  <c r="CC109" i="3"/>
  <c r="CB109" i="3"/>
  <c r="CA109" i="3"/>
  <c r="BZ109" i="3"/>
  <c r="BY109" i="3"/>
  <c r="BX109" i="3"/>
  <c r="BW109" i="3"/>
  <c r="BV109" i="3"/>
  <c r="BU109" i="3"/>
  <c r="BT109" i="3"/>
  <c r="BS109" i="3"/>
  <c r="BR109" i="3"/>
  <c r="BQ109" i="3"/>
  <c r="BP109" i="3"/>
  <c r="BO109" i="3"/>
  <c r="BN109" i="3"/>
  <c r="BM109" i="3"/>
  <c r="BL109" i="3"/>
  <c r="BK109" i="3"/>
  <c r="BJ109" i="3"/>
  <c r="BI109" i="3"/>
  <c r="BH109" i="3"/>
  <c r="BG109" i="3"/>
  <c r="BF109" i="3"/>
  <c r="BE109" i="3"/>
  <c r="BD109" i="3"/>
  <c r="BC109" i="3"/>
  <c r="BB109" i="3"/>
  <c r="BA109" i="3"/>
  <c r="AZ109" i="3"/>
  <c r="AY109" i="3"/>
  <c r="AX109" i="3"/>
  <c r="AW109" i="3"/>
  <c r="AV109" i="3"/>
  <c r="AU109" i="3"/>
  <c r="AT109" i="3"/>
  <c r="A109" i="3"/>
  <c r="CG108" i="3"/>
  <c r="CF108" i="3"/>
  <c r="CE108" i="3"/>
  <c r="CD108" i="3"/>
  <c r="CC108" i="3"/>
  <c r="CB108" i="3"/>
  <c r="CA108" i="3"/>
  <c r="BZ108" i="3"/>
  <c r="BY108" i="3"/>
  <c r="BX108" i="3"/>
  <c r="BW108" i="3"/>
  <c r="BV108" i="3"/>
  <c r="BU108" i="3"/>
  <c r="BT108" i="3"/>
  <c r="BS108" i="3"/>
  <c r="BR108" i="3"/>
  <c r="BQ108" i="3"/>
  <c r="BP108" i="3"/>
  <c r="BO108" i="3"/>
  <c r="BN108" i="3"/>
  <c r="BM108" i="3"/>
  <c r="BL108" i="3"/>
  <c r="BK108" i="3"/>
  <c r="BJ108" i="3"/>
  <c r="BI108" i="3"/>
  <c r="BH108" i="3"/>
  <c r="BG108" i="3"/>
  <c r="BF108" i="3"/>
  <c r="BE108" i="3"/>
  <c r="BD108" i="3"/>
  <c r="BC108" i="3"/>
  <c r="BB108" i="3"/>
  <c r="BA108" i="3"/>
  <c r="AZ108" i="3"/>
  <c r="AY108" i="3"/>
  <c r="AX108" i="3"/>
  <c r="AW108" i="3"/>
  <c r="AV108" i="3"/>
  <c r="AU108" i="3"/>
  <c r="AT108" i="3"/>
  <c r="A108" i="3"/>
  <c r="CG107" i="3"/>
  <c r="CF107" i="3"/>
  <c r="CE107" i="3"/>
  <c r="CD107" i="3"/>
  <c r="CC107" i="3"/>
  <c r="CB107" i="3"/>
  <c r="CA107" i="3"/>
  <c r="BZ107" i="3"/>
  <c r="BY107" i="3"/>
  <c r="BX107" i="3"/>
  <c r="BW107" i="3"/>
  <c r="BV107" i="3"/>
  <c r="BU107" i="3"/>
  <c r="BT107" i="3"/>
  <c r="BS107" i="3"/>
  <c r="BR107" i="3"/>
  <c r="BQ107" i="3"/>
  <c r="BP107" i="3"/>
  <c r="BO107" i="3"/>
  <c r="BN107" i="3"/>
  <c r="BM107" i="3"/>
  <c r="BL107" i="3"/>
  <c r="BK107" i="3"/>
  <c r="BJ107" i="3"/>
  <c r="BI107" i="3"/>
  <c r="BH107" i="3"/>
  <c r="BG107" i="3"/>
  <c r="BF107" i="3"/>
  <c r="BE107" i="3"/>
  <c r="BD107" i="3"/>
  <c r="BC107" i="3"/>
  <c r="BB107" i="3"/>
  <c r="BA107" i="3"/>
  <c r="AZ107" i="3"/>
  <c r="AY107" i="3"/>
  <c r="AX107" i="3"/>
  <c r="AW107" i="3"/>
  <c r="AV107" i="3"/>
  <c r="AU107" i="3"/>
  <c r="AT107" i="3"/>
  <c r="A107" i="3"/>
  <c r="CG106" i="3"/>
  <c r="CF106" i="3"/>
  <c r="CE106" i="3"/>
  <c r="CD106" i="3"/>
  <c r="CC106" i="3"/>
  <c r="CB106" i="3"/>
  <c r="CA106" i="3"/>
  <c r="BZ106" i="3"/>
  <c r="BY106" i="3"/>
  <c r="BX106" i="3"/>
  <c r="BW106" i="3"/>
  <c r="BV106" i="3"/>
  <c r="BU106" i="3"/>
  <c r="BT106" i="3"/>
  <c r="BS106" i="3"/>
  <c r="BR106" i="3"/>
  <c r="BQ106" i="3"/>
  <c r="BP106" i="3"/>
  <c r="BO106" i="3"/>
  <c r="BN106" i="3"/>
  <c r="BM106" i="3"/>
  <c r="BL106" i="3"/>
  <c r="BK106" i="3"/>
  <c r="BJ106" i="3"/>
  <c r="BI106" i="3"/>
  <c r="BH106" i="3"/>
  <c r="BG106" i="3"/>
  <c r="BF106" i="3"/>
  <c r="BE106" i="3"/>
  <c r="BD106" i="3"/>
  <c r="BC106" i="3"/>
  <c r="BB106" i="3"/>
  <c r="BA106" i="3"/>
  <c r="AZ106" i="3"/>
  <c r="AY106" i="3"/>
  <c r="AX106" i="3"/>
  <c r="AW106" i="3"/>
  <c r="AV106" i="3"/>
  <c r="AU106" i="3"/>
  <c r="AT106" i="3"/>
  <c r="A106" i="3"/>
  <c r="CG105" i="3"/>
  <c r="CF105" i="3"/>
  <c r="CE105" i="3"/>
  <c r="CD105" i="3"/>
  <c r="CC105" i="3"/>
  <c r="CB105" i="3"/>
  <c r="CA105" i="3"/>
  <c r="BZ105" i="3"/>
  <c r="BY105" i="3"/>
  <c r="BX105" i="3"/>
  <c r="BW105" i="3"/>
  <c r="BV105" i="3"/>
  <c r="BU105" i="3"/>
  <c r="BT105" i="3"/>
  <c r="BS105" i="3"/>
  <c r="BR105" i="3"/>
  <c r="BQ105" i="3"/>
  <c r="BP105" i="3"/>
  <c r="BO105" i="3"/>
  <c r="BN105" i="3"/>
  <c r="BM105" i="3"/>
  <c r="BL105" i="3"/>
  <c r="BK105" i="3"/>
  <c r="BJ105" i="3"/>
  <c r="BI105" i="3"/>
  <c r="BH105" i="3"/>
  <c r="BG105" i="3"/>
  <c r="BF105" i="3"/>
  <c r="BE105" i="3"/>
  <c r="BD105" i="3"/>
  <c r="BC105" i="3"/>
  <c r="BB105" i="3"/>
  <c r="BA105" i="3"/>
  <c r="AZ105" i="3"/>
  <c r="AY105" i="3"/>
  <c r="AX105" i="3"/>
  <c r="AW105" i="3"/>
  <c r="AV105" i="3"/>
  <c r="AU105" i="3"/>
  <c r="AT105" i="3"/>
  <c r="A105" i="3"/>
  <c r="CG104" i="3"/>
  <c r="CF104" i="3"/>
  <c r="CE104" i="3"/>
  <c r="CD104" i="3"/>
  <c r="CC104" i="3"/>
  <c r="CB104" i="3"/>
  <c r="CA104" i="3"/>
  <c r="BZ104" i="3"/>
  <c r="BY104" i="3"/>
  <c r="BX104" i="3"/>
  <c r="BW104" i="3"/>
  <c r="BV104" i="3"/>
  <c r="BU104" i="3"/>
  <c r="BT104" i="3"/>
  <c r="BS104" i="3"/>
  <c r="BR104" i="3"/>
  <c r="BQ104" i="3"/>
  <c r="BP104" i="3"/>
  <c r="BO104" i="3"/>
  <c r="BN104" i="3"/>
  <c r="BM104" i="3"/>
  <c r="BL104" i="3"/>
  <c r="BK104" i="3"/>
  <c r="BJ104" i="3"/>
  <c r="BI104" i="3"/>
  <c r="BH104" i="3"/>
  <c r="BG104" i="3"/>
  <c r="BF104" i="3"/>
  <c r="BE104" i="3"/>
  <c r="BD104" i="3"/>
  <c r="BC104" i="3"/>
  <c r="BB104" i="3"/>
  <c r="BA104" i="3"/>
  <c r="AZ104" i="3"/>
  <c r="AY104" i="3"/>
  <c r="AX104" i="3"/>
  <c r="AW104" i="3"/>
  <c r="AV104" i="3"/>
  <c r="AU104" i="3"/>
  <c r="AT104" i="3"/>
  <c r="A104" i="3"/>
  <c r="CG103" i="3"/>
  <c r="CF103" i="3"/>
  <c r="CE103" i="3"/>
  <c r="CD103" i="3"/>
  <c r="CC103" i="3"/>
  <c r="CB103" i="3"/>
  <c r="CA103" i="3"/>
  <c r="BZ103" i="3"/>
  <c r="BY103" i="3"/>
  <c r="BX103" i="3"/>
  <c r="BW103" i="3"/>
  <c r="BV103" i="3"/>
  <c r="BU103" i="3"/>
  <c r="BT103" i="3"/>
  <c r="BS103" i="3"/>
  <c r="BR103" i="3"/>
  <c r="BQ103" i="3"/>
  <c r="BP103" i="3"/>
  <c r="BO103" i="3"/>
  <c r="BN103" i="3"/>
  <c r="BM103" i="3"/>
  <c r="BL103" i="3"/>
  <c r="BK103" i="3"/>
  <c r="BJ103" i="3"/>
  <c r="BI103" i="3"/>
  <c r="BH103" i="3"/>
  <c r="BG103" i="3"/>
  <c r="BF103" i="3"/>
  <c r="BE103" i="3"/>
  <c r="BD103" i="3"/>
  <c r="BC103" i="3"/>
  <c r="BB103" i="3"/>
  <c r="BA103" i="3"/>
  <c r="AZ103" i="3"/>
  <c r="AY103" i="3"/>
  <c r="AX103" i="3"/>
  <c r="AW103" i="3"/>
  <c r="AV103" i="3"/>
  <c r="AU103" i="3"/>
  <c r="AT103" i="3"/>
  <c r="A103" i="3"/>
  <c r="CG102" i="3"/>
  <c r="CF102" i="3"/>
  <c r="CE102" i="3"/>
  <c r="CD102" i="3"/>
  <c r="CC102" i="3"/>
  <c r="CB102" i="3"/>
  <c r="CA102" i="3"/>
  <c r="BZ102" i="3"/>
  <c r="BY102" i="3"/>
  <c r="BX102" i="3"/>
  <c r="BW102" i="3"/>
  <c r="BV102" i="3"/>
  <c r="BU102" i="3"/>
  <c r="BT102" i="3"/>
  <c r="BS102" i="3"/>
  <c r="BR102" i="3"/>
  <c r="BQ102" i="3"/>
  <c r="BP102" i="3"/>
  <c r="BO102" i="3"/>
  <c r="BN102" i="3"/>
  <c r="BM102" i="3"/>
  <c r="BL102" i="3"/>
  <c r="BK102" i="3"/>
  <c r="BJ102" i="3"/>
  <c r="BI102" i="3"/>
  <c r="BH102" i="3"/>
  <c r="BG102" i="3"/>
  <c r="BF102" i="3"/>
  <c r="BE102" i="3"/>
  <c r="BD102" i="3"/>
  <c r="BC102" i="3"/>
  <c r="BB102" i="3"/>
  <c r="BA102" i="3"/>
  <c r="AZ102" i="3"/>
  <c r="AY102" i="3"/>
  <c r="AX102" i="3"/>
  <c r="AW102" i="3"/>
  <c r="AV102" i="3"/>
  <c r="AU102" i="3"/>
  <c r="AT102" i="3"/>
  <c r="A102" i="3"/>
  <c r="CG101" i="3"/>
  <c r="CF101" i="3"/>
  <c r="CE101" i="3"/>
  <c r="CD101" i="3"/>
  <c r="CC101" i="3"/>
  <c r="CB101" i="3"/>
  <c r="CA101" i="3"/>
  <c r="BZ101" i="3"/>
  <c r="BY101" i="3"/>
  <c r="BX101" i="3"/>
  <c r="BW101" i="3"/>
  <c r="BV101" i="3"/>
  <c r="BU101" i="3"/>
  <c r="BT101" i="3"/>
  <c r="BS101" i="3"/>
  <c r="BR101" i="3"/>
  <c r="BQ101" i="3"/>
  <c r="BP101" i="3"/>
  <c r="BO101" i="3"/>
  <c r="BN101" i="3"/>
  <c r="BM101" i="3"/>
  <c r="BL101" i="3"/>
  <c r="BK101" i="3"/>
  <c r="BJ101" i="3"/>
  <c r="BI101" i="3"/>
  <c r="BH101" i="3"/>
  <c r="BG101" i="3"/>
  <c r="BF101" i="3"/>
  <c r="BE101" i="3"/>
  <c r="BD101" i="3"/>
  <c r="BC101" i="3"/>
  <c r="BB101" i="3"/>
  <c r="BA101" i="3"/>
  <c r="AZ101" i="3"/>
  <c r="AY101" i="3"/>
  <c r="AX101" i="3"/>
  <c r="AW101" i="3"/>
  <c r="AV101" i="3"/>
  <c r="AU101" i="3"/>
  <c r="AT101" i="3"/>
  <c r="A101" i="3"/>
  <c r="CG100" i="3"/>
  <c r="CF100" i="3"/>
  <c r="CE100" i="3"/>
  <c r="CD100" i="3"/>
  <c r="CC100" i="3"/>
  <c r="CB100" i="3"/>
  <c r="CA100" i="3"/>
  <c r="BZ100" i="3"/>
  <c r="BY100" i="3"/>
  <c r="BX100" i="3"/>
  <c r="BW100" i="3"/>
  <c r="BV100" i="3"/>
  <c r="BU100" i="3"/>
  <c r="BT100" i="3"/>
  <c r="BS100" i="3"/>
  <c r="BR100" i="3"/>
  <c r="BQ100" i="3"/>
  <c r="BP100" i="3"/>
  <c r="BO100" i="3"/>
  <c r="BN100" i="3"/>
  <c r="BM100" i="3"/>
  <c r="BL100" i="3"/>
  <c r="BK100" i="3"/>
  <c r="BJ100" i="3"/>
  <c r="BI100" i="3"/>
  <c r="BH100" i="3"/>
  <c r="BG100" i="3"/>
  <c r="BF100" i="3"/>
  <c r="BE100" i="3"/>
  <c r="BD100" i="3"/>
  <c r="BC100" i="3"/>
  <c r="BB100" i="3"/>
  <c r="BA100" i="3"/>
  <c r="AZ100" i="3"/>
  <c r="AY100" i="3"/>
  <c r="AX100" i="3"/>
  <c r="AW100" i="3"/>
  <c r="AV100" i="3"/>
  <c r="AU100" i="3"/>
  <c r="AT100" i="3"/>
  <c r="A100" i="3"/>
  <c r="CG99" i="3"/>
  <c r="CF99" i="3"/>
  <c r="CE99" i="3"/>
  <c r="CD99" i="3"/>
  <c r="CC99" i="3"/>
  <c r="CB99" i="3"/>
  <c r="CA99" i="3"/>
  <c r="BZ99" i="3"/>
  <c r="BY99" i="3"/>
  <c r="BX99" i="3"/>
  <c r="BW99" i="3"/>
  <c r="BV99" i="3"/>
  <c r="BU99" i="3"/>
  <c r="BT99" i="3"/>
  <c r="BS99" i="3"/>
  <c r="BR99" i="3"/>
  <c r="BQ99" i="3"/>
  <c r="BP99" i="3"/>
  <c r="BO99" i="3"/>
  <c r="BN99" i="3"/>
  <c r="BM99" i="3"/>
  <c r="BL99" i="3"/>
  <c r="BK99" i="3"/>
  <c r="BJ99" i="3"/>
  <c r="BI99" i="3"/>
  <c r="BH99" i="3"/>
  <c r="BG99" i="3"/>
  <c r="BF99" i="3"/>
  <c r="BE99" i="3"/>
  <c r="BD99" i="3"/>
  <c r="BC99" i="3"/>
  <c r="BB99" i="3"/>
  <c r="BA99" i="3"/>
  <c r="AZ99" i="3"/>
  <c r="AY99" i="3"/>
  <c r="AX99" i="3"/>
  <c r="AW99" i="3"/>
  <c r="AV99" i="3"/>
  <c r="AU99" i="3"/>
  <c r="AT99" i="3"/>
  <c r="A99" i="3"/>
  <c r="CG98" i="3"/>
  <c r="CF98" i="3"/>
  <c r="CE98" i="3"/>
  <c r="CD98" i="3"/>
  <c r="CC98" i="3"/>
  <c r="CB98" i="3"/>
  <c r="CA98" i="3"/>
  <c r="BZ98" i="3"/>
  <c r="BY98" i="3"/>
  <c r="BX98" i="3"/>
  <c r="BW98" i="3"/>
  <c r="BV98" i="3"/>
  <c r="BU98" i="3"/>
  <c r="BT98" i="3"/>
  <c r="BS98" i="3"/>
  <c r="BR98" i="3"/>
  <c r="BQ98" i="3"/>
  <c r="BP98" i="3"/>
  <c r="BO98" i="3"/>
  <c r="BN98" i="3"/>
  <c r="BM98" i="3"/>
  <c r="BL98" i="3"/>
  <c r="BK98" i="3"/>
  <c r="BJ98" i="3"/>
  <c r="BI98" i="3"/>
  <c r="BH98" i="3"/>
  <c r="BG98" i="3"/>
  <c r="BF98" i="3"/>
  <c r="BE98" i="3"/>
  <c r="BD98" i="3"/>
  <c r="BC98" i="3"/>
  <c r="BB98" i="3"/>
  <c r="BA98" i="3"/>
  <c r="AZ98" i="3"/>
  <c r="AY98" i="3"/>
  <c r="AX98" i="3"/>
  <c r="AW98" i="3"/>
  <c r="AV98" i="3"/>
  <c r="AU98" i="3"/>
  <c r="AT98" i="3"/>
  <c r="A98" i="3"/>
  <c r="CG97" i="3"/>
  <c r="CF97" i="3"/>
  <c r="CE97" i="3"/>
  <c r="CD97" i="3"/>
  <c r="CC97" i="3"/>
  <c r="CB97" i="3"/>
  <c r="CA97" i="3"/>
  <c r="BZ97" i="3"/>
  <c r="BY97" i="3"/>
  <c r="BX97" i="3"/>
  <c r="BW97" i="3"/>
  <c r="BV97" i="3"/>
  <c r="BU97" i="3"/>
  <c r="BT97" i="3"/>
  <c r="BS97" i="3"/>
  <c r="BR97" i="3"/>
  <c r="BQ97" i="3"/>
  <c r="BP97" i="3"/>
  <c r="BO97" i="3"/>
  <c r="BN97" i="3"/>
  <c r="BM97" i="3"/>
  <c r="BL97" i="3"/>
  <c r="BK97" i="3"/>
  <c r="BJ97" i="3"/>
  <c r="BI97" i="3"/>
  <c r="BH97" i="3"/>
  <c r="BG97" i="3"/>
  <c r="BF97" i="3"/>
  <c r="BE97" i="3"/>
  <c r="BD97" i="3"/>
  <c r="BC97" i="3"/>
  <c r="BB97" i="3"/>
  <c r="BA97" i="3"/>
  <c r="AZ97" i="3"/>
  <c r="AY97" i="3"/>
  <c r="AX97" i="3"/>
  <c r="AW97" i="3"/>
  <c r="AV97" i="3"/>
  <c r="AU97" i="3"/>
  <c r="AT97" i="3"/>
  <c r="AP97" i="3"/>
  <c r="AO97" i="3"/>
  <c r="AN97" i="3"/>
  <c r="AM97" i="3"/>
  <c r="AL97" i="3"/>
  <c r="AK97" i="3"/>
  <c r="AJ97" i="3"/>
  <c r="AI97" i="3"/>
  <c r="AH97" i="3"/>
  <c r="AG97" i="3"/>
  <c r="AF97" i="3"/>
  <c r="AE97" i="3"/>
  <c r="AD97" i="3"/>
  <c r="AC97" i="3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B97" i="3"/>
  <c r="A97" i="3"/>
  <c r="CG96" i="3"/>
  <c r="CF96" i="3"/>
  <c r="CE96" i="3"/>
  <c r="CD96" i="3"/>
  <c r="CC96" i="3"/>
  <c r="CB96" i="3"/>
  <c r="CA96" i="3"/>
  <c r="BZ96" i="3"/>
  <c r="BY96" i="3"/>
  <c r="BX96" i="3"/>
  <c r="BW96" i="3"/>
  <c r="BV96" i="3"/>
  <c r="BU96" i="3"/>
  <c r="BT96" i="3"/>
  <c r="BS96" i="3"/>
  <c r="BR96" i="3"/>
  <c r="BQ96" i="3"/>
  <c r="BP96" i="3"/>
  <c r="BO96" i="3"/>
  <c r="BN96" i="3"/>
  <c r="BM96" i="3"/>
  <c r="BL96" i="3"/>
  <c r="BK96" i="3"/>
  <c r="BJ96" i="3"/>
  <c r="BI96" i="3"/>
  <c r="BH96" i="3"/>
  <c r="BG96" i="3"/>
  <c r="BF96" i="3"/>
  <c r="BE96" i="3"/>
  <c r="BD96" i="3"/>
  <c r="BC96" i="3"/>
  <c r="BB96" i="3"/>
  <c r="BA96" i="3"/>
  <c r="AZ96" i="3"/>
  <c r="AY96" i="3"/>
  <c r="AX96" i="3"/>
  <c r="AW96" i="3"/>
  <c r="AV96" i="3"/>
  <c r="AU96" i="3"/>
  <c r="AT96" i="3"/>
  <c r="E96" i="3"/>
  <c r="D96" i="3"/>
  <c r="C96" i="3"/>
  <c r="B96" i="3"/>
  <c r="A96" i="3"/>
  <c r="CG95" i="3"/>
  <c r="CF95" i="3"/>
  <c r="CE95" i="3"/>
  <c r="CD95" i="3"/>
  <c r="CC95" i="3"/>
  <c r="CB95" i="3"/>
  <c r="CA95" i="3"/>
  <c r="BZ95" i="3"/>
  <c r="BY95" i="3"/>
  <c r="BX95" i="3"/>
  <c r="BW95" i="3"/>
  <c r="BV95" i="3"/>
  <c r="BU95" i="3"/>
  <c r="BT95" i="3"/>
  <c r="BS95" i="3"/>
  <c r="BR95" i="3"/>
  <c r="BQ95" i="3"/>
  <c r="BP95" i="3"/>
  <c r="BO95" i="3"/>
  <c r="BN95" i="3"/>
  <c r="BM95" i="3"/>
  <c r="BL95" i="3"/>
  <c r="BK95" i="3"/>
  <c r="BJ95" i="3"/>
  <c r="BI95" i="3"/>
  <c r="BH95" i="3"/>
  <c r="BG95" i="3"/>
  <c r="BF95" i="3"/>
  <c r="BE95" i="3"/>
  <c r="BD95" i="3"/>
  <c r="BC95" i="3"/>
  <c r="BB95" i="3"/>
  <c r="BA95" i="3"/>
  <c r="AZ95" i="3"/>
  <c r="AY95" i="3"/>
  <c r="AX95" i="3"/>
  <c r="AW95" i="3"/>
  <c r="AV95" i="3"/>
  <c r="AU95" i="3"/>
  <c r="AT95" i="3"/>
  <c r="E95" i="3"/>
  <c r="D95" i="3"/>
  <c r="C95" i="3"/>
  <c r="B95" i="3"/>
  <c r="A95" i="3"/>
  <c r="CG94" i="3"/>
  <c r="CF94" i="3"/>
  <c r="CE94" i="3"/>
  <c r="CD94" i="3"/>
  <c r="CC94" i="3"/>
  <c r="CB94" i="3"/>
  <c r="CA94" i="3"/>
  <c r="BZ94" i="3"/>
  <c r="BY94" i="3"/>
  <c r="BX94" i="3"/>
  <c r="BW94" i="3"/>
  <c r="BV94" i="3"/>
  <c r="BU94" i="3"/>
  <c r="BT94" i="3"/>
  <c r="BS94" i="3"/>
  <c r="BR94" i="3"/>
  <c r="BQ94" i="3"/>
  <c r="BP94" i="3"/>
  <c r="BO94" i="3"/>
  <c r="BN94" i="3"/>
  <c r="BM94" i="3"/>
  <c r="BL94" i="3"/>
  <c r="BK94" i="3"/>
  <c r="BJ94" i="3"/>
  <c r="BI94" i="3"/>
  <c r="BH94" i="3"/>
  <c r="BG94" i="3"/>
  <c r="BF94" i="3"/>
  <c r="BE94" i="3"/>
  <c r="BD94" i="3"/>
  <c r="BC94" i="3"/>
  <c r="BB94" i="3"/>
  <c r="BA94" i="3"/>
  <c r="AZ94" i="3"/>
  <c r="AY94" i="3"/>
  <c r="AX94" i="3"/>
  <c r="AW94" i="3"/>
  <c r="AV94" i="3"/>
  <c r="AU94" i="3"/>
  <c r="AT94" i="3"/>
  <c r="E94" i="3"/>
  <c r="D94" i="3"/>
  <c r="C94" i="3"/>
  <c r="A94" i="3"/>
  <c r="CG93" i="3"/>
  <c r="CF93" i="3"/>
  <c r="CE93" i="3"/>
  <c r="CD93" i="3"/>
  <c r="CC93" i="3"/>
  <c r="CB93" i="3"/>
  <c r="CA93" i="3"/>
  <c r="BZ93" i="3"/>
  <c r="BY93" i="3"/>
  <c r="BX93" i="3"/>
  <c r="BW93" i="3"/>
  <c r="BV93" i="3"/>
  <c r="BU93" i="3"/>
  <c r="BT93" i="3"/>
  <c r="BS93" i="3"/>
  <c r="BR93" i="3"/>
  <c r="BQ93" i="3"/>
  <c r="BP93" i="3"/>
  <c r="BO93" i="3"/>
  <c r="BN93" i="3"/>
  <c r="BM93" i="3"/>
  <c r="BL93" i="3"/>
  <c r="BK93" i="3"/>
  <c r="BJ93" i="3"/>
  <c r="BI93" i="3"/>
  <c r="BH93" i="3"/>
  <c r="BG93" i="3"/>
  <c r="BF93" i="3"/>
  <c r="BE93" i="3"/>
  <c r="BD93" i="3"/>
  <c r="BC93" i="3"/>
  <c r="BB93" i="3"/>
  <c r="BA93" i="3"/>
  <c r="AZ93" i="3"/>
  <c r="AY93" i="3"/>
  <c r="AX93" i="3"/>
  <c r="AW93" i="3"/>
  <c r="AV93" i="3"/>
  <c r="AU93" i="3"/>
  <c r="AT93" i="3"/>
  <c r="E93" i="3"/>
  <c r="D93" i="3"/>
  <c r="C93" i="3"/>
  <c r="B93" i="3"/>
  <c r="A93" i="3"/>
  <c r="CG92" i="3"/>
  <c r="CF92" i="3"/>
  <c r="CE92" i="3"/>
  <c r="CD92" i="3"/>
  <c r="CC92" i="3"/>
  <c r="CB92" i="3"/>
  <c r="CA92" i="3"/>
  <c r="BZ92" i="3"/>
  <c r="BY92" i="3"/>
  <c r="BX92" i="3"/>
  <c r="BW92" i="3"/>
  <c r="BV92" i="3"/>
  <c r="BU92" i="3"/>
  <c r="BT92" i="3"/>
  <c r="BS92" i="3"/>
  <c r="BR92" i="3"/>
  <c r="BQ92" i="3"/>
  <c r="BP92" i="3"/>
  <c r="BO92" i="3"/>
  <c r="BN92" i="3"/>
  <c r="BM92" i="3"/>
  <c r="BL92" i="3"/>
  <c r="BK92" i="3"/>
  <c r="BJ92" i="3"/>
  <c r="BI92" i="3"/>
  <c r="BH92" i="3"/>
  <c r="BG92" i="3"/>
  <c r="BF92" i="3"/>
  <c r="BE92" i="3"/>
  <c r="BD92" i="3"/>
  <c r="BC92" i="3"/>
  <c r="BB92" i="3"/>
  <c r="BA92" i="3"/>
  <c r="AZ92" i="3"/>
  <c r="AY92" i="3"/>
  <c r="AX92" i="3"/>
  <c r="AW92" i="3"/>
  <c r="AV92" i="3"/>
  <c r="AU92" i="3"/>
  <c r="AT92" i="3"/>
  <c r="A92" i="3"/>
  <c r="CG91" i="3"/>
  <c r="CF91" i="3"/>
  <c r="CE91" i="3"/>
  <c r="CD91" i="3"/>
  <c r="CC91" i="3"/>
  <c r="CB91" i="3"/>
  <c r="CA91" i="3"/>
  <c r="BZ91" i="3"/>
  <c r="BY91" i="3"/>
  <c r="BX91" i="3"/>
  <c r="BW91" i="3"/>
  <c r="BV91" i="3"/>
  <c r="BU91" i="3"/>
  <c r="BT91" i="3"/>
  <c r="BS91" i="3"/>
  <c r="BR91" i="3"/>
  <c r="BQ91" i="3"/>
  <c r="BP91" i="3"/>
  <c r="BO91" i="3"/>
  <c r="BN91" i="3"/>
  <c r="BM91" i="3"/>
  <c r="BL91" i="3"/>
  <c r="BK91" i="3"/>
  <c r="BJ91" i="3"/>
  <c r="BI91" i="3"/>
  <c r="BH91" i="3"/>
  <c r="BG91" i="3"/>
  <c r="BF91" i="3"/>
  <c r="BE91" i="3"/>
  <c r="BD91" i="3"/>
  <c r="BC91" i="3"/>
  <c r="BB91" i="3"/>
  <c r="BA91" i="3"/>
  <c r="AZ91" i="3"/>
  <c r="AY91" i="3"/>
  <c r="AX91" i="3"/>
  <c r="AW91" i="3"/>
  <c r="AV91" i="3"/>
  <c r="AU91" i="3"/>
  <c r="AT91" i="3"/>
  <c r="E91" i="3"/>
  <c r="D91" i="3"/>
  <c r="C91" i="3"/>
  <c r="B91" i="3"/>
  <c r="A91" i="3"/>
  <c r="CG90" i="3"/>
  <c r="CF90" i="3"/>
  <c r="CE90" i="3"/>
  <c r="CD90" i="3"/>
  <c r="CC90" i="3"/>
  <c r="CB90" i="3"/>
  <c r="CA90" i="3"/>
  <c r="BZ90" i="3"/>
  <c r="BY90" i="3"/>
  <c r="BX90" i="3"/>
  <c r="BW90" i="3"/>
  <c r="BV90" i="3"/>
  <c r="BU90" i="3"/>
  <c r="BT90" i="3"/>
  <c r="BS90" i="3"/>
  <c r="BR90" i="3"/>
  <c r="BQ90" i="3"/>
  <c r="BP90" i="3"/>
  <c r="BO90" i="3"/>
  <c r="BN90" i="3"/>
  <c r="BM90" i="3"/>
  <c r="BL90" i="3"/>
  <c r="BK90" i="3"/>
  <c r="BJ90" i="3"/>
  <c r="BI90" i="3"/>
  <c r="BH90" i="3"/>
  <c r="BG90" i="3"/>
  <c r="BF90" i="3"/>
  <c r="BE90" i="3"/>
  <c r="BD90" i="3"/>
  <c r="BC90" i="3"/>
  <c r="BB90" i="3"/>
  <c r="BA90" i="3"/>
  <c r="AZ90" i="3"/>
  <c r="AY90" i="3"/>
  <c r="AX90" i="3"/>
  <c r="AW90" i="3"/>
  <c r="AV90" i="3"/>
  <c r="AU90" i="3"/>
  <c r="AT90" i="3"/>
  <c r="E90" i="3"/>
  <c r="D90" i="3"/>
  <c r="C90" i="3"/>
  <c r="B90" i="3"/>
  <c r="A90" i="3"/>
  <c r="CG89" i="3"/>
  <c r="CF89" i="3"/>
  <c r="CE89" i="3"/>
  <c r="CD89" i="3"/>
  <c r="CC89" i="3"/>
  <c r="CB89" i="3"/>
  <c r="CA89" i="3"/>
  <c r="BZ89" i="3"/>
  <c r="BY89" i="3"/>
  <c r="BX89" i="3"/>
  <c r="BW89" i="3"/>
  <c r="BV89" i="3"/>
  <c r="BU89" i="3"/>
  <c r="BT89" i="3"/>
  <c r="BS89" i="3"/>
  <c r="BR89" i="3"/>
  <c r="BQ89" i="3"/>
  <c r="BP89" i="3"/>
  <c r="BO89" i="3"/>
  <c r="BN89" i="3"/>
  <c r="BM89" i="3"/>
  <c r="BL89" i="3"/>
  <c r="BK89" i="3"/>
  <c r="BJ89" i="3"/>
  <c r="BI89" i="3"/>
  <c r="BH89" i="3"/>
  <c r="BG89" i="3"/>
  <c r="BF89" i="3"/>
  <c r="BE89" i="3"/>
  <c r="BD89" i="3"/>
  <c r="BC89" i="3"/>
  <c r="BB89" i="3"/>
  <c r="BA89" i="3"/>
  <c r="AZ89" i="3"/>
  <c r="AY89" i="3"/>
  <c r="AX89" i="3"/>
  <c r="AW89" i="3"/>
  <c r="AV89" i="3"/>
  <c r="AU89" i="3"/>
  <c r="AT89" i="3"/>
  <c r="E89" i="3"/>
  <c r="D89" i="3"/>
  <c r="C89" i="3"/>
  <c r="B89" i="3"/>
  <c r="A89" i="3"/>
  <c r="CG88" i="3"/>
  <c r="CF88" i="3"/>
  <c r="CE88" i="3"/>
  <c r="CD88" i="3"/>
  <c r="CC88" i="3"/>
  <c r="CB88" i="3"/>
  <c r="CA88" i="3"/>
  <c r="BZ88" i="3"/>
  <c r="BY88" i="3"/>
  <c r="BX88" i="3"/>
  <c r="BW88" i="3"/>
  <c r="BV88" i="3"/>
  <c r="BU88" i="3"/>
  <c r="BT88" i="3"/>
  <c r="BS88" i="3"/>
  <c r="BR88" i="3"/>
  <c r="BQ88" i="3"/>
  <c r="BP88" i="3"/>
  <c r="BO88" i="3"/>
  <c r="BN88" i="3"/>
  <c r="BM88" i="3"/>
  <c r="BL88" i="3"/>
  <c r="BK88" i="3"/>
  <c r="BJ88" i="3"/>
  <c r="BI88" i="3"/>
  <c r="BH88" i="3"/>
  <c r="BG88" i="3"/>
  <c r="BF88" i="3"/>
  <c r="BE88" i="3"/>
  <c r="BD88" i="3"/>
  <c r="BC88" i="3"/>
  <c r="BB88" i="3"/>
  <c r="BA88" i="3"/>
  <c r="AZ88" i="3"/>
  <c r="AY88" i="3"/>
  <c r="AX88" i="3"/>
  <c r="AW88" i="3"/>
  <c r="AV88" i="3"/>
  <c r="AU88" i="3"/>
  <c r="AT88" i="3"/>
  <c r="E88" i="3"/>
  <c r="D88" i="3"/>
  <c r="C88" i="3"/>
  <c r="B88" i="3"/>
  <c r="A88" i="3"/>
  <c r="CG87" i="3"/>
  <c r="CF87" i="3"/>
  <c r="CE87" i="3"/>
  <c r="CD87" i="3"/>
  <c r="CC87" i="3"/>
  <c r="CB87" i="3"/>
  <c r="CA87" i="3"/>
  <c r="BZ87" i="3"/>
  <c r="BY87" i="3"/>
  <c r="BX87" i="3"/>
  <c r="BW87" i="3"/>
  <c r="BV87" i="3"/>
  <c r="BU87" i="3"/>
  <c r="BT87" i="3"/>
  <c r="BS87" i="3"/>
  <c r="BR87" i="3"/>
  <c r="BQ87" i="3"/>
  <c r="BP87" i="3"/>
  <c r="BO87" i="3"/>
  <c r="BN87" i="3"/>
  <c r="BM87" i="3"/>
  <c r="BL87" i="3"/>
  <c r="BK87" i="3"/>
  <c r="BJ87" i="3"/>
  <c r="BI87" i="3"/>
  <c r="BH87" i="3"/>
  <c r="BG87" i="3"/>
  <c r="BF87" i="3"/>
  <c r="BE87" i="3"/>
  <c r="BD87" i="3"/>
  <c r="BC87" i="3"/>
  <c r="BB87" i="3"/>
  <c r="BA87" i="3"/>
  <c r="AZ87" i="3"/>
  <c r="AY87" i="3"/>
  <c r="AX87" i="3"/>
  <c r="AW87" i="3"/>
  <c r="AV87" i="3"/>
  <c r="AU87" i="3"/>
  <c r="AT87" i="3"/>
  <c r="E87" i="3"/>
  <c r="D87" i="3"/>
  <c r="C87" i="3"/>
  <c r="B87" i="3"/>
  <c r="A87" i="3"/>
  <c r="CG86" i="3"/>
  <c r="CF86" i="3"/>
  <c r="CE86" i="3"/>
  <c r="CD86" i="3"/>
  <c r="CC86" i="3"/>
  <c r="CB86" i="3"/>
  <c r="CA86" i="3"/>
  <c r="BZ86" i="3"/>
  <c r="BY86" i="3"/>
  <c r="BX86" i="3"/>
  <c r="BW86" i="3"/>
  <c r="BV86" i="3"/>
  <c r="BU86" i="3"/>
  <c r="BT86" i="3"/>
  <c r="BS86" i="3"/>
  <c r="BR86" i="3"/>
  <c r="BQ86" i="3"/>
  <c r="BP86" i="3"/>
  <c r="BO86" i="3"/>
  <c r="BN86" i="3"/>
  <c r="BM86" i="3"/>
  <c r="BL86" i="3"/>
  <c r="BK86" i="3"/>
  <c r="BJ86" i="3"/>
  <c r="BI86" i="3"/>
  <c r="BH86" i="3"/>
  <c r="BG86" i="3"/>
  <c r="BF86" i="3"/>
  <c r="BE86" i="3"/>
  <c r="BD86" i="3"/>
  <c r="BC86" i="3"/>
  <c r="BB86" i="3"/>
  <c r="BA86" i="3"/>
  <c r="AZ86" i="3"/>
  <c r="AY86" i="3"/>
  <c r="AX86" i="3"/>
  <c r="AW86" i="3"/>
  <c r="AV86" i="3"/>
  <c r="AU86" i="3"/>
  <c r="AT86" i="3"/>
  <c r="E86" i="3"/>
  <c r="D86" i="3"/>
  <c r="C86" i="3"/>
  <c r="B86" i="3"/>
  <c r="A86" i="3"/>
  <c r="CG85" i="3"/>
  <c r="CF85" i="3"/>
  <c r="CE85" i="3"/>
  <c r="CD85" i="3"/>
  <c r="CC85" i="3"/>
  <c r="CB85" i="3"/>
  <c r="CA85" i="3"/>
  <c r="BZ85" i="3"/>
  <c r="BY85" i="3"/>
  <c r="BX85" i="3"/>
  <c r="BW85" i="3"/>
  <c r="BV85" i="3"/>
  <c r="BU85" i="3"/>
  <c r="BT85" i="3"/>
  <c r="BS85" i="3"/>
  <c r="BR85" i="3"/>
  <c r="BQ85" i="3"/>
  <c r="BP85" i="3"/>
  <c r="BO85" i="3"/>
  <c r="BN85" i="3"/>
  <c r="BM85" i="3"/>
  <c r="BL85" i="3"/>
  <c r="BK85" i="3"/>
  <c r="BJ85" i="3"/>
  <c r="BI85" i="3"/>
  <c r="BH85" i="3"/>
  <c r="BG85" i="3"/>
  <c r="BF85" i="3"/>
  <c r="BE85" i="3"/>
  <c r="BD85" i="3"/>
  <c r="BC85" i="3"/>
  <c r="BB85" i="3"/>
  <c r="BA85" i="3"/>
  <c r="AZ85" i="3"/>
  <c r="AY85" i="3"/>
  <c r="AX85" i="3"/>
  <c r="AW85" i="3"/>
  <c r="AV85" i="3"/>
  <c r="AU85" i="3"/>
  <c r="AT85" i="3"/>
  <c r="CG84" i="3"/>
  <c r="CF84" i="3"/>
  <c r="CE84" i="3"/>
  <c r="CD84" i="3"/>
  <c r="CC84" i="3"/>
  <c r="CB84" i="3"/>
  <c r="CA84" i="3"/>
  <c r="BZ84" i="3"/>
  <c r="BY84" i="3"/>
  <c r="BX84" i="3"/>
  <c r="BW84" i="3"/>
  <c r="BV84" i="3"/>
  <c r="BU84" i="3"/>
  <c r="BT84" i="3"/>
  <c r="BS84" i="3"/>
  <c r="BR84" i="3"/>
  <c r="BQ84" i="3"/>
  <c r="BP84" i="3"/>
  <c r="BO84" i="3"/>
  <c r="BN84" i="3"/>
  <c r="BM84" i="3"/>
  <c r="BL84" i="3"/>
  <c r="BK84" i="3"/>
  <c r="BJ84" i="3"/>
  <c r="BI84" i="3"/>
  <c r="BH84" i="3"/>
  <c r="BG84" i="3"/>
  <c r="BF84" i="3"/>
  <c r="BE84" i="3"/>
  <c r="BD84" i="3"/>
  <c r="BC84" i="3"/>
  <c r="BB84" i="3"/>
  <c r="BA84" i="3"/>
  <c r="AZ84" i="3"/>
  <c r="AY84" i="3"/>
  <c r="AX84" i="3"/>
  <c r="AW84" i="3"/>
  <c r="AV84" i="3"/>
  <c r="AU84" i="3"/>
  <c r="AT84" i="3"/>
  <c r="CG83" i="3"/>
  <c r="CF83" i="3"/>
  <c r="CE83" i="3"/>
  <c r="CD83" i="3"/>
  <c r="CC83" i="3"/>
  <c r="CB83" i="3"/>
  <c r="CA83" i="3"/>
  <c r="BZ83" i="3"/>
  <c r="BY83" i="3"/>
  <c r="BX83" i="3"/>
  <c r="BW83" i="3"/>
  <c r="BV83" i="3"/>
  <c r="BU83" i="3"/>
  <c r="BT83" i="3"/>
  <c r="BS83" i="3"/>
  <c r="BR83" i="3"/>
  <c r="BQ83" i="3"/>
  <c r="BP83" i="3"/>
  <c r="BO83" i="3"/>
  <c r="BN83" i="3"/>
  <c r="BM83" i="3"/>
  <c r="BL83" i="3"/>
  <c r="BK83" i="3"/>
  <c r="BJ83" i="3"/>
  <c r="BI83" i="3"/>
  <c r="BH83" i="3"/>
  <c r="BG83" i="3"/>
  <c r="BF83" i="3"/>
  <c r="BE83" i="3"/>
  <c r="BD83" i="3"/>
  <c r="BC83" i="3"/>
  <c r="BB83" i="3"/>
  <c r="BA83" i="3"/>
  <c r="AZ83" i="3"/>
  <c r="AY83" i="3"/>
  <c r="AX83" i="3"/>
  <c r="AW83" i="3"/>
  <c r="AV83" i="3"/>
  <c r="AU83" i="3"/>
  <c r="AT83" i="3"/>
  <c r="CG82" i="3"/>
  <c r="CF82" i="3"/>
  <c r="CE82" i="3"/>
  <c r="CD82" i="3"/>
  <c r="CC82" i="3"/>
  <c r="CB82" i="3"/>
  <c r="CA82" i="3"/>
  <c r="BZ82" i="3"/>
  <c r="BY82" i="3"/>
  <c r="BX82" i="3"/>
  <c r="BW82" i="3"/>
  <c r="BV82" i="3"/>
  <c r="BU82" i="3"/>
  <c r="BT82" i="3"/>
  <c r="BS82" i="3"/>
  <c r="BR82" i="3"/>
  <c r="BQ82" i="3"/>
  <c r="BP82" i="3"/>
  <c r="BO82" i="3"/>
  <c r="BN82" i="3"/>
  <c r="BM82" i="3"/>
  <c r="BL82" i="3"/>
  <c r="BK82" i="3"/>
  <c r="BJ82" i="3"/>
  <c r="BI82" i="3"/>
  <c r="BH82" i="3"/>
  <c r="BG82" i="3"/>
  <c r="BF82" i="3"/>
  <c r="BE82" i="3"/>
  <c r="BD82" i="3"/>
  <c r="BC82" i="3"/>
  <c r="BB82" i="3"/>
  <c r="BA82" i="3"/>
  <c r="AZ82" i="3"/>
  <c r="AY82" i="3"/>
  <c r="AX82" i="3"/>
  <c r="AW82" i="3"/>
  <c r="AV82" i="3"/>
  <c r="AU82" i="3"/>
  <c r="AT82" i="3"/>
  <c r="CG81" i="3"/>
  <c r="CF81" i="3"/>
  <c r="CE81" i="3"/>
  <c r="CD81" i="3"/>
  <c r="CC81" i="3"/>
  <c r="CB81" i="3"/>
  <c r="CA81" i="3"/>
  <c r="BZ81" i="3"/>
  <c r="BY81" i="3"/>
  <c r="BX81" i="3"/>
  <c r="BW81" i="3"/>
  <c r="BV81" i="3"/>
  <c r="BU81" i="3"/>
  <c r="BT81" i="3"/>
  <c r="BS81" i="3"/>
  <c r="BR81" i="3"/>
  <c r="BQ81" i="3"/>
  <c r="BP81" i="3"/>
  <c r="BO81" i="3"/>
  <c r="BN81" i="3"/>
  <c r="BM81" i="3"/>
  <c r="BL81" i="3"/>
  <c r="BK81" i="3"/>
  <c r="BJ81" i="3"/>
  <c r="BI81" i="3"/>
  <c r="BH81" i="3"/>
  <c r="BG81" i="3"/>
  <c r="BF81" i="3"/>
  <c r="BE81" i="3"/>
  <c r="BD81" i="3"/>
  <c r="BC81" i="3"/>
  <c r="BB81" i="3"/>
  <c r="BA81" i="3"/>
  <c r="AZ81" i="3"/>
  <c r="AY81" i="3"/>
  <c r="AX81" i="3"/>
  <c r="AW81" i="3"/>
  <c r="AV81" i="3"/>
  <c r="AU81" i="3"/>
  <c r="AT81" i="3"/>
  <c r="CG80" i="3"/>
  <c r="CF80" i="3"/>
  <c r="CE80" i="3"/>
  <c r="CD80" i="3"/>
  <c r="CC80" i="3"/>
  <c r="CB80" i="3"/>
  <c r="CA80" i="3"/>
  <c r="BZ80" i="3"/>
  <c r="BY80" i="3"/>
  <c r="BX80" i="3"/>
  <c r="BW80" i="3"/>
  <c r="BV80" i="3"/>
  <c r="BU80" i="3"/>
  <c r="BT80" i="3"/>
  <c r="BS80" i="3"/>
  <c r="BR80" i="3"/>
  <c r="BQ80" i="3"/>
  <c r="BP80" i="3"/>
  <c r="BO80" i="3"/>
  <c r="BN80" i="3"/>
  <c r="BM80" i="3"/>
  <c r="BL80" i="3"/>
  <c r="BK80" i="3"/>
  <c r="BJ80" i="3"/>
  <c r="BI80" i="3"/>
  <c r="BH80" i="3"/>
  <c r="BG80" i="3"/>
  <c r="BF80" i="3"/>
  <c r="BE80" i="3"/>
  <c r="BD80" i="3"/>
  <c r="BC80" i="3"/>
  <c r="BB80" i="3"/>
  <c r="BA80" i="3"/>
  <c r="AZ80" i="3"/>
  <c r="AY80" i="3"/>
  <c r="AX80" i="3"/>
  <c r="AW80" i="3"/>
  <c r="AV80" i="3"/>
  <c r="AU80" i="3"/>
  <c r="AT80" i="3"/>
  <c r="CG79" i="3"/>
  <c r="CF79" i="3"/>
  <c r="CE79" i="3"/>
  <c r="CD79" i="3"/>
  <c r="CC79" i="3"/>
  <c r="CB79" i="3"/>
  <c r="CA79" i="3"/>
  <c r="BZ79" i="3"/>
  <c r="BY79" i="3"/>
  <c r="BX79" i="3"/>
  <c r="BW79" i="3"/>
  <c r="BV79" i="3"/>
  <c r="BU79" i="3"/>
  <c r="BT79" i="3"/>
  <c r="BS79" i="3"/>
  <c r="BR79" i="3"/>
  <c r="BQ79" i="3"/>
  <c r="BP79" i="3"/>
  <c r="BO79" i="3"/>
  <c r="BN79" i="3"/>
  <c r="BM79" i="3"/>
  <c r="BL79" i="3"/>
  <c r="BK79" i="3"/>
  <c r="BJ79" i="3"/>
  <c r="BI79" i="3"/>
  <c r="BH79" i="3"/>
  <c r="BG79" i="3"/>
  <c r="BF79" i="3"/>
  <c r="BE79" i="3"/>
  <c r="BD79" i="3"/>
  <c r="BC79" i="3"/>
  <c r="BB79" i="3"/>
  <c r="BA79" i="3"/>
  <c r="AZ79" i="3"/>
  <c r="AY79" i="3"/>
  <c r="AX79" i="3"/>
  <c r="AW79" i="3"/>
  <c r="AV79" i="3"/>
  <c r="AU79" i="3"/>
  <c r="AT79" i="3"/>
  <c r="CG78" i="3"/>
  <c r="CF78" i="3"/>
  <c r="CE78" i="3"/>
  <c r="CD78" i="3"/>
  <c r="CC78" i="3"/>
  <c r="CB78" i="3"/>
  <c r="CA78" i="3"/>
  <c r="BZ78" i="3"/>
  <c r="BY78" i="3"/>
  <c r="BX78" i="3"/>
  <c r="BW78" i="3"/>
  <c r="BV78" i="3"/>
  <c r="BU78" i="3"/>
  <c r="BT78" i="3"/>
  <c r="BS78" i="3"/>
  <c r="BR78" i="3"/>
  <c r="BQ78" i="3"/>
  <c r="BP78" i="3"/>
  <c r="BO78" i="3"/>
  <c r="BN78" i="3"/>
  <c r="BM78" i="3"/>
  <c r="BL78" i="3"/>
  <c r="BK78" i="3"/>
  <c r="BJ78" i="3"/>
  <c r="BI78" i="3"/>
  <c r="BH78" i="3"/>
  <c r="BG78" i="3"/>
  <c r="BF78" i="3"/>
  <c r="BE78" i="3"/>
  <c r="BD78" i="3"/>
  <c r="BC78" i="3"/>
  <c r="BB78" i="3"/>
  <c r="BA78" i="3"/>
  <c r="AZ78" i="3"/>
  <c r="AY78" i="3"/>
  <c r="AX78" i="3"/>
  <c r="AW78" i="3"/>
  <c r="AV78" i="3"/>
  <c r="AU78" i="3"/>
  <c r="AT78" i="3"/>
  <c r="CG77" i="3"/>
  <c r="CF77" i="3"/>
  <c r="CE77" i="3"/>
  <c r="CD77" i="3"/>
  <c r="CC77" i="3"/>
  <c r="CB77" i="3"/>
  <c r="CA77" i="3"/>
  <c r="BZ77" i="3"/>
  <c r="BY77" i="3"/>
  <c r="BX77" i="3"/>
  <c r="BW77" i="3"/>
  <c r="BV77" i="3"/>
  <c r="BU77" i="3"/>
  <c r="BT77" i="3"/>
  <c r="BS77" i="3"/>
  <c r="BR77" i="3"/>
  <c r="BQ77" i="3"/>
  <c r="BP77" i="3"/>
  <c r="BO77" i="3"/>
  <c r="BN77" i="3"/>
  <c r="BM77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CG76" i="3"/>
  <c r="CF76" i="3"/>
  <c r="CE76" i="3"/>
  <c r="CD76" i="3"/>
  <c r="CC76" i="3"/>
  <c r="CB76" i="3"/>
  <c r="CA76" i="3"/>
  <c r="BZ76" i="3"/>
  <c r="BY76" i="3"/>
  <c r="BX76" i="3"/>
  <c r="BW76" i="3"/>
  <c r="BV76" i="3"/>
  <c r="BU76" i="3"/>
  <c r="BT76" i="3"/>
  <c r="BS76" i="3"/>
  <c r="BR76" i="3"/>
  <c r="BQ76" i="3"/>
  <c r="BP76" i="3"/>
  <c r="BO76" i="3"/>
  <c r="BN76" i="3"/>
  <c r="BM76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CG75" i="3"/>
  <c r="CF75" i="3"/>
  <c r="CE75" i="3"/>
  <c r="CD75" i="3"/>
  <c r="CC75" i="3"/>
  <c r="CB75" i="3"/>
  <c r="CA75" i="3"/>
  <c r="BZ75" i="3"/>
  <c r="BY75" i="3"/>
  <c r="BX75" i="3"/>
  <c r="BW75" i="3"/>
  <c r="BV75" i="3"/>
  <c r="BU75" i="3"/>
  <c r="BT75" i="3"/>
  <c r="BS75" i="3"/>
  <c r="BR75" i="3"/>
  <c r="BQ75" i="3"/>
  <c r="BP75" i="3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CG74" i="3"/>
  <c r="CF74" i="3"/>
  <c r="CE74" i="3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CG73" i="3"/>
  <c r="CF73" i="3"/>
  <c r="CE73" i="3"/>
  <c r="CD73" i="3"/>
  <c r="CC73" i="3"/>
  <c r="CB73" i="3"/>
  <c r="CA73" i="3"/>
  <c r="BZ73" i="3"/>
  <c r="BY73" i="3"/>
  <c r="BX73" i="3"/>
  <c r="BW73" i="3"/>
  <c r="BV73" i="3"/>
  <c r="BU73" i="3"/>
  <c r="BT73" i="3"/>
  <c r="BS73" i="3"/>
  <c r="BR73" i="3"/>
  <c r="BQ73" i="3"/>
  <c r="BP73" i="3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CG72" i="3"/>
  <c r="CF72" i="3"/>
  <c r="CE72" i="3"/>
  <c r="CD72" i="3"/>
  <c r="CC72" i="3"/>
  <c r="CB72" i="3"/>
  <c r="CA72" i="3"/>
  <c r="BZ72" i="3"/>
  <c r="BY72" i="3"/>
  <c r="BX72" i="3"/>
  <c r="BW72" i="3"/>
  <c r="BV72" i="3"/>
  <c r="BU72" i="3"/>
  <c r="BT72" i="3"/>
  <c r="BS72" i="3"/>
  <c r="BR72" i="3"/>
  <c r="BQ72" i="3"/>
  <c r="BP72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CG71" i="3"/>
  <c r="CF71" i="3"/>
  <c r="CE71" i="3"/>
  <c r="CD71" i="3"/>
  <c r="CC71" i="3"/>
  <c r="CB71" i="3"/>
  <c r="CA71" i="3"/>
  <c r="BZ71" i="3"/>
  <c r="BY71" i="3"/>
  <c r="BX71" i="3"/>
  <c r="BW71" i="3"/>
  <c r="BV71" i="3"/>
  <c r="BU71" i="3"/>
  <c r="BT71" i="3"/>
  <c r="BS71" i="3"/>
  <c r="BR71" i="3"/>
  <c r="BQ71" i="3"/>
  <c r="BP71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CG70" i="3"/>
  <c r="CF70" i="3"/>
  <c r="CE70" i="3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CG69" i="3"/>
  <c r="CF69" i="3"/>
  <c r="CE69" i="3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CG68" i="3"/>
  <c r="CF68" i="3"/>
  <c r="CE68" i="3"/>
  <c r="CD68" i="3"/>
  <c r="CC68" i="3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CG67" i="3"/>
  <c r="CF67" i="3"/>
  <c r="CE67" i="3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E67" i="3"/>
  <c r="D67" i="3"/>
  <c r="C67" i="3"/>
  <c r="A67" i="3"/>
  <c r="CG66" i="3"/>
  <c r="CF66" i="3"/>
  <c r="CE66" i="3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E66" i="3"/>
  <c r="D66" i="3"/>
  <c r="C66" i="3"/>
  <c r="A66" i="3"/>
  <c r="CG65" i="3"/>
  <c r="CF65" i="3"/>
  <c r="CE65" i="3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CG64" i="3"/>
  <c r="CF64" i="3"/>
  <c r="CE64" i="3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64" i="3"/>
  <c r="CG63" i="3"/>
  <c r="CF63" i="3"/>
  <c r="CE63" i="3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B63" i="3"/>
  <c r="B94" i="3"/>
  <c r="A63" i="3"/>
  <c r="CG62" i="3"/>
  <c r="CF62" i="3"/>
  <c r="CE62" i="3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62" i="3"/>
  <c r="CG61" i="3"/>
  <c r="CF61" i="3"/>
  <c r="CE61" i="3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B61" i="3"/>
  <c r="C60" i="3"/>
  <c r="C62" i="3"/>
  <c r="A61" i="3"/>
  <c r="CG60" i="3"/>
  <c r="CF60" i="3"/>
  <c r="CE60" i="3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B60" i="3"/>
  <c r="B62" i="3"/>
  <c r="A60" i="3"/>
  <c r="CG59" i="3"/>
  <c r="CF59" i="3"/>
  <c r="CE59" i="3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B59" i="3"/>
  <c r="A59" i="3"/>
  <c r="CG58" i="3"/>
  <c r="CF58" i="3"/>
  <c r="CE58" i="3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CG57" i="3"/>
  <c r="CF57" i="3"/>
  <c r="CE57" i="3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57" i="3"/>
  <c r="CG56" i="3"/>
  <c r="CF56" i="3"/>
  <c r="CE56" i="3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A56" i="3"/>
  <c r="CG55" i="3"/>
  <c r="CF55" i="3"/>
  <c r="CE55" i="3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CG54" i="3"/>
  <c r="CF54" i="3"/>
  <c r="CE54" i="3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CG53" i="3"/>
  <c r="CF53" i="3"/>
  <c r="CE53" i="3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CG52" i="3"/>
  <c r="CF52" i="3"/>
  <c r="CE52" i="3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CG51" i="3"/>
  <c r="CF51" i="3"/>
  <c r="CE51" i="3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CG50" i="3"/>
  <c r="CF50" i="3"/>
  <c r="CE50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CG49" i="3"/>
  <c r="CF49" i="3"/>
  <c r="CE49" i="3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CG48" i="3"/>
  <c r="CF48" i="3"/>
  <c r="CE48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E48" i="3"/>
  <c r="B48" i="3"/>
  <c r="A48" i="3"/>
  <c r="CG47" i="3"/>
  <c r="CF47" i="3"/>
  <c r="CE47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E47" i="3"/>
  <c r="E85" i="3"/>
  <c r="D47" i="3"/>
  <c r="D85" i="3"/>
  <c r="C47" i="3"/>
  <c r="C85" i="3"/>
  <c r="B47" i="3"/>
  <c r="B85" i="3"/>
  <c r="A47" i="3"/>
  <c r="A85" i="3"/>
  <c r="CG46" i="3"/>
  <c r="CF46" i="3"/>
  <c r="CE46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E46" i="3"/>
  <c r="E84" i="3"/>
  <c r="D46" i="3"/>
  <c r="D84" i="3"/>
  <c r="C46" i="3"/>
  <c r="C84" i="3"/>
  <c r="B46" i="3"/>
  <c r="B84" i="3"/>
  <c r="A46" i="3"/>
  <c r="A84" i="3"/>
  <c r="CG45" i="3"/>
  <c r="CF45" i="3"/>
  <c r="CE45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E45" i="3"/>
  <c r="E83" i="3"/>
  <c r="D45" i="3"/>
  <c r="D83" i="3"/>
  <c r="C45" i="3"/>
  <c r="C83" i="3"/>
  <c r="B45" i="3"/>
  <c r="B83" i="3"/>
  <c r="A45" i="3"/>
  <c r="A83" i="3"/>
  <c r="CG44" i="3"/>
  <c r="CF44" i="3"/>
  <c r="CE44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E44" i="3"/>
  <c r="E82" i="3"/>
  <c r="D44" i="3"/>
  <c r="D82" i="3"/>
  <c r="C44" i="3"/>
  <c r="C82" i="3"/>
  <c r="B44" i="3"/>
  <c r="B82" i="3"/>
  <c r="A44" i="3"/>
  <c r="A82" i="3"/>
  <c r="CG43" i="3"/>
  <c r="CF43" i="3"/>
  <c r="CE43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E43" i="3"/>
  <c r="E81" i="3"/>
  <c r="D43" i="3"/>
  <c r="D81" i="3"/>
  <c r="C43" i="3"/>
  <c r="C81" i="3"/>
  <c r="B43" i="3"/>
  <c r="B81" i="3"/>
  <c r="A43" i="3"/>
  <c r="A81" i="3"/>
  <c r="CG42" i="3"/>
  <c r="CF42" i="3"/>
  <c r="CE42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E42" i="3"/>
  <c r="E80" i="3"/>
  <c r="D42" i="3"/>
  <c r="D80" i="3"/>
  <c r="C42" i="3"/>
  <c r="C80" i="3"/>
  <c r="B42" i="3"/>
  <c r="B80" i="3"/>
  <c r="A42" i="3"/>
  <c r="A80" i="3"/>
  <c r="CG41" i="3"/>
  <c r="CF41" i="3"/>
  <c r="CE41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E41" i="3"/>
  <c r="E79" i="3"/>
  <c r="D41" i="3"/>
  <c r="D79" i="3"/>
  <c r="C41" i="3"/>
  <c r="C79" i="3"/>
  <c r="B41" i="3"/>
  <c r="B79" i="3"/>
  <c r="A41" i="3"/>
  <c r="A79" i="3"/>
  <c r="CG40" i="3"/>
  <c r="CF40" i="3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E40" i="3"/>
  <c r="E78" i="3"/>
  <c r="D40" i="3"/>
  <c r="D78" i="3"/>
  <c r="C40" i="3"/>
  <c r="C78" i="3"/>
  <c r="B40" i="3"/>
  <c r="B78" i="3"/>
  <c r="A40" i="3"/>
  <c r="A78" i="3"/>
  <c r="CG39" i="3"/>
  <c r="CF39" i="3"/>
  <c r="CE39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E39" i="3"/>
  <c r="E77" i="3"/>
  <c r="D39" i="3"/>
  <c r="D77" i="3"/>
  <c r="C39" i="3"/>
  <c r="C77" i="3"/>
  <c r="B39" i="3"/>
  <c r="B77" i="3"/>
  <c r="A39" i="3"/>
  <c r="A77" i="3"/>
  <c r="CG38" i="3"/>
  <c r="CF38" i="3"/>
  <c r="CE38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E38" i="3"/>
  <c r="B38" i="3"/>
  <c r="A38" i="3"/>
  <c r="CG37" i="3"/>
  <c r="CF37" i="3"/>
  <c r="CE37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E37" i="3"/>
  <c r="E76" i="3"/>
  <c r="D37" i="3"/>
  <c r="D76" i="3"/>
  <c r="C37" i="3"/>
  <c r="C76" i="3"/>
  <c r="B37" i="3"/>
  <c r="B76" i="3"/>
  <c r="A37" i="3"/>
  <c r="A76" i="3"/>
  <c r="CG36" i="3"/>
  <c r="CF36" i="3"/>
  <c r="CE36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E36" i="3"/>
  <c r="E75" i="3"/>
  <c r="D36" i="3"/>
  <c r="D75" i="3"/>
  <c r="C36" i="3"/>
  <c r="C75" i="3"/>
  <c r="B36" i="3"/>
  <c r="B75" i="3"/>
  <c r="A36" i="3"/>
  <c r="A75" i="3"/>
  <c r="CG35" i="3"/>
  <c r="CF35" i="3"/>
  <c r="CE35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E35" i="3"/>
  <c r="E74" i="3"/>
  <c r="D35" i="3"/>
  <c r="D74" i="3"/>
  <c r="C35" i="3"/>
  <c r="C74" i="3"/>
  <c r="B35" i="3"/>
  <c r="B74" i="3"/>
  <c r="A35" i="3"/>
  <c r="A74" i="3"/>
  <c r="CG34" i="3"/>
  <c r="CF34" i="3"/>
  <c r="CE34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E34" i="3"/>
  <c r="E73" i="3"/>
  <c r="D34" i="3"/>
  <c r="D73" i="3"/>
  <c r="C34" i="3"/>
  <c r="C73" i="3"/>
  <c r="B34" i="3"/>
  <c r="B73" i="3"/>
  <c r="A34" i="3"/>
  <c r="A73" i="3"/>
  <c r="CG33" i="3"/>
  <c r="CF33" i="3"/>
  <c r="CE33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E33" i="3"/>
  <c r="E72" i="3"/>
  <c r="D33" i="3"/>
  <c r="D72" i="3"/>
  <c r="C33" i="3"/>
  <c r="C72" i="3"/>
  <c r="B33" i="3"/>
  <c r="B72" i="3"/>
  <c r="A33" i="3"/>
  <c r="A72" i="3"/>
  <c r="CG32" i="3"/>
  <c r="CF32" i="3"/>
  <c r="CE32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E32" i="3"/>
  <c r="E71" i="3"/>
  <c r="D32" i="3"/>
  <c r="D71" i="3"/>
  <c r="C32" i="3"/>
  <c r="C71" i="3"/>
  <c r="B32" i="3"/>
  <c r="B71" i="3"/>
  <c r="A32" i="3"/>
  <c r="A71" i="3"/>
  <c r="CG31" i="3"/>
  <c r="CF31" i="3"/>
  <c r="CE31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E31" i="3"/>
  <c r="E70" i="3"/>
  <c r="D31" i="3"/>
  <c r="D70" i="3"/>
  <c r="C31" i="3"/>
  <c r="C70" i="3"/>
  <c r="B31" i="3"/>
  <c r="B70" i="3"/>
  <c r="A31" i="3"/>
  <c r="A70" i="3"/>
  <c r="CG30" i="3"/>
  <c r="CF30" i="3"/>
  <c r="CE30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E30" i="3"/>
  <c r="E69" i="3"/>
  <c r="D30" i="3"/>
  <c r="D69" i="3"/>
  <c r="C30" i="3"/>
  <c r="C69" i="3"/>
  <c r="B30" i="3"/>
  <c r="B69" i="3"/>
  <c r="A30" i="3"/>
  <c r="A69" i="3"/>
  <c r="CG29" i="3"/>
  <c r="CF29" i="3"/>
  <c r="CE29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E29" i="3"/>
  <c r="E68" i="3"/>
  <c r="D29" i="3"/>
  <c r="D68" i="3"/>
  <c r="C29" i="3"/>
  <c r="C68" i="3"/>
  <c r="B29" i="3"/>
  <c r="B68" i="3"/>
  <c r="A29" i="3"/>
  <c r="A68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E28" i="3"/>
  <c r="B28" i="3"/>
  <c r="A28" i="3"/>
  <c r="CG27" i="3"/>
  <c r="CF27" i="3"/>
  <c r="CE27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E27" i="3"/>
  <c r="B27" i="3"/>
  <c r="A27" i="3"/>
  <c r="CG26" i="3"/>
  <c r="CF26" i="3"/>
  <c r="CE26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E26" i="3"/>
  <c r="B26" i="3"/>
  <c r="A26" i="3"/>
  <c r="CG25" i="3"/>
  <c r="CF25" i="3"/>
  <c r="CE25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E25" i="3"/>
  <c r="B25" i="3"/>
  <c r="A25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E24" i="3"/>
  <c r="B24" i="3"/>
  <c r="A24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E23" i="3"/>
  <c r="B23" i="3"/>
  <c r="A23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E22" i="3"/>
  <c r="B22" i="3"/>
  <c r="A22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E21" i="3"/>
  <c r="B21" i="3"/>
  <c r="A21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E20" i="3"/>
  <c r="B20" i="3"/>
  <c r="A20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E19" i="3"/>
  <c r="B19" i="3"/>
  <c r="A19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E18" i="3"/>
  <c r="B18" i="3"/>
  <c r="A18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E17" i="3"/>
  <c r="B17" i="3"/>
  <c r="A17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E16" i="3"/>
  <c r="B16" i="3"/>
  <c r="A16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E15" i="3"/>
  <c r="B15" i="3"/>
  <c r="A15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E14" i="3"/>
  <c r="B14" i="3"/>
  <c r="A14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E13" i="3"/>
  <c r="B13" i="3"/>
  <c r="A13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E12" i="3"/>
  <c r="B12" i="3"/>
  <c r="A12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E11" i="3"/>
  <c r="B11" i="3"/>
  <c r="A11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E10" i="3"/>
  <c r="B10" i="3"/>
  <c r="A10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E9" i="3"/>
  <c r="B9" i="3"/>
  <c r="A9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E8" i="3"/>
  <c r="B8" i="3"/>
  <c r="A8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E7" i="3"/>
  <c r="B7" i="3"/>
  <c r="A7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E6" i="3"/>
  <c r="B6" i="3"/>
  <c r="A6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E5" i="3"/>
  <c r="B5" i="3"/>
  <c r="A5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E4" i="3"/>
  <c r="B4" i="3"/>
  <c r="A4" i="3"/>
  <c r="CG3" i="3"/>
  <c r="CF3" i="3"/>
  <c r="CE3" i="3"/>
  <c r="CD3" i="3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E3" i="3"/>
  <c r="B3" i="3"/>
  <c r="A3" i="3"/>
  <c r="E2" i="3"/>
  <c r="D2" i="3"/>
  <c r="C2" i="3"/>
  <c r="B2" i="3"/>
  <c r="A2" i="3"/>
  <c r="F77" i="3"/>
  <c r="F68" i="3"/>
  <c r="C100" i="3"/>
  <c r="C104" i="3"/>
  <c r="C98" i="3"/>
  <c r="C106" i="3"/>
  <c r="A58" i="3"/>
  <c r="AA67" i="3"/>
  <c r="AQ67" i="3"/>
  <c r="AE66" i="3"/>
  <c r="AM66" i="3"/>
  <c r="AI67" i="3"/>
  <c r="G66" i="3"/>
  <c r="O66" i="3"/>
  <c r="K67" i="3"/>
  <c r="W66" i="3"/>
  <c r="S67" i="3"/>
  <c r="B100" i="3"/>
  <c r="B104" i="3"/>
  <c r="B98" i="3"/>
  <c r="B106" i="3"/>
  <c r="H66" i="3"/>
  <c r="P66" i="3"/>
  <c r="X66" i="3"/>
  <c r="AF66" i="3"/>
  <c r="AN66" i="3"/>
  <c r="L67" i="3"/>
  <c r="T67" i="3"/>
  <c r="AB67" i="3"/>
  <c r="AJ67" i="3"/>
  <c r="AR67" i="3"/>
  <c r="I66" i="3"/>
  <c r="Q66" i="3"/>
  <c r="Y66" i="3"/>
  <c r="AG66" i="3"/>
  <c r="AO66" i="3"/>
  <c r="M67" i="3"/>
  <c r="U67" i="3"/>
  <c r="AC67" i="3"/>
  <c r="AK67" i="3"/>
  <c r="AS67" i="3"/>
  <c r="J66" i="3"/>
  <c r="R66" i="3"/>
  <c r="Z66" i="3"/>
  <c r="AH66" i="3"/>
  <c r="AP66" i="3"/>
  <c r="F67" i="3"/>
  <c r="N67" i="3"/>
  <c r="V67" i="3"/>
  <c r="AD67" i="3"/>
  <c r="AL67" i="3"/>
  <c r="K66" i="3"/>
  <c r="S66" i="3"/>
  <c r="AA66" i="3"/>
  <c r="AI66" i="3"/>
  <c r="AQ66" i="3"/>
  <c r="G67" i="3"/>
  <c r="O67" i="3"/>
  <c r="W67" i="3"/>
  <c r="AE67" i="3"/>
  <c r="AM67" i="3"/>
  <c r="L66" i="3"/>
  <c r="T66" i="3"/>
  <c r="AB66" i="3"/>
  <c r="AJ66" i="3"/>
  <c r="AR66" i="3"/>
  <c r="H67" i="3"/>
  <c r="P67" i="3"/>
  <c r="X67" i="3"/>
  <c r="AF67" i="3"/>
  <c r="AN67" i="3"/>
  <c r="M66" i="3"/>
  <c r="U66" i="3"/>
  <c r="AC66" i="3"/>
  <c r="AK66" i="3"/>
  <c r="AS66" i="3"/>
  <c r="I67" i="3"/>
  <c r="Q67" i="3"/>
  <c r="Y67" i="3"/>
  <c r="AG67" i="3"/>
  <c r="AO67" i="3"/>
  <c r="F66" i="3"/>
  <c r="N66" i="3"/>
  <c r="V66" i="3"/>
  <c r="AD66" i="3"/>
  <c r="AL66" i="3"/>
  <c r="J67" i="3"/>
  <c r="R67" i="3"/>
  <c r="Z67" i="3"/>
  <c r="AH67" i="3"/>
  <c r="AP67" i="3"/>
  <c r="O78" i="3"/>
  <c r="W78" i="3"/>
  <c r="AE84" i="3"/>
  <c r="AM84" i="3"/>
  <c r="G78" i="3"/>
  <c r="AK102" i="3"/>
  <c r="AK103" i="3"/>
  <c r="AC102" i="3"/>
  <c r="AC103" i="3"/>
  <c r="U102" i="3"/>
  <c r="U103" i="3"/>
  <c r="M102" i="3"/>
  <c r="M103" i="3"/>
  <c r="E102" i="3"/>
  <c r="E103" i="3"/>
  <c r="AJ102" i="3"/>
  <c r="AJ103" i="3"/>
  <c r="AB102" i="3"/>
  <c r="AB103" i="3"/>
  <c r="T102" i="3"/>
  <c r="T103" i="3"/>
  <c r="L102" i="3"/>
  <c r="L103" i="3"/>
  <c r="D102" i="3"/>
  <c r="D103" i="3"/>
  <c r="AI102" i="3"/>
  <c r="AI103" i="3"/>
  <c r="AA102" i="3"/>
  <c r="AA103" i="3"/>
  <c r="S102" i="3"/>
  <c r="S103" i="3"/>
  <c r="K102" i="3"/>
  <c r="K103" i="3"/>
  <c r="C102" i="3"/>
  <c r="C103" i="3"/>
  <c r="AP102" i="3"/>
  <c r="AP103" i="3"/>
  <c r="AH102" i="3"/>
  <c r="AH103" i="3"/>
  <c r="Z102" i="3"/>
  <c r="Z103" i="3"/>
  <c r="R102" i="3"/>
  <c r="R103" i="3"/>
  <c r="J102" i="3"/>
  <c r="J103" i="3"/>
  <c r="B102" i="3"/>
  <c r="B103" i="3"/>
  <c r="AO102" i="3"/>
  <c r="AO103" i="3"/>
  <c r="AG102" i="3"/>
  <c r="AG103" i="3"/>
  <c r="Y102" i="3"/>
  <c r="Y103" i="3"/>
  <c r="Q102" i="3"/>
  <c r="Q103" i="3"/>
  <c r="I102" i="3"/>
  <c r="I103" i="3"/>
  <c r="AN102" i="3"/>
  <c r="AN103" i="3"/>
  <c r="AF102" i="3"/>
  <c r="AF103" i="3"/>
  <c r="X102" i="3"/>
  <c r="X103" i="3"/>
  <c r="P102" i="3"/>
  <c r="P103" i="3"/>
  <c r="H102" i="3"/>
  <c r="H103" i="3"/>
  <c r="AM102" i="3"/>
  <c r="AM103" i="3"/>
  <c r="AE102" i="3"/>
  <c r="AE103" i="3"/>
  <c r="W102" i="3"/>
  <c r="W103" i="3"/>
  <c r="O102" i="3"/>
  <c r="O103" i="3"/>
  <c r="G102" i="3"/>
  <c r="G103" i="3"/>
  <c r="N102" i="3"/>
  <c r="N103" i="3"/>
  <c r="F102" i="3"/>
  <c r="F103" i="3"/>
  <c r="AL102" i="3"/>
  <c r="AL103" i="3"/>
  <c r="AD102" i="3"/>
  <c r="AD103" i="3"/>
  <c r="V102" i="3"/>
  <c r="V103" i="3"/>
  <c r="AO108" i="3"/>
  <c r="AO109" i="3"/>
  <c r="AG108" i="3"/>
  <c r="AG109" i="3"/>
  <c r="Y108" i="3"/>
  <c r="Y109" i="3"/>
  <c r="Q108" i="3"/>
  <c r="Q109" i="3"/>
  <c r="I108" i="3"/>
  <c r="I109" i="3"/>
  <c r="AN108" i="3"/>
  <c r="AN109" i="3"/>
  <c r="AF108" i="3"/>
  <c r="AF109" i="3"/>
  <c r="X108" i="3"/>
  <c r="X109" i="3"/>
  <c r="P108" i="3"/>
  <c r="P109" i="3"/>
  <c r="H108" i="3"/>
  <c r="H109" i="3"/>
  <c r="AM108" i="3"/>
  <c r="AM109" i="3"/>
  <c r="AE108" i="3"/>
  <c r="AE109" i="3"/>
  <c r="W108" i="3"/>
  <c r="W109" i="3"/>
  <c r="O108" i="3"/>
  <c r="O109" i="3"/>
  <c r="G108" i="3"/>
  <c r="G109" i="3"/>
  <c r="AL108" i="3"/>
  <c r="AL109" i="3"/>
  <c r="AD108" i="3"/>
  <c r="AD109" i="3"/>
  <c r="V108" i="3"/>
  <c r="V109" i="3"/>
  <c r="N108" i="3"/>
  <c r="N109" i="3"/>
  <c r="F108" i="3"/>
  <c r="F109" i="3"/>
  <c r="AK108" i="3"/>
  <c r="AK109" i="3"/>
  <c r="AC108" i="3"/>
  <c r="AC109" i="3"/>
  <c r="U108" i="3"/>
  <c r="U109" i="3"/>
  <c r="M108" i="3"/>
  <c r="M109" i="3"/>
  <c r="E108" i="3"/>
  <c r="E109" i="3"/>
  <c r="AJ108" i="3"/>
  <c r="AJ109" i="3"/>
  <c r="AB108" i="3"/>
  <c r="AB109" i="3"/>
  <c r="T108" i="3"/>
  <c r="T109" i="3"/>
  <c r="L108" i="3"/>
  <c r="L109" i="3"/>
  <c r="D108" i="3"/>
  <c r="D109" i="3"/>
  <c r="AI108" i="3"/>
  <c r="AI109" i="3"/>
  <c r="AA108" i="3"/>
  <c r="AA109" i="3"/>
  <c r="S108" i="3"/>
  <c r="S109" i="3"/>
  <c r="K108" i="3"/>
  <c r="K109" i="3"/>
  <c r="C108" i="3"/>
  <c r="C109" i="3"/>
  <c r="B108" i="3"/>
  <c r="B109" i="3"/>
  <c r="AP108" i="3"/>
  <c r="AP109" i="3"/>
  <c r="AH108" i="3"/>
  <c r="AH109" i="3"/>
  <c r="Z108" i="3"/>
  <c r="Z109" i="3"/>
  <c r="R108" i="3"/>
  <c r="R109" i="3"/>
  <c r="J108" i="3"/>
  <c r="J109" i="3"/>
  <c r="T82" i="3"/>
  <c r="T72" i="3"/>
  <c r="AI79" i="3"/>
  <c r="AI71" i="3"/>
  <c r="I81" i="3"/>
  <c r="I73" i="3"/>
  <c r="X78" i="3"/>
  <c r="X75" i="3"/>
  <c r="AM82" i="3"/>
  <c r="AL82" i="3"/>
  <c r="AL69" i="3"/>
  <c r="L84" i="3"/>
  <c r="L71" i="3"/>
  <c r="AA81" i="3"/>
  <c r="AA75" i="3"/>
  <c r="P80" i="3"/>
  <c r="P75" i="3"/>
  <c r="G74" i="3"/>
  <c r="O72" i="3"/>
  <c r="AD81" i="3"/>
  <c r="AD73" i="3"/>
  <c r="S80" i="3"/>
  <c r="S75" i="3"/>
  <c r="AP85" i="3"/>
  <c r="AP72" i="3"/>
  <c r="H85" i="3"/>
  <c r="H79" i="3"/>
  <c r="W72" i="3"/>
  <c r="V78" i="3"/>
  <c r="V74" i="3"/>
  <c r="AS83" i="3"/>
  <c r="AS72" i="3"/>
  <c r="K85" i="3"/>
  <c r="K69" i="3"/>
  <c r="AH76" i="3"/>
  <c r="AH75" i="3"/>
  <c r="AM80" i="3"/>
  <c r="N80" i="3"/>
  <c r="N74" i="3"/>
  <c r="AK85" i="3"/>
  <c r="AK72" i="3"/>
  <c r="Z84" i="3"/>
  <c r="Z83" i="3"/>
  <c r="AO81" i="3"/>
  <c r="AO74" i="3"/>
  <c r="W82" i="3"/>
  <c r="F84" i="3"/>
  <c r="F71" i="3"/>
  <c r="AC69" i="3"/>
  <c r="AC73" i="3"/>
  <c r="AR76" i="3"/>
  <c r="AR70" i="3"/>
  <c r="R80" i="3"/>
  <c r="R74" i="3"/>
  <c r="AG85" i="3"/>
  <c r="AG72" i="3"/>
  <c r="W84" i="3"/>
  <c r="U83" i="3"/>
  <c r="U74" i="3"/>
  <c r="AJ80" i="3"/>
  <c r="AJ72" i="3"/>
  <c r="J76" i="3"/>
  <c r="J69" i="3"/>
  <c r="Y79" i="3"/>
  <c r="Y73" i="3"/>
  <c r="AN84" i="3"/>
  <c r="AN75" i="3"/>
  <c r="AE82" i="3"/>
  <c r="M85" i="3"/>
  <c r="M75" i="3"/>
  <c r="AB82" i="3"/>
  <c r="AB76" i="3"/>
  <c r="AQ79" i="3"/>
  <c r="AQ73" i="3"/>
  <c r="Q81" i="3"/>
  <c r="Q70" i="3"/>
  <c r="AF78" i="3"/>
  <c r="AF74" i="3"/>
  <c r="AE75" i="3"/>
  <c r="T85" i="3"/>
  <c r="T81" i="3"/>
  <c r="AI82" i="3"/>
  <c r="AI78" i="3"/>
  <c r="I84" i="3"/>
  <c r="I80" i="3"/>
  <c r="X81" i="3"/>
  <c r="X73" i="3"/>
  <c r="AM81" i="3"/>
  <c r="AL85" i="3"/>
  <c r="AL72" i="3"/>
  <c r="L79" i="3"/>
  <c r="L69" i="3"/>
  <c r="AA84" i="3"/>
  <c r="AA73" i="3"/>
  <c r="P83" i="3"/>
  <c r="P70" i="3"/>
  <c r="G80" i="3"/>
  <c r="O80" i="3"/>
  <c r="AD84" i="3"/>
  <c r="AD71" i="3"/>
  <c r="S83" i="3"/>
  <c r="S78" i="3"/>
  <c r="AP80" i="3"/>
  <c r="AP83" i="3"/>
  <c r="H74" i="3"/>
  <c r="H69" i="3"/>
  <c r="W85" i="3"/>
  <c r="V75" i="3"/>
  <c r="V70" i="3"/>
  <c r="AS81" i="3"/>
  <c r="AS70" i="3"/>
  <c r="K74" i="3"/>
  <c r="K72" i="3"/>
  <c r="AH82" i="3"/>
  <c r="AH71" i="3"/>
  <c r="AE72" i="3"/>
  <c r="N83" i="3"/>
  <c r="N70" i="3"/>
  <c r="AK80" i="3"/>
  <c r="AK76" i="3"/>
  <c r="Z79" i="3"/>
  <c r="Z75" i="3"/>
  <c r="AO84" i="3"/>
  <c r="AO73" i="3"/>
  <c r="AM72" i="3"/>
  <c r="F82" i="3"/>
  <c r="F69" i="3"/>
  <c r="AC79" i="3"/>
  <c r="AC84" i="3"/>
  <c r="AR84" i="3"/>
  <c r="AR73" i="3"/>
  <c r="R78" i="3"/>
  <c r="R75" i="3"/>
  <c r="AG83" i="3"/>
  <c r="AG80" i="3"/>
  <c r="G70" i="3"/>
  <c r="O73" i="3"/>
  <c r="U81" i="3"/>
  <c r="U70" i="3"/>
  <c r="AJ83" i="3"/>
  <c r="AJ76" i="3"/>
  <c r="J82" i="3"/>
  <c r="J74" i="3"/>
  <c r="Y76" i="3"/>
  <c r="Y71" i="3"/>
  <c r="AN73" i="3"/>
  <c r="AN71" i="3"/>
  <c r="AE79" i="3"/>
  <c r="M80" i="3"/>
  <c r="M74" i="3"/>
  <c r="AB85" i="3"/>
  <c r="AB72" i="3"/>
  <c r="AQ82" i="3"/>
  <c r="AQ75" i="3"/>
  <c r="Q84" i="3"/>
  <c r="Q73" i="3"/>
  <c r="AF81" i="3"/>
  <c r="AF73" i="3"/>
  <c r="W75" i="3"/>
  <c r="T80" i="3"/>
  <c r="T75" i="3"/>
  <c r="AI85" i="3"/>
  <c r="AI69" i="3"/>
  <c r="I79" i="3"/>
  <c r="I71" i="3"/>
  <c r="X84" i="3"/>
  <c r="X71" i="3"/>
  <c r="AE73" i="3"/>
  <c r="AL80" i="3"/>
  <c r="AL76" i="3"/>
  <c r="L82" i="3"/>
  <c r="L72" i="3"/>
  <c r="AA79" i="3"/>
  <c r="AA71" i="3"/>
  <c r="P78" i="3"/>
  <c r="P73" i="3"/>
  <c r="AM73" i="3"/>
  <c r="AD82" i="3"/>
  <c r="AD79" i="3"/>
  <c r="S81" i="3"/>
  <c r="S73" i="3"/>
  <c r="AP78" i="3"/>
  <c r="AP70" i="3"/>
  <c r="H80" i="3"/>
  <c r="H72" i="3"/>
  <c r="G82" i="3"/>
  <c r="O69" i="3"/>
  <c r="V81" i="3"/>
  <c r="V73" i="3"/>
  <c r="AS78" i="3"/>
  <c r="AS76" i="3"/>
  <c r="K80" i="3"/>
  <c r="K75" i="3"/>
  <c r="AH85" i="3"/>
  <c r="AH69" i="3"/>
  <c r="AE80" i="3"/>
  <c r="N78" i="3"/>
  <c r="N79" i="3"/>
  <c r="AK83" i="3"/>
  <c r="AK70" i="3"/>
  <c r="Z76" i="3"/>
  <c r="Z73" i="3"/>
  <c r="AO79" i="3"/>
  <c r="AO75" i="3"/>
  <c r="AM85" i="3"/>
  <c r="F85" i="3"/>
  <c r="F74" i="3"/>
  <c r="AC82" i="3"/>
  <c r="AC76" i="3"/>
  <c r="AR79" i="3"/>
  <c r="AR75" i="3"/>
  <c r="R81" i="3"/>
  <c r="R70" i="3"/>
  <c r="AG78" i="3"/>
  <c r="AG70" i="3"/>
  <c r="G84" i="3"/>
  <c r="O84" i="3"/>
  <c r="U71" i="3"/>
  <c r="U78" i="3"/>
  <c r="AJ78" i="3"/>
  <c r="AJ70" i="3"/>
  <c r="J85" i="3"/>
  <c r="J72" i="3"/>
  <c r="Y82" i="3"/>
  <c r="Y69" i="3"/>
  <c r="AN82" i="3"/>
  <c r="AN79" i="3"/>
  <c r="W73" i="3"/>
  <c r="M83" i="3"/>
  <c r="M84" i="3"/>
  <c r="AB80" i="3"/>
  <c r="AB70" i="3"/>
  <c r="AQ85" i="3"/>
  <c r="AQ71" i="3"/>
  <c r="Q79" i="3"/>
  <c r="Q80" i="3"/>
  <c r="AF84" i="3"/>
  <c r="AF75" i="3"/>
  <c r="O75" i="3"/>
  <c r="AF85" i="3"/>
  <c r="T83" i="3"/>
  <c r="T74" i="3"/>
  <c r="AI74" i="3"/>
  <c r="AI72" i="3"/>
  <c r="I76" i="3"/>
  <c r="I69" i="3"/>
  <c r="X82" i="3"/>
  <c r="X85" i="3"/>
  <c r="AE81" i="3"/>
  <c r="AL83" i="3"/>
  <c r="AL70" i="3"/>
  <c r="L85" i="3"/>
  <c r="L75" i="3"/>
  <c r="AA82" i="3"/>
  <c r="AA69" i="3"/>
  <c r="P81" i="3"/>
  <c r="P79" i="3"/>
  <c r="AM78" i="3"/>
  <c r="AD85" i="3"/>
  <c r="AD69" i="3"/>
  <c r="S84" i="3"/>
  <c r="S71" i="3"/>
  <c r="AP81" i="3"/>
  <c r="AP74" i="3"/>
  <c r="H83" i="3"/>
  <c r="H75" i="3"/>
  <c r="G85" i="3"/>
  <c r="O85" i="3"/>
  <c r="V84" i="3"/>
  <c r="V71" i="3"/>
  <c r="AS75" i="3"/>
  <c r="AS73" i="3"/>
  <c r="K83" i="3"/>
  <c r="K70" i="3"/>
  <c r="AH80" i="3"/>
  <c r="AH72" i="3"/>
  <c r="W69" i="3"/>
  <c r="N75" i="3"/>
  <c r="N73" i="3"/>
  <c r="AK81" i="3"/>
  <c r="AK73" i="3"/>
  <c r="Z82" i="3"/>
  <c r="Z71" i="3"/>
  <c r="AO76" i="3"/>
  <c r="AO71" i="3"/>
  <c r="AE76" i="3"/>
  <c r="F80" i="3"/>
  <c r="F72" i="3"/>
  <c r="AC85" i="3"/>
  <c r="AC72" i="3"/>
  <c r="AR82" i="3"/>
  <c r="AR74" i="3"/>
  <c r="R84" i="3"/>
  <c r="R73" i="3"/>
  <c r="AG81" i="3"/>
  <c r="AG74" i="3"/>
  <c r="AM71" i="3"/>
  <c r="U76" i="3"/>
  <c r="U73" i="3"/>
  <c r="AJ75" i="3"/>
  <c r="AJ73" i="3"/>
  <c r="J80" i="3"/>
  <c r="J75" i="3"/>
  <c r="Y85" i="3"/>
  <c r="Y72" i="3"/>
  <c r="AN72" i="3"/>
  <c r="AN69" i="3"/>
  <c r="W81" i="3"/>
  <c r="M81" i="3"/>
  <c r="M70" i="3"/>
  <c r="AB83" i="3"/>
  <c r="AB73" i="3"/>
  <c r="AQ74" i="3"/>
  <c r="AQ69" i="3"/>
  <c r="Q76" i="3"/>
  <c r="Q71" i="3"/>
  <c r="AF82" i="3"/>
  <c r="T78" i="3"/>
  <c r="T70" i="3"/>
  <c r="AI80" i="3"/>
  <c r="AI70" i="3"/>
  <c r="I82" i="3"/>
  <c r="I72" i="3"/>
  <c r="X72" i="3"/>
  <c r="X76" i="3"/>
  <c r="W70" i="3"/>
  <c r="AL78" i="3"/>
  <c r="AL73" i="3"/>
  <c r="L80" i="3"/>
  <c r="L74" i="3"/>
  <c r="AA85" i="3"/>
  <c r="AA78" i="3"/>
  <c r="P84" i="3"/>
  <c r="P76" i="3"/>
  <c r="AE74" i="3"/>
  <c r="AD80" i="3"/>
  <c r="AD76" i="3"/>
  <c r="S79" i="3"/>
  <c r="S76" i="3"/>
  <c r="AP84" i="3"/>
  <c r="AP73" i="3"/>
  <c r="H78" i="3"/>
  <c r="H76" i="3"/>
  <c r="AM70" i="3"/>
  <c r="V82" i="3"/>
  <c r="V76" i="3"/>
  <c r="AS79" i="3"/>
  <c r="AS74" i="3"/>
  <c r="K81" i="3"/>
  <c r="K73" i="3"/>
  <c r="AH78" i="3"/>
  <c r="AH83" i="3"/>
  <c r="G71" i="3"/>
  <c r="O71" i="3"/>
  <c r="N81" i="3"/>
  <c r="N76" i="3"/>
  <c r="AK71" i="3"/>
  <c r="AK74" i="3"/>
  <c r="Z85" i="3"/>
  <c r="Z69" i="3"/>
  <c r="AO82" i="3"/>
  <c r="AO69" i="3"/>
  <c r="AE85" i="3"/>
  <c r="F83" i="3"/>
  <c r="F76" i="3"/>
  <c r="AC80" i="3"/>
  <c r="AC78" i="3"/>
  <c r="AR85" i="3"/>
  <c r="AR71" i="3"/>
  <c r="R79" i="3"/>
  <c r="R83" i="3"/>
  <c r="AG84" i="3"/>
  <c r="AG73" i="3"/>
  <c r="AM69" i="3"/>
  <c r="U79" i="3"/>
  <c r="U69" i="3"/>
  <c r="AJ84" i="3"/>
  <c r="AJ74" i="3"/>
  <c r="J78" i="3"/>
  <c r="J70" i="3"/>
  <c r="Y83" i="3"/>
  <c r="Y74" i="3"/>
  <c r="AN80" i="3"/>
  <c r="AN76" i="3"/>
  <c r="G76" i="3"/>
  <c r="O70" i="3"/>
  <c r="M78" i="3"/>
  <c r="M73" i="3"/>
  <c r="AB78" i="3"/>
  <c r="AB74" i="3"/>
  <c r="AQ80" i="3"/>
  <c r="AQ72" i="3"/>
  <c r="Q82" i="3"/>
  <c r="Q69" i="3"/>
  <c r="AF79" i="3"/>
  <c r="AF71" i="3"/>
  <c r="T71" i="3"/>
  <c r="T73" i="3"/>
  <c r="AI83" i="3"/>
  <c r="AI76" i="3"/>
  <c r="I85" i="3"/>
  <c r="I74" i="3"/>
  <c r="X79" i="3"/>
  <c r="X69" i="3"/>
  <c r="W83" i="3"/>
  <c r="AL75" i="3"/>
  <c r="AL74" i="3"/>
  <c r="L83" i="3"/>
  <c r="L81" i="3"/>
  <c r="AA74" i="3"/>
  <c r="AA76" i="3"/>
  <c r="P82" i="3"/>
  <c r="P71" i="3"/>
  <c r="AE78" i="3"/>
  <c r="AD83" i="3"/>
  <c r="AD72" i="3"/>
  <c r="S82" i="3"/>
  <c r="S69" i="3"/>
  <c r="AP79" i="3"/>
  <c r="AP75" i="3"/>
  <c r="H81" i="3"/>
  <c r="H70" i="3"/>
  <c r="AM83" i="3"/>
  <c r="V85" i="3"/>
  <c r="V69" i="3"/>
  <c r="AS82" i="3"/>
  <c r="AS71" i="3"/>
  <c r="K84" i="3"/>
  <c r="K78" i="3"/>
  <c r="AH81" i="3"/>
  <c r="AH70" i="3"/>
  <c r="G69" i="3"/>
  <c r="O82" i="3"/>
  <c r="N84" i="3"/>
  <c r="N71" i="3"/>
  <c r="AK84" i="3"/>
  <c r="AK75" i="3"/>
  <c r="Z80" i="3"/>
  <c r="Z72" i="3"/>
  <c r="AO85" i="3"/>
  <c r="AO72" i="3"/>
  <c r="W79" i="3"/>
  <c r="F78" i="3"/>
  <c r="F70" i="3"/>
  <c r="AC83" i="3"/>
  <c r="AC70" i="3"/>
  <c r="AR80" i="3"/>
  <c r="AR81" i="3"/>
  <c r="R76" i="3"/>
  <c r="R71" i="3"/>
  <c r="AG79" i="3"/>
  <c r="AG75" i="3"/>
  <c r="AE71" i="3"/>
  <c r="U82" i="3"/>
  <c r="U72" i="3"/>
  <c r="AJ79" i="3"/>
  <c r="AJ71" i="3"/>
  <c r="J81" i="3"/>
  <c r="J73" i="3"/>
  <c r="Y78" i="3"/>
  <c r="Y70" i="3"/>
  <c r="AN83" i="3"/>
  <c r="AN70" i="3"/>
  <c r="G81" i="3"/>
  <c r="O81" i="3"/>
  <c r="M71" i="3"/>
  <c r="M76" i="3"/>
  <c r="AB71" i="3"/>
  <c r="AB75" i="3"/>
  <c r="AQ83" i="3"/>
  <c r="AQ70" i="3"/>
  <c r="Q85" i="3"/>
  <c r="Q72" i="3"/>
  <c r="AF76" i="3"/>
  <c r="AF69" i="3"/>
  <c r="T84" i="3"/>
  <c r="T76" i="3"/>
  <c r="AI81" i="3"/>
  <c r="AI73" i="3"/>
  <c r="I83" i="3"/>
  <c r="I75" i="3"/>
  <c r="X80" i="3"/>
  <c r="X74" i="3"/>
  <c r="G72" i="3"/>
  <c r="O74" i="3"/>
  <c r="AL81" i="3"/>
  <c r="AL71" i="3"/>
  <c r="L78" i="3"/>
  <c r="L70" i="3"/>
  <c r="AA80" i="3"/>
  <c r="AA72" i="3"/>
  <c r="P72" i="3"/>
  <c r="P69" i="3"/>
  <c r="W74" i="3"/>
  <c r="AD78" i="3"/>
  <c r="AD70" i="3"/>
  <c r="S85" i="3"/>
  <c r="S72" i="3"/>
  <c r="AP76" i="3"/>
  <c r="AP71" i="3"/>
  <c r="H84" i="3"/>
  <c r="H73" i="3"/>
  <c r="AE70" i="3"/>
  <c r="V80" i="3"/>
  <c r="V72" i="3"/>
  <c r="AS85" i="3"/>
  <c r="AS84" i="3"/>
  <c r="K79" i="3"/>
  <c r="K76" i="3"/>
  <c r="AH84" i="3"/>
  <c r="AH74" i="3"/>
  <c r="W76" i="3"/>
  <c r="N82" i="3"/>
  <c r="N69" i="3"/>
  <c r="AK79" i="3"/>
  <c r="AK78" i="3"/>
  <c r="Z78" i="3"/>
  <c r="Z74" i="3"/>
  <c r="AO83" i="3"/>
  <c r="AO80" i="3"/>
  <c r="G73" i="3"/>
  <c r="O76" i="3"/>
  <c r="F75" i="3"/>
  <c r="F73" i="3"/>
  <c r="AC81" i="3"/>
  <c r="AC75" i="3"/>
  <c r="AR83" i="3"/>
  <c r="AR69" i="3"/>
  <c r="R82" i="3"/>
  <c r="R69" i="3"/>
  <c r="AG76" i="3"/>
  <c r="AG71" i="3"/>
  <c r="AE69" i="3"/>
  <c r="U85" i="3"/>
  <c r="U84" i="3"/>
  <c r="AJ82" i="3"/>
  <c r="AJ81" i="3"/>
  <c r="J84" i="3"/>
  <c r="J83" i="3"/>
  <c r="Y81" i="3"/>
  <c r="Y80" i="3"/>
  <c r="AN78" i="3"/>
  <c r="AN85" i="3"/>
  <c r="AM75" i="3"/>
  <c r="M79" i="3"/>
  <c r="M69" i="3"/>
  <c r="AB84" i="3"/>
  <c r="AB69" i="3"/>
  <c r="AQ81" i="3"/>
  <c r="AQ78" i="3"/>
  <c r="Q83" i="3"/>
  <c r="Q74" i="3"/>
  <c r="AF80" i="3"/>
  <c r="AF72" i="3"/>
  <c r="G75" i="3"/>
  <c r="T79" i="3"/>
  <c r="T69" i="3"/>
  <c r="AI84" i="3"/>
  <c r="AI75" i="3"/>
  <c r="I78" i="3"/>
  <c r="I70" i="3"/>
  <c r="X83" i="3"/>
  <c r="X70" i="3"/>
  <c r="G83" i="3"/>
  <c r="O83" i="3"/>
  <c r="AL84" i="3"/>
  <c r="AL79" i="3"/>
  <c r="L76" i="3"/>
  <c r="L73" i="3"/>
  <c r="AA83" i="3"/>
  <c r="AA70" i="3"/>
  <c r="P74" i="3"/>
  <c r="P85" i="3"/>
  <c r="W80" i="3"/>
  <c r="AD75" i="3"/>
  <c r="AD74" i="3"/>
  <c r="S74" i="3"/>
  <c r="S70" i="3"/>
  <c r="AP82" i="3"/>
  <c r="AP69" i="3"/>
  <c r="H82" i="3"/>
  <c r="H71" i="3"/>
  <c r="AE83" i="3"/>
  <c r="V83" i="3"/>
  <c r="V79" i="3"/>
  <c r="AS80" i="3"/>
  <c r="AS69" i="3"/>
  <c r="K82" i="3"/>
  <c r="K71" i="3"/>
  <c r="AH79" i="3"/>
  <c r="AH73" i="3"/>
  <c r="AM76" i="3"/>
  <c r="N85" i="3"/>
  <c r="N72" i="3"/>
  <c r="AK82" i="3"/>
  <c r="AK69" i="3"/>
  <c r="Z81" i="3"/>
  <c r="Z70" i="3"/>
  <c r="AO78" i="3"/>
  <c r="AO70" i="3"/>
  <c r="G79" i="3"/>
  <c r="O79" i="3"/>
  <c r="F81" i="3"/>
  <c r="F79" i="3"/>
  <c r="AC71" i="3"/>
  <c r="AC74" i="3"/>
  <c r="AR78" i="3"/>
  <c r="AR72" i="3"/>
  <c r="R85" i="3"/>
  <c r="R72" i="3"/>
  <c r="AG82" i="3"/>
  <c r="AG69" i="3"/>
  <c r="W71" i="3"/>
  <c r="U80" i="3"/>
  <c r="U75" i="3"/>
  <c r="AJ85" i="3"/>
  <c r="AJ69" i="3"/>
  <c r="J79" i="3"/>
  <c r="J71" i="3"/>
  <c r="Y84" i="3"/>
  <c r="Y75" i="3"/>
  <c r="AN81" i="3"/>
  <c r="AN74" i="3"/>
  <c r="AM79" i="3"/>
  <c r="M82" i="3"/>
  <c r="M72" i="3"/>
  <c r="AB79" i="3"/>
  <c r="AB81" i="3"/>
  <c r="AQ84" i="3"/>
  <c r="AQ76" i="3"/>
  <c r="Q78" i="3"/>
  <c r="Q75" i="3"/>
  <c r="AF83" i="3"/>
  <c r="AF70" i="3"/>
  <c r="AM74" i="3"/>
  <c r="BU2" i="3"/>
  <c r="AG2" i="3"/>
  <c r="CD2" i="3"/>
  <c r="AP2" i="3"/>
  <c r="AB2" i="3"/>
  <c r="BP2" i="3"/>
  <c r="AS2" i="3"/>
  <c r="CG2" i="3"/>
  <c r="BK2" i="3"/>
  <c r="W2" i="3"/>
  <c r="CC2" i="3"/>
  <c r="AO2" i="3"/>
  <c r="K2" i="3"/>
  <c r="AY2" i="3"/>
  <c r="AJ2" i="3"/>
  <c r="BX2" i="3"/>
  <c r="AT2" i="3"/>
  <c r="F2" i="3"/>
  <c r="BS2" i="3"/>
  <c r="AE2" i="3"/>
  <c r="I2" i="3"/>
  <c r="AW2" i="3"/>
  <c r="S2" i="3"/>
  <c r="BG2" i="3"/>
  <c r="AR2" i="3"/>
  <c r="CF2" i="3"/>
  <c r="BB2" i="3"/>
  <c r="N2" i="3"/>
  <c r="CA2" i="3"/>
  <c r="AM2" i="3"/>
  <c r="Q2" i="3"/>
  <c r="BE2" i="3"/>
  <c r="AA2" i="3"/>
  <c r="BO2" i="3"/>
  <c r="BJ2" i="3"/>
  <c r="V2" i="3"/>
  <c r="AV2" i="3"/>
  <c r="H2" i="3"/>
  <c r="J2" i="3"/>
  <c r="AX2" i="3"/>
  <c r="AI2" i="3"/>
  <c r="BW2" i="3"/>
  <c r="BA2" i="3"/>
  <c r="M2" i="3"/>
  <c r="BR2" i="3"/>
  <c r="AD2" i="3"/>
  <c r="BD2" i="3"/>
  <c r="P2" i="3"/>
  <c r="R2" i="3"/>
  <c r="BF2" i="3"/>
  <c r="CE2" i="3"/>
  <c r="AQ2" i="3"/>
  <c r="BI2" i="3"/>
  <c r="U2" i="3"/>
  <c r="BZ2" i="3"/>
  <c r="AL2" i="3"/>
  <c r="BL2" i="3"/>
  <c r="X2" i="3"/>
  <c r="Z2" i="3"/>
  <c r="BN2" i="3"/>
  <c r="AZ2" i="3"/>
  <c r="L2" i="3"/>
  <c r="BQ2" i="3"/>
  <c r="AC2" i="3"/>
  <c r="G2" i="3"/>
  <c r="AU2" i="3"/>
  <c r="BT2" i="3"/>
  <c r="AF2" i="3"/>
  <c r="BM2" i="3"/>
  <c r="Y2" i="3"/>
  <c r="BV2" i="3"/>
  <c r="AH2" i="3"/>
  <c r="BH2" i="3"/>
  <c r="T2" i="3"/>
  <c r="AK2" i="3"/>
  <c r="BY2" i="3"/>
  <c r="BC2" i="3"/>
  <c r="O2" i="3"/>
  <c r="CB2" i="3"/>
  <c r="AN2" i="3"/>
  <c r="AM35" i="3"/>
  <c r="AB41" i="3"/>
  <c r="J32" i="3"/>
  <c r="AG44" i="3"/>
  <c r="F43" i="3"/>
  <c r="AK44" i="3"/>
  <c r="AS30" i="3"/>
  <c r="AP44" i="3"/>
  <c r="AA31" i="3"/>
  <c r="X31" i="3"/>
  <c r="G36" i="3"/>
  <c r="AB46" i="3"/>
  <c r="J45" i="3"/>
  <c r="AG37" i="3"/>
  <c r="F36" i="3"/>
  <c r="AK41" i="3"/>
  <c r="AS46" i="3"/>
  <c r="AP37" i="3"/>
  <c r="AA33" i="3"/>
  <c r="X35" i="3"/>
  <c r="AF30" i="3"/>
  <c r="M37" i="3"/>
  <c r="J34" i="3"/>
  <c r="AG41" i="3"/>
  <c r="F40" i="3"/>
  <c r="N32" i="3"/>
  <c r="AS32" i="3"/>
  <c r="AP41" i="3"/>
  <c r="AA37" i="3"/>
  <c r="X41" i="3"/>
  <c r="AF41" i="3"/>
  <c r="M40" i="3"/>
  <c r="J40" i="3"/>
  <c r="R45" i="3"/>
  <c r="AE47" i="3"/>
  <c r="N43" i="3"/>
  <c r="AS41" i="3"/>
  <c r="S37" i="3"/>
  <c r="AA47" i="3"/>
  <c r="I33" i="3"/>
  <c r="Q37" i="3"/>
  <c r="AN30" i="3"/>
  <c r="U34" i="3"/>
  <c r="AR44" i="3"/>
  <c r="Z32" i="3"/>
  <c r="AH42" i="3"/>
  <c r="G47" i="3"/>
  <c r="AD47" i="3"/>
  <c r="AL31" i="3"/>
  <c r="AI35" i="3"/>
  <c r="Q41" i="3"/>
  <c r="AN41" i="3"/>
  <c r="U40" i="3"/>
  <c r="AR36" i="3"/>
  <c r="AO41" i="3"/>
  <c r="AH30" i="3"/>
  <c r="O30" i="3"/>
  <c r="AD41" i="3"/>
  <c r="L44" i="3"/>
  <c r="AI30" i="3"/>
  <c r="Q46" i="3"/>
  <c r="AN32" i="3"/>
  <c r="U31" i="3"/>
  <c r="AR34" i="3"/>
  <c r="AO46" i="3"/>
  <c r="AH32" i="3"/>
  <c r="W47" i="3"/>
  <c r="AD46" i="3"/>
  <c r="L41" i="3"/>
  <c r="AI40" i="3"/>
  <c r="Q43" i="3"/>
  <c r="AN36" i="3"/>
  <c r="U35" i="3"/>
  <c r="AR37" i="3"/>
  <c r="Z45" i="3"/>
  <c r="AH37" i="3"/>
  <c r="H41" i="3"/>
  <c r="O33" i="3"/>
  <c r="AL30" i="3"/>
  <c r="AI41" i="3"/>
  <c r="AM46" i="3"/>
  <c r="AM29" i="3"/>
  <c r="AM39" i="3"/>
  <c r="H29" i="3"/>
  <c r="H39" i="3"/>
  <c r="AD29" i="3"/>
  <c r="AD39" i="3"/>
  <c r="U29" i="3"/>
  <c r="U39" i="3"/>
  <c r="L29" i="3"/>
  <c r="L39" i="3"/>
  <c r="Y29" i="3"/>
  <c r="Y39" i="3"/>
  <c r="O40" i="3"/>
  <c r="O29" i="3"/>
  <c r="O39" i="3"/>
  <c r="AC32" i="3"/>
  <c r="H44" i="3"/>
  <c r="AE30" i="3"/>
  <c r="AB36" i="3"/>
  <c r="P32" i="3"/>
  <c r="Y45" i="3"/>
  <c r="AP34" i="3"/>
  <c r="R46" i="3"/>
  <c r="I37" i="3"/>
  <c r="N40" i="3"/>
  <c r="AF43" i="3"/>
  <c r="V31" i="3"/>
  <c r="AJ33" i="3"/>
  <c r="I43" i="3"/>
  <c r="M29" i="3"/>
  <c r="M39" i="3"/>
  <c r="AK30" i="3"/>
  <c r="AP30" i="3"/>
  <c r="F34" i="3"/>
  <c r="AB32" i="3"/>
  <c r="AP36" i="3"/>
  <c r="AG46" i="3"/>
  <c r="X33" i="3"/>
  <c r="AH33" i="3"/>
  <c r="W34" i="3"/>
  <c r="S43" i="3"/>
  <c r="R40" i="3"/>
  <c r="Q31" i="3"/>
  <c r="W33" i="3"/>
  <c r="I29" i="3"/>
  <c r="I39" i="3"/>
  <c r="AF31" i="3"/>
  <c r="M33" i="3"/>
  <c r="J41" i="3"/>
  <c r="R33" i="3"/>
  <c r="O41" i="3"/>
  <c r="N33" i="3"/>
  <c r="AS42" i="3"/>
  <c r="S31" i="3"/>
  <c r="AA45" i="3"/>
  <c r="X45" i="3"/>
  <c r="AF33" i="3"/>
  <c r="M30" i="3"/>
  <c r="J46" i="3"/>
  <c r="R30" i="3"/>
  <c r="O37" i="3"/>
  <c r="N30" i="3"/>
  <c r="AS47" i="3"/>
  <c r="S33" i="3"/>
  <c r="AA42" i="3"/>
  <c r="X42" i="3"/>
  <c r="AF37" i="3"/>
  <c r="M32" i="3"/>
  <c r="J43" i="3"/>
  <c r="R32" i="3"/>
  <c r="W41" i="3"/>
  <c r="N46" i="3"/>
  <c r="AS44" i="3"/>
  <c r="S30" i="3"/>
  <c r="AA35" i="3"/>
  <c r="I35" i="3"/>
  <c r="Q30" i="3"/>
  <c r="O31" i="3"/>
  <c r="AJ35" i="3"/>
  <c r="R41" i="3"/>
  <c r="AO30" i="3"/>
  <c r="O32" i="3"/>
  <c r="V37" i="3"/>
  <c r="S41" i="3"/>
  <c r="L35" i="3"/>
  <c r="I44" i="3"/>
  <c r="AQ30" i="3"/>
  <c r="AN33" i="3"/>
  <c r="U37" i="3"/>
  <c r="AC33" i="3"/>
  <c r="Z44" i="3"/>
  <c r="K31" i="3"/>
  <c r="H36" i="3"/>
  <c r="AM40" i="3"/>
  <c r="AL45" i="3"/>
  <c r="T35" i="3"/>
  <c r="AQ32" i="3"/>
  <c r="AN44" i="3"/>
  <c r="U32" i="3"/>
  <c r="AR41" i="3"/>
  <c r="Z34" i="3"/>
  <c r="AH47" i="3"/>
  <c r="G44" i="3"/>
  <c r="AD44" i="3"/>
  <c r="AL37" i="3"/>
  <c r="AI47" i="3"/>
  <c r="AQ36" i="3"/>
  <c r="AN34" i="3"/>
  <c r="U43" i="3"/>
  <c r="AR46" i="3"/>
  <c r="Z36" i="3"/>
  <c r="AH44" i="3"/>
  <c r="H30" i="3"/>
  <c r="O42" i="3"/>
  <c r="AL33" i="3"/>
  <c r="AI44" i="3"/>
  <c r="AQ34" i="3"/>
  <c r="AN46" i="3"/>
  <c r="U45" i="3"/>
  <c r="AC34" i="3"/>
  <c r="Z46" i="3"/>
  <c r="K30" i="3"/>
  <c r="H47" i="3"/>
  <c r="G35" i="3"/>
  <c r="AL44" i="3"/>
  <c r="T33" i="3"/>
  <c r="AS29" i="3"/>
  <c r="AS39" i="3"/>
  <c r="AJ29" i="3"/>
  <c r="AJ39" i="3"/>
  <c r="S29" i="3"/>
  <c r="S39" i="3"/>
  <c r="Q29" i="3"/>
  <c r="Q39" i="3"/>
  <c r="J29" i="3"/>
  <c r="J39" i="3"/>
  <c r="W32" i="3"/>
  <c r="T30" i="3"/>
  <c r="K37" i="3"/>
  <c r="T37" i="3"/>
  <c r="K40" i="3"/>
  <c r="F37" i="3"/>
  <c r="AF44" i="3"/>
  <c r="W30" i="3"/>
  <c r="R31" i="3"/>
  <c r="I32" i="3"/>
  <c r="R36" i="3"/>
  <c r="I42" i="3"/>
  <c r="AM42" i="3"/>
  <c r="AO29" i="3"/>
  <c r="AO39" i="3"/>
  <c r="AF29" i="3"/>
  <c r="AF39" i="3"/>
  <c r="AB43" i="3"/>
  <c r="T41" i="3"/>
  <c r="K41" i="3"/>
  <c r="T46" i="3"/>
  <c r="K46" i="3"/>
  <c r="M34" i="3"/>
  <c r="AA40" i="3"/>
  <c r="AO37" i="3"/>
  <c r="Q42" i="3"/>
  <c r="V43" i="3"/>
  <c r="AJ45" i="3"/>
  <c r="L30" i="3"/>
  <c r="AO43" i="3"/>
  <c r="AB29" i="3"/>
  <c r="AB39" i="3"/>
  <c r="AF45" i="3"/>
  <c r="M44" i="3"/>
  <c r="AJ30" i="3"/>
  <c r="R47" i="3"/>
  <c r="G41" i="3"/>
  <c r="N47" i="3"/>
  <c r="V41" i="3"/>
  <c r="S35" i="3"/>
  <c r="L34" i="3"/>
  <c r="I31" i="3"/>
  <c r="AF42" i="3"/>
  <c r="M41" i="3"/>
  <c r="AJ43" i="3"/>
  <c r="R44" i="3"/>
  <c r="G34" i="3"/>
  <c r="N44" i="3"/>
  <c r="V33" i="3"/>
  <c r="S47" i="3"/>
  <c r="L31" i="3"/>
  <c r="I36" i="3"/>
  <c r="Q33" i="3"/>
  <c r="O43" i="3"/>
  <c r="AJ32" i="3"/>
  <c r="R37" i="3"/>
  <c r="AO33" i="3"/>
  <c r="O44" i="3"/>
  <c r="V30" i="3"/>
  <c r="S44" i="3"/>
  <c r="L43" i="3"/>
  <c r="I47" i="3"/>
  <c r="Q44" i="3"/>
  <c r="G37" i="3"/>
  <c r="AJ46" i="3"/>
  <c r="AR32" i="3"/>
  <c r="AO44" i="3"/>
  <c r="G32" i="3"/>
  <c r="V44" i="3"/>
  <c r="AD37" i="3"/>
  <c r="L42" i="3"/>
  <c r="AI31" i="3"/>
  <c r="AQ35" i="3"/>
  <c r="Y33" i="3"/>
  <c r="AM32" i="3"/>
  <c r="AC47" i="3"/>
  <c r="AK34" i="3"/>
  <c r="K45" i="3"/>
  <c r="H45" i="3"/>
  <c r="P41" i="3"/>
  <c r="AE43" i="3"/>
  <c r="T45" i="3"/>
  <c r="AQ47" i="3"/>
  <c r="Y30" i="3"/>
  <c r="O46" i="3"/>
  <c r="AC37" i="3"/>
  <c r="Z37" i="3"/>
  <c r="K36" i="3"/>
  <c r="H33" i="3"/>
  <c r="AM34" i="3"/>
  <c r="AL42" i="3"/>
  <c r="T36" i="3"/>
  <c r="AQ44" i="3"/>
  <c r="Y32" i="3"/>
  <c r="O34" i="3"/>
  <c r="AC46" i="3"/>
  <c r="Z41" i="3"/>
  <c r="K33" i="3"/>
  <c r="H35" i="3"/>
  <c r="G42" i="3"/>
  <c r="AL47" i="3"/>
  <c r="T43" i="3"/>
  <c r="AQ41" i="3"/>
  <c r="Y34" i="3"/>
  <c r="W46" i="3"/>
  <c r="AC30" i="3"/>
  <c r="AK33" i="3"/>
  <c r="K47" i="3"/>
  <c r="AP33" i="3"/>
  <c r="P36" i="3"/>
  <c r="AM44" i="3"/>
  <c r="T44" i="3"/>
  <c r="P29" i="3"/>
  <c r="P39" i="3"/>
  <c r="AL29" i="3"/>
  <c r="AL39" i="3"/>
  <c r="AC29" i="3"/>
  <c r="AC39" i="3"/>
  <c r="AH29" i="3"/>
  <c r="AH39" i="3"/>
  <c r="AN29" i="3"/>
  <c r="AN39" i="3"/>
  <c r="Y36" i="3"/>
  <c r="Y42" i="3"/>
  <c r="O35" i="3"/>
  <c r="AK36" i="3"/>
  <c r="AB40" i="3"/>
  <c r="P46" i="3"/>
  <c r="AO32" i="3"/>
  <c r="AF46" i="3"/>
  <c r="S34" i="3"/>
  <c r="N45" i="3"/>
  <c r="M47" i="3"/>
  <c r="V40" i="3"/>
  <c r="AE46" i="3"/>
  <c r="AE29" i="3"/>
  <c r="AE39" i="3"/>
  <c r="F41" i="3"/>
  <c r="AB30" i="3"/>
  <c r="P33" i="3"/>
  <c r="AG36" i="3"/>
  <c r="X30" i="3"/>
  <c r="N37" i="3"/>
  <c r="W43" i="3"/>
  <c r="AD30" i="3"/>
  <c r="R43" i="3"/>
  <c r="I41" i="3"/>
  <c r="AE33" i="3"/>
  <c r="AE44" i="3"/>
  <c r="AD43" i="3"/>
  <c r="Q36" i="3"/>
  <c r="AM41" i="3"/>
  <c r="AJ47" i="3"/>
  <c r="AR33" i="3"/>
  <c r="AO31" i="3"/>
  <c r="AM37" i="3"/>
  <c r="V45" i="3"/>
  <c r="AD35" i="3"/>
  <c r="L37" i="3"/>
  <c r="I40" i="3"/>
  <c r="Q35" i="3"/>
  <c r="AM36" i="3"/>
  <c r="AJ44" i="3"/>
  <c r="AR30" i="3"/>
  <c r="AO42" i="3"/>
  <c r="W37" i="3"/>
  <c r="V42" i="3"/>
  <c r="AD31" i="3"/>
  <c r="L40" i="3"/>
  <c r="I45" i="3"/>
  <c r="Q47" i="3"/>
  <c r="G43" i="3"/>
  <c r="AJ41" i="3"/>
  <c r="AR43" i="3"/>
  <c r="AO47" i="3"/>
  <c r="G30" i="3"/>
  <c r="V47" i="3"/>
  <c r="AD33" i="3"/>
  <c r="L45" i="3"/>
  <c r="AI37" i="3"/>
  <c r="AQ33" i="3"/>
  <c r="AN37" i="3"/>
  <c r="U30" i="3"/>
  <c r="AR47" i="3"/>
  <c r="Z30" i="3"/>
  <c r="AH45" i="3"/>
  <c r="AM31" i="3"/>
  <c r="AD42" i="3"/>
  <c r="AL34" i="3"/>
  <c r="AI42" i="3"/>
  <c r="AB34" i="3"/>
  <c r="Y47" i="3"/>
  <c r="AG35" i="3"/>
  <c r="F33" i="3"/>
  <c r="AK43" i="3"/>
  <c r="AS34" i="3"/>
  <c r="AP35" i="3"/>
  <c r="P43" i="3"/>
  <c r="X47" i="3"/>
  <c r="AF47" i="3"/>
  <c r="AB31" i="3"/>
  <c r="Y44" i="3"/>
  <c r="G46" i="3"/>
  <c r="AC44" i="3"/>
  <c r="AK31" i="3"/>
  <c r="K42" i="3"/>
  <c r="H42" i="3"/>
  <c r="P34" i="3"/>
  <c r="AE34" i="3"/>
  <c r="T42" i="3"/>
  <c r="AB33" i="3"/>
  <c r="Y37" i="3"/>
  <c r="G31" i="3"/>
  <c r="AC41" i="3"/>
  <c r="AK37" i="3"/>
  <c r="K35" i="3"/>
  <c r="AP45" i="3"/>
  <c r="P31" i="3"/>
  <c r="AM43" i="3"/>
  <c r="T47" i="3"/>
  <c r="AB37" i="3"/>
  <c r="Y41" i="3"/>
  <c r="AG33" i="3"/>
  <c r="F32" i="3"/>
  <c r="AK47" i="3"/>
  <c r="AS33" i="3"/>
  <c r="AP47" i="3"/>
  <c r="P42" i="3"/>
  <c r="X36" i="3"/>
  <c r="AR29" i="3"/>
  <c r="AR39" i="3"/>
  <c r="AA29" i="3"/>
  <c r="AA39" i="3"/>
  <c r="AI39" i="3"/>
  <c r="AI29" i="3"/>
  <c r="R29" i="3"/>
  <c r="R39" i="3"/>
  <c r="G40" i="3"/>
  <c r="G29" i="3"/>
  <c r="G39" i="3"/>
  <c r="K32" i="3"/>
  <c r="P47" i="3"/>
  <c r="AC43" i="3"/>
  <c r="P30" i="3"/>
  <c r="AC45" i="3"/>
  <c r="T32" i="3"/>
  <c r="K43" i="3"/>
  <c r="AJ34" i="3"/>
  <c r="L36" i="3"/>
  <c r="AM47" i="3"/>
  <c r="M42" i="3"/>
  <c r="S45" i="3"/>
  <c r="R42" i="3"/>
  <c r="L32" i="3"/>
  <c r="V29" i="3"/>
  <c r="V39" i="3"/>
  <c r="Y46" i="3"/>
  <c r="P35" i="3"/>
  <c r="AG32" i="3"/>
  <c r="G33" i="3"/>
  <c r="AK46" i="3"/>
  <c r="J31" i="3"/>
  <c r="AP46" i="3"/>
  <c r="AR35" i="3"/>
  <c r="AJ40" i="3"/>
  <c r="L33" i="3"/>
  <c r="AO34" i="3"/>
  <c r="I46" i="3"/>
  <c r="AH36" i="3"/>
  <c r="K29" i="3"/>
  <c r="K39" i="3"/>
  <c r="Q40" i="3"/>
  <c r="AN35" i="3"/>
  <c r="U36" i="3"/>
  <c r="AR40" i="3"/>
  <c r="AO40" i="3"/>
  <c r="AH34" i="3"/>
  <c r="AE45" i="3"/>
  <c r="AD36" i="3"/>
  <c r="AL41" i="3"/>
  <c r="AI36" i="3"/>
  <c r="Q45" i="3"/>
  <c r="AN47" i="3"/>
  <c r="U46" i="3"/>
  <c r="AR45" i="3"/>
  <c r="AO45" i="3"/>
  <c r="AH35" i="3"/>
  <c r="AE31" i="3"/>
  <c r="AD40" i="3"/>
  <c r="AL32" i="3"/>
  <c r="AI34" i="3"/>
  <c r="AQ31" i="3"/>
  <c r="AN31" i="3"/>
  <c r="U33" i="3"/>
  <c r="AR42" i="3"/>
  <c r="Z33" i="3"/>
  <c r="AH31" i="3"/>
  <c r="AM45" i="3"/>
  <c r="AD45" i="3"/>
  <c r="AL35" i="3"/>
  <c r="AI45" i="3"/>
  <c r="AQ42" i="3"/>
  <c r="AN42" i="3"/>
  <c r="U41" i="3"/>
  <c r="AC40" i="3"/>
  <c r="Z47" i="3"/>
  <c r="AH40" i="3"/>
  <c r="H37" i="3"/>
  <c r="AE35" i="3"/>
  <c r="AL40" i="3"/>
  <c r="T31" i="3"/>
  <c r="AB45" i="3"/>
  <c r="J36" i="3"/>
  <c r="AG43" i="3"/>
  <c r="F42" i="3"/>
  <c r="N34" i="3"/>
  <c r="AS36" i="3"/>
  <c r="AP43" i="3"/>
  <c r="AA30" i="3"/>
  <c r="X44" i="3"/>
  <c r="O36" i="3"/>
  <c r="AB42" i="3"/>
  <c r="J33" i="3"/>
  <c r="AG31" i="3"/>
  <c r="F35" i="3"/>
  <c r="AK45" i="3"/>
  <c r="AS37" i="3"/>
  <c r="AP31" i="3"/>
  <c r="P40" i="3"/>
  <c r="X32" i="3"/>
  <c r="W36" i="3"/>
  <c r="AB47" i="3"/>
  <c r="J35" i="3"/>
  <c r="AG42" i="3"/>
  <c r="F30" i="3"/>
  <c r="AK42" i="3"/>
  <c r="AS31" i="3"/>
  <c r="AP42" i="3"/>
  <c r="P45" i="3"/>
  <c r="X34" i="3"/>
  <c r="AE36" i="3"/>
  <c r="AB44" i="3"/>
  <c r="J30" i="3"/>
  <c r="AG47" i="3"/>
  <c r="F46" i="3"/>
  <c r="N35" i="3"/>
  <c r="AS45" i="3"/>
  <c r="S36" i="3"/>
  <c r="AA36" i="3"/>
  <c r="X40" i="3"/>
  <c r="AG29" i="3"/>
  <c r="AG39" i="3"/>
  <c r="W40" i="3"/>
  <c r="W29" i="3"/>
  <c r="W39" i="3"/>
  <c r="F39" i="3"/>
  <c r="F29" i="3"/>
  <c r="X29" i="3"/>
  <c r="X39" i="3"/>
  <c r="T29" i="3"/>
  <c r="T39" i="3"/>
  <c r="Z43" i="3"/>
  <c r="AQ43" i="3"/>
  <c r="H46" i="3"/>
  <c r="AE32" i="3"/>
  <c r="W45" i="3"/>
  <c r="AK32" i="3"/>
  <c r="M43" i="3"/>
  <c r="S46" i="3"/>
  <c r="M45" i="3"/>
  <c r="V34" i="3"/>
  <c r="AJ37" i="3"/>
  <c r="AA46" i="3"/>
  <c r="AO35" i="3"/>
  <c r="AP29" i="3"/>
  <c r="AP39" i="3"/>
  <c r="AQ39" i="3"/>
  <c r="AQ29" i="3"/>
  <c r="K44" i="3"/>
  <c r="Y43" i="3"/>
  <c r="AP32" i="3"/>
  <c r="F31" i="3"/>
  <c r="AF32" i="3"/>
  <c r="AS35" i="3"/>
  <c r="AJ36" i="3"/>
  <c r="L47" i="3"/>
  <c r="AO36" i="3"/>
  <c r="Q34" i="3"/>
  <c r="V36" i="3"/>
  <c r="AJ42" i="3"/>
  <c r="L46" i="3"/>
  <c r="AQ37" i="3"/>
  <c r="AN43" i="3"/>
  <c r="U42" i="3"/>
  <c r="AC35" i="3"/>
  <c r="Z31" i="3"/>
  <c r="AH41" i="3"/>
  <c r="H32" i="3"/>
  <c r="W42" i="3"/>
  <c r="AL46" i="3"/>
  <c r="AI46" i="3"/>
  <c r="AQ40" i="3"/>
  <c r="AN40" i="3"/>
  <c r="U47" i="3"/>
  <c r="AC36" i="3"/>
  <c r="Z35" i="3"/>
  <c r="AH46" i="3"/>
  <c r="H34" i="3"/>
  <c r="W35" i="3"/>
  <c r="AL43" i="3"/>
  <c r="AI43" i="3"/>
  <c r="AQ45" i="3"/>
  <c r="AN45" i="3"/>
  <c r="U44" i="3"/>
  <c r="AC31" i="3"/>
  <c r="Z42" i="3"/>
  <c r="AH43" i="3"/>
  <c r="H31" i="3"/>
  <c r="AE40" i="3"/>
  <c r="AL36" i="3"/>
  <c r="T34" i="3"/>
  <c r="AB35" i="3"/>
  <c r="Y35" i="3"/>
  <c r="AM30" i="3"/>
  <c r="AC42" i="3"/>
  <c r="AK35" i="3"/>
  <c r="K34" i="3"/>
  <c r="H40" i="3"/>
  <c r="P37" i="3"/>
  <c r="W31" i="3"/>
  <c r="T40" i="3"/>
  <c r="M31" i="3"/>
  <c r="J42" i="3"/>
  <c r="R34" i="3"/>
  <c r="AE37" i="3"/>
  <c r="N36" i="3"/>
  <c r="V32" i="3"/>
  <c r="S32" i="3"/>
  <c r="AA44" i="3"/>
  <c r="I30" i="3"/>
  <c r="AF36" i="3"/>
  <c r="M46" i="3"/>
  <c r="J47" i="3"/>
  <c r="AG40" i="3"/>
  <c r="F47" i="3"/>
  <c r="N41" i="3"/>
  <c r="AS40" i="3"/>
  <c r="AP40" i="3"/>
  <c r="AA32" i="3"/>
  <c r="X46" i="3"/>
  <c r="AF34" i="3"/>
  <c r="M35" i="3"/>
  <c r="J44" i="3"/>
  <c r="AG45" i="3"/>
  <c r="F44" i="3"/>
  <c r="N31" i="3"/>
  <c r="AS43" i="3"/>
  <c r="S40" i="3"/>
  <c r="AA34" i="3"/>
  <c r="X43" i="3"/>
  <c r="AF35" i="3"/>
  <c r="M36" i="3"/>
  <c r="J37" i="3"/>
  <c r="R35" i="3"/>
  <c r="W44" i="3"/>
  <c r="N42" i="3"/>
  <c r="V35" i="3"/>
  <c r="S42" i="3"/>
  <c r="AA43" i="3"/>
  <c r="I34" i="3"/>
  <c r="Z29" i="3"/>
  <c r="Z39" i="3"/>
  <c r="AK29" i="3"/>
  <c r="AK39" i="3"/>
  <c r="AQ46" i="3"/>
  <c r="O45" i="3"/>
  <c r="Z40" i="3"/>
  <c r="Y31" i="3"/>
  <c r="H43" i="3"/>
  <c r="AG34" i="3"/>
  <c r="X37" i="3"/>
  <c r="V46" i="3"/>
  <c r="AJ31" i="3"/>
  <c r="AA41" i="3"/>
  <c r="AM33" i="3"/>
  <c r="AF40" i="3"/>
  <c r="AD34" i="3"/>
  <c r="N29" i="3"/>
  <c r="N39" i="3"/>
  <c r="AG30" i="3"/>
  <c r="G45" i="3"/>
  <c r="AK40" i="3"/>
  <c r="Y40" i="3"/>
  <c r="P44" i="3"/>
  <c r="F45" i="3"/>
  <c r="Q32" i="3"/>
  <c r="O47" i="3"/>
  <c r="AI33" i="3"/>
  <c r="AE42" i="3"/>
  <c r="AE41" i="3"/>
  <c r="AD32" i="3"/>
  <c r="AR31" i="3"/>
  <c r="AI32" i="3"/>
  <c r="AI21" i="3"/>
  <c r="AI22" i="3"/>
  <c r="N18" i="3"/>
  <c r="AJ20" i="3"/>
  <c r="Y20" i="3"/>
  <c r="AK18" i="3"/>
  <c r="AA24" i="3"/>
  <c r="V21" i="3"/>
  <c r="Y23" i="3"/>
  <c r="AQ48" i="3"/>
  <c r="X18" i="3"/>
  <c r="W48" i="3"/>
  <c r="AG38" i="3"/>
  <c r="AS26" i="3"/>
  <c r="AS25" i="3"/>
  <c r="AL23" i="3"/>
  <c r="U25" i="3"/>
  <c r="K18" i="3"/>
  <c r="G22" i="3"/>
  <c r="T21" i="3"/>
  <c r="K21" i="3"/>
  <c r="R48" i="3"/>
  <c r="AI48" i="3"/>
  <c r="P24" i="3"/>
  <c r="AP23" i="3"/>
  <c r="U19" i="3"/>
  <c r="AD20" i="3"/>
  <c r="AD23" i="3"/>
  <c r="AE22" i="3"/>
  <c r="Y25" i="3"/>
  <c r="P18" i="3"/>
  <c r="Y24" i="3"/>
  <c r="Y19" i="3"/>
  <c r="Q22" i="3"/>
  <c r="V22" i="3"/>
  <c r="N27" i="3"/>
  <c r="AF18" i="3"/>
  <c r="W19" i="3"/>
  <c r="K26" i="3"/>
  <c r="J38" i="3"/>
  <c r="S48" i="3"/>
  <c r="AJ18" i="3"/>
  <c r="AL22" i="3"/>
  <c r="AL26" i="3"/>
  <c r="L23" i="3"/>
  <c r="I23" i="3"/>
  <c r="O26" i="3"/>
  <c r="I48" i="3"/>
  <c r="AP19" i="3"/>
  <c r="I26" i="3"/>
  <c r="AB25" i="3"/>
  <c r="Y18" i="3"/>
  <c r="AM38" i="3"/>
  <c r="AN21" i="3"/>
  <c r="X20" i="3"/>
  <c r="J26" i="3"/>
  <c r="M23" i="3"/>
  <c r="AF25" i="3"/>
  <c r="M20" i="3"/>
  <c r="K24" i="3"/>
  <c r="H20" i="3"/>
  <c r="Z23" i="3"/>
  <c r="AC23" i="3"/>
  <c r="V25" i="3"/>
  <c r="AJ25" i="3"/>
  <c r="AP21" i="3"/>
  <c r="AK21" i="3"/>
  <c r="T48" i="3"/>
  <c r="X38" i="3"/>
  <c r="AG18" i="3"/>
  <c r="N23" i="3"/>
  <c r="AE25" i="3"/>
  <c r="W25" i="3"/>
  <c r="T20" i="3"/>
  <c r="Z27" i="3"/>
  <c r="U22" i="3"/>
  <c r="AL21" i="3"/>
  <c r="AD25" i="3"/>
  <c r="V38" i="3"/>
  <c r="AM27" i="3"/>
  <c r="AR38" i="3"/>
  <c r="AS22" i="3"/>
  <c r="Y26" i="3"/>
  <c r="AB20" i="3"/>
  <c r="Y27" i="3"/>
  <c r="AM20" i="3"/>
  <c r="AD22" i="3"/>
  <c r="AM25" i="3"/>
  <c r="AJ27" i="3"/>
  <c r="X19" i="3"/>
  <c r="M27" i="3"/>
  <c r="AH38" i="3"/>
  <c r="AL48" i="3"/>
  <c r="P38" i="3"/>
  <c r="K27" i="3"/>
  <c r="K22" i="3"/>
  <c r="K25" i="3"/>
  <c r="AK24" i="3"/>
  <c r="AQ23" i="3"/>
  <c r="G21" i="3"/>
  <c r="AO22" i="3"/>
  <c r="I20" i="3"/>
  <c r="AB48" i="3"/>
  <c r="AF38" i="3"/>
  <c r="J18" i="3"/>
  <c r="AC24" i="3"/>
  <c r="U21" i="3"/>
  <c r="U26" i="3"/>
  <c r="R21" i="3"/>
  <c r="R22" i="3"/>
  <c r="O38" i="3"/>
  <c r="U38" i="3"/>
  <c r="H48" i="3"/>
  <c r="AM18" i="3"/>
  <c r="AN25" i="3"/>
  <c r="AH21" i="3"/>
  <c r="AH19" i="3"/>
  <c r="AI23" i="3"/>
  <c r="Q26" i="3"/>
  <c r="X23" i="3"/>
  <c r="F25" i="3"/>
  <c r="AR20" i="3"/>
  <c r="O27" i="3"/>
  <c r="AD24" i="3"/>
  <c r="Z48" i="3"/>
  <c r="N25" i="3"/>
  <c r="AB23" i="3"/>
  <c r="AP48" i="3"/>
  <c r="AJ26" i="3"/>
  <c r="W38" i="3"/>
  <c r="F19" i="3"/>
  <c r="O25" i="3"/>
  <c r="N24" i="3"/>
  <c r="AN23" i="3"/>
  <c r="AH25" i="3"/>
  <c r="AR23" i="3"/>
  <c r="AG21" i="3"/>
  <c r="V18" i="3"/>
  <c r="G48" i="3"/>
  <c r="R38" i="3"/>
  <c r="AA48" i="3"/>
  <c r="AR18" i="3"/>
  <c r="AB26" i="3"/>
  <c r="K23" i="3"/>
  <c r="AS24" i="3"/>
  <c r="AN26" i="3"/>
  <c r="AE48" i="3"/>
  <c r="AN48" i="3"/>
  <c r="AH18" i="3"/>
  <c r="T25" i="3"/>
  <c r="AQ27" i="3"/>
  <c r="I27" i="3"/>
  <c r="I25" i="3"/>
  <c r="R25" i="3"/>
  <c r="T19" i="3"/>
  <c r="S38" i="3"/>
  <c r="AS48" i="3"/>
  <c r="G23" i="3"/>
  <c r="AN24" i="3"/>
  <c r="H25" i="3"/>
  <c r="AJ23" i="3"/>
  <c r="AA23" i="3"/>
  <c r="S22" i="3"/>
  <c r="R19" i="3"/>
  <c r="I38" i="3"/>
  <c r="AP25" i="3"/>
  <c r="AK19" i="3"/>
  <c r="AJ22" i="3"/>
  <c r="AE19" i="3"/>
  <c r="O18" i="3"/>
  <c r="L48" i="3"/>
  <c r="U18" i="3"/>
  <c r="AH26" i="3"/>
  <c r="Z21" i="3"/>
  <c r="AA26" i="3"/>
  <c r="AG19" i="3"/>
  <c r="X26" i="3"/>
  <c r="V23" i="3"/>
  <c r="M25" i="3"/>
  <c r="AF24" i="3"/>
  <c r="F27" i="3"/>
  <c r="I19" i="3"/>
  <c r="AK23" i="3"/>
  <c r="AC25" i="3"/>
  <c r="Q24" i="3"/>
  <c r="AS23" i="3"/>
  <c r="T38" i="3"/>
  <c r="F38" i="3"/>
  <c r="W18" i="3"/>
  <c r="X24" i="3"/>
  <c r="X21" i="3"/>
  <c r="F23" i="3"/>
  <c r="AN20" i="3"/>
  <c r="AN27" i="3"/>
  <c r="L25" i="3"/>
  <c r="P19" i="3"/>
  <c r="R18" i="3"/>
  <c r="AK27" i="3"/>
  <c r="AB22" i="3"/>
  <c r="AF27" i="3"/>
  <c r="AB24" i="3"/>
  <c r="V27" i="3"/>
  <c r="W26" i="3"/>
  <c r="Q23" i="3"/>
  <c r="AM26" i="3"/>
  <c r="AG25" i="3"/>
  <c r="AK25" i="3"/>
  <c r="AL38" i="3"/>
  <c r="AK22" i="3"/>
  <c r="Z26" i="3"/>
  <c r="AC27" i="3"/>
  <c r="AI20" i="3"/>
  <c r="R26" i="3"/>
  <c r="G24" i="3"/>
  <c r="L24" i="3"/>
  <c r="R27" i="3"/>
  <c r="AB38" i="3"/>
  <c r="AO48" i="3"/>
  <c r="F26" i="3"/>
  <c r="Q48" i="3"/>
  <c r="S18" i="3"/>
  <c r="H19" i="3"/>
  <c r="AN22" i="3"/>
  <c r="V26" i="3"/>
  <c r="S20" i="3"/>
  <c r="I18" i="3"/>
  <c r="W24" i="3"/>
  <c r="AP24" i="3"/>
  <c r="H18" i="3"/>
  <c r="AI19" i="3"/>
  <c r="AL20" i="3"/>
  <c r="I22" i="3"/>
  <c r="AE27" i="3"/>
  <c r="J24" i="3"/>
  <c r="AA22" i="3"/>
  <c r="AG26" i="3"/>
  <c r="AA20" i="3"/>
  <c r="J21" i="3"/>
  <c r="AD21" i="3"/>
  <c r="Q21" i="3"/>
  <c r="Z38" i="3"/>
  <c r="N20" i="3"/>
  <c r="AE26" i="3"/>
  <c r="W20" i="3"/>
  <c r="T24" i="3"/>
  <c r="W23" i="3"/>
  <c r="H21" i="3"/>
  <c r="AP38" i="3"/>
  <c r="V24" i="3"/>
  <c r="AE21" i="3"/>
  <c r="T18" i="3"/>
  <c r="F18" i="3"/>
  <c r="AA25" i="3"/>
  <c r="AG27" i="3"/>
  <c r="AE23" i="3"/>
  <c r="AH20" i="3"/>
  <c r="AE20" i="3"/>
  <c r="AH24" i="3"/>
  <c r="P23" i="3"/>
  <c r="L21" i="3"/>
  <c r="G38" i="3"/>
  <c r="AA38" i="3"/>
  <c r="X25" i="3"/>
  <c r="T27" i="3"/>
  <c r="AK26" i="3"/>
  <c r="AK20" i="3"/>
  <c r="Z19" i="3"/>
  <c r="AQ22" i="3"/>
  <c r="Q27" i="3"/>
  <c r="Q25" i="3"/>
  <c r="AD19" i="3"/>
  <c r="AE38" i="3"/>
  <c r="S24" i="3"/>
  <c r="AN38" i="3"/>
  <c r="AC48" i="3"/>
  <c r="AL18" i="3"/>
  <c r="AL27" i="3"/>
  <c r="AR21" i="3"/>
  <c r="L20" i="3"/>
  <c r="AB18" i="3"/>
  <c r="AO26" i="3"/>
  <c r="I21" i="3"/>
  <c r="W21" i="3"/>
  <c r="AS38" i="3"/>
  <c r="H27" i="3"/>
  <c r="AQ25" i="3"/>
  <c r="AH27" i="3"/>
  <c r="AQ21" i="3"/>
  <c r="K20" i="3"/>
  <c r="O20" i="3"/>
  <c r="S19" i="3"/>
  <c r="M21" i="3"/>
  <c r="AS27" i="3"/>
  <c r="M22" i="3"/>
  <c r="AB21" i="3"/>
  <c r="M48" i="3"/>
  <c r="V20" i="3"/>
  <c r="L38" i="3"/>
  <c r="AD48" i="3"/>
  <c r="H38" i="3"/>
  <c r="AR24" i="3"/>
  <c r="AR25" i="3"/>
  <c r="N48" i="3"/>
  <c r="AM22" i="3"/>
  <c r="AG24" i="3"/>
  <c r="AK48" i="3"/>
  <c r="Z18" i="3"/>
  <c r="AF23" i="3"/>
  <c r="AC20" i="3"/>
  <c r="U27" i="3"/>
  <c r="AQ26" i="3"/>
  <c r="AO25" i="3"/>
  <c r="AF21" i="3"/>
  <c r="AQ38" i="3"/>
  <c r="AP18" i="3"/>
  <c r="J23" i="3"/>
  <c r="AG20" i="3"/>
  <c r="AA19" i="3"/>
  <c r="AQ20" i="3"/>
  <c r="K48" i="3"/>
  <c r="AO24" i="3"/>
  <c r="J20" i="3"/>
  <c r="AJ24" i="3"/>
  <c r="G18" i="3"/>
  <c r="AI38" i="3"/>
  <c r="AA18" i="3"/>
  <c r="F21" i="3"/>
  <c r="X27" i="3"/>
  <c r="F22" i="3"/>
  <c r="G19" i="3"/>
  <c r="AO20" i="3"/>
  <c r="P22" i="3"/>
  <c r="AE18" i="3"/>
  <c r="O23" i="3"/>
  <c r="AN18" i="3"/>
  <c r="P25" i="3"/>
  <c r="AC19" i="3"/>
  <c r="O24" i="3"/>
  <c r="AM24" i="3"/>
  <c r="AC26" i="3"/>
  <c r="AM21" i="3"/>
  <c r="AJ21" i="3"/>
  <c r="S23" i="3"/>
  <c r="AJ19" i="3"/>
  <c r="AO38" i="3"/>
  <c r="Q38" i="3"/>
  <c r="AJ48" i="3"/>
  <c r="AS18" i="3"/>
  <c r="AQ24" i="3"/>
  <c r="AQ19" i="3"/>
  <c r="O21" i="3"/>
  <c r="M19" i="3"/>
  <c r="W22" i="3"/>
  <c r="AH22" i="3"/>
  <c r="AC21" i="3"/>
  <c r="Y48" i="3"/>
  <c r="L18" i="3"/>
  <c r="AL19" i="3"/>
  <c r="AR26" i="3"/>
  <c r="AD27" i="3"/>
  <c r="U24" i="3"/>
  <c r="AA27" i="3"/>
  <c r="AS21" i="3"/>
  <c r="M26" i="3"/>
  <c r="AP26" i="3"/>
  <c r="AM23" i="3"/>
  <c r="AA21" i="3"/>
  <c r="J27" i="3"/>
  <c r="S21" i="3"/>
  <c r="R24" i="3"/>
  <c r="P26" i="3"/>
  <c r="AM19" i="3"/>
  <c r="AL25" i="3"/>
  <c r="H24" i="3"/>
  <c r="AQ18" i="3"/>
  <c r="X48" i="3"/>
  <c r="F48" i="3"/>
  <c r="AG48" i="3"/>
  <c r="S25" i="3"/>
  <c r="J19" i="3"/>
  <c r="AP20" i="3"/>
  <c r="J25" i="3"/>
  <c r="H26" i="3"/>
  <c r="Z22" i="3"/>
  <c r="AH23" i="3"/>
  <c r="AI25" i="3"/>
  <c r="P27" i="3"/>
  <c r="AI18" i="3"/>
  <c r="AE24" i="3"/>
  <c r="AL24" i="3"/>
  <c r="AR27" i="3"/>
  <c r="AI26" i="3"/>
  <c r="AR19" i="3"/>
  <c r="L26" i="3"/>
  <c r="AC38" i="3"/>
  <c r="P48" i="3"/>
  <c r="AD26" i="3"/>
  <c r="V19" i="3"/>
  <c r="S27" i="3"/>
  <c r="AF48" i="3"/>
  <c r="AO18" i="3"/>
  <c r="R20" i="3"/>
  <c r="T26" i="3"/>
  <c r="J48" i="3"/>
  <c r="Q18" i="3"/>
  <c r="K19" i="3"/>
  <c r="Z25" i="3"/>
  <c r="AI27" i="3"/>
  <c r="Z24" i="3"/>
  <c r="T23" i="3"/>
  <c r="Q19" i="3"/>
  <c r="AF26" i="3"/>
  <c r="N19" i="3"/>
  <c r="N22" i="3"/>
  <c r="AF20" i="3"/>
  <c r="F24" i="3"/>
  <c r="M38" i="3"/>
  <c r="P21" i="3"/>
  <c r="AD38" i="3"/>
  <c r="AM48" i="3"/>
  <c r="U20" i="3"/>
  <c r="AS19" i="3"/>
  <c r="N38" i="3"/>
  <c r="AK38" i="3"/>
  <c r="I24" i="3"/>
  <c r="R23" i="3"/>
  <c r="Z20" i="3"/>
  <c r="L27" i="3"/>
  <c r="F20" i="3"/>
  <c r="AO23" i="3"/>
  <c r="AS20" i="3"/>
  <c r="AB27" i="3"/>
  <c r="J22" i="3"/>
  <c r="AI24" i="3"/>
  <c r="K38" i="3"/>
  <c r="L22" i="3"/>
  <c r="V48" i="3"/>
  <c r="AR48" i="3"/>
  <c r="AP27" i="3"/>
  <c r="AG22" i="3"/>
  <c r="P20" i="3"/>
  <c r="G20" i="3"/>
  <c r="AG23" i="3"/>
  <c r="AO27" i="3"/>
  <c r="AR22" i="3"/>
  <c r="N26" i="3"/>
  <c r="AB19" i="3"/>
  <c r="AO21" i="3"/>
  <c r="AH48" i="3"/>
  <c r="AC18" i="3"/>
  <c r="AP22" i="3"/>
  <c r="H23" i="3"/>
  <c r="Y21" i="3"/>
  <c r="H22" i="3"/>
  <c r="Y22" i="3"/>
  <c r="G26" i="3"/>
  <c r="L19" i="3"/>
  <c r="M24" i="3"/>
  <c r="AJ38" i="3"/>
  <c r="T22" i="3"/>
  <c r="AC22" i="3"/>
  <c r="AO19" i="3"/>
  <c r="AF22" i="3"/>
  <c r="Q20" i="3"/>
  <c r="X22" i="3"/>
  <c r="M18" i="3"/>
  <c r="O48" i="3"/>
  <c r="Y38" i="3"/>
  <c r="U48" i="3"/>
  <c r="AD18" i="3"/>
  <c r="O22" i="3"/>
  <c r="U23" i="3"/>
  <c r="W27" i="3"/>
  <c r="O19" i="3"/>
  <c r="G27" i="3"/>
  <c r="AN19" i="3"/>
  <c r="S26" i="3"/>
  <c r="N21" i="3"/>
  <c r="AF19" i="3"/>
  <c r="G25" i="3"/>
  <c r="G13" i="3"/>
  <c r="AN7" i="3"/>
  <c r="U11" i="3"/>
  <c r="AO7" i="3"/>
  <c r="M12" i="3"/>
  <c r="H10" i="3"/>
  <c r="AR10" i="3"/>
  <c r="P8" i="3"/>
  <c r="L10" i="3"/>
  <c r="AB15" i="3"/>
  <c r="L15" i="3"/>
  <c r="AK28" i="3"/>
  <c r="AR7" i="3"/>
  <c r="AE12" i="3"/>
  <c r="AA7" i="3"/>
  <c r="H28" i="3"/>
  <c r="AB9" i="3"/>
  <c r="S7" i="3"/>
  <c r="AH15" i="3"/>
  <c r="W9" i="3"/>
  <c r="AP12" i="3"/>
  <c r="G12" i="3"/>
  <c r="Z14" i="3"/>
  <c r="AG13" i="3"/>
  <c r="V15" i="3"/>
  <c r="AK15" i="3"/>
  <c r="Q12" i="3"/>
  <c r="F15" i="3"/>
  <c r="X14" i="3"/>
  <c r="AH14" i="3"/>
  <c r="T7" i="3"/>
  <c r="AQ15" i="3"/>
  <c r="AB11" i="3"/>
  <c r="AH28" i="3"/>
  <c r="AM13" i="3"/>
  <c r="AB8" i="3"/>
  <c r="AM15" i="3"/>
  <c r="U10" i="3"/>
  <c r="AE13" i="3"/>
  <c r="AK9" i="3"/>
  <c r="AC11" i="3"/>
  <c r="M8" i="3"/>
  <c r="X8" i="3"/>
  <c r="I11" i="3"/>
  <c r="AD11" i="3"/>
  <c r="P12" i="3"/>
  <c r="G10" i="3"/>
  <c r="Y11" i="3"/>
  <c r="AJ8" i="3"/>
  <c r="U13" i="3"/>
  <c r="AD28" i="3"/>
  <c r="AF8" i="3"/>
  <c r="Q7" i="3"/>
  <c r="Z13" i="3"/>
  <c r="R8" i="3"/>
  <c r="AD14" i="3"/>
  <c r="Z10" i="3"/>
  <c r="J7" i="3"/>
  <c r="H12" i="3"/>
  <c r="R12" i="3"/>
  <c r="AM11" i="3"/>
  <c r="AA15" i="3"/>
  <c r="AL7" i="3"/>
  <c r="W10" i="3"/>
  <c r="AQ12" i="3"/>
  <c r="AJ7" i="3"/>
  <c r="AC14" i="3"/>
  <c r="P13" i="3"/>
  <c r="AO8" i="3"/>
  <c r="F9" i="3"/>
  <c r="J8" i="3"/>
  <c r="AF9" i="3"/>
  <c r="AC8" i="3"/>
  <c r="AM10" i="3"/>
  <c r="AR9" i="3"/>
  <c r="S12" i="3"/>
  <c r="Q15" i="3"/>
  <c r="AK14" i="3"/>
  <c r="G28" i="3"/>
  <c r="AE8" i="3"/>
  <c r="AA13" i="3"/>
  <c r="AP28" i="3"/>
  <c r="W8" i="3"/>
  <c r="Q9" i="3"/>
  <c r="AG14" i="3"/>
  <c r="I10" i="3"/>
  <c r="AN10" i="3"/>
  <c r="AN8" i="3"/>
  <c r="AK7" i="3"/>
  <c r="S10" i="3"/>
  <c r="AN12" i="3"/>
  <c r="AS12" i="3"/>
  <c r="R28" i="3"/>
  <c r="AH13" i="3"/>
  <c r="F7" i="3"/>
  <c r="AR8" i="3"/>
  <c r="AI11" i="3"/>
  <c r="R9" i="3"/>
  <c r="G9" i="3"/>
  <c r="K10" i="3"/>
  <c r="I14" i="3"/>
  <c r="N15" i="3"/>
  <c r="Y12" i="3"/>
  <c r="AS14" i="3"/>
  <c r="AG28" i="3"/>
  <c r="AF7" i="3"/>
  <c r="G15" i="3"/>
  <c r="O10" i="3"/>
  <c r="X10" i="3"/>
  <c r="AC10" i="3"/>
  <c r="L7" i="3"/>
  <c r="Y9" i="3"/>
  <c r="AO9" i="3"/>
  <c r="AO15" i="3"/>
  <c r="AG10" i="3"/>
  <c r="K28" i="3"/>
  <c r="AS8" i="3"/>
  <c r="Z8" i="3"/>
  <c r="N28" i="3"/>
  <c r="AI14" i="3"/>
  <c r="AG8" i="3"/>
  <c r="M10" i="3"/>
  <c r="O8" i="3"/>
  <c r="AQ13" i="3"/>
  <c r="I9" i="3"/>
  <c r="W12" i="3"/>
  <c r="AB28" i="3"/>
  <c r="R14" i="3"/>
  <c r="AK10" i="3"/>
  <c r="AM14" i="3"/>
  <c r="AB12" i="3"/>
  <c r="F28" i="3"/>
  <c r="AC13" i="3"/>
  <c r="AF12" i="3"/>
  <c r="AG7" i="3"/>
  <c r="R13" i="3"/>
  <c r="T13" i="3"/>
  <c r="N13" i="3"/>
  <c r="AF28" i="3"/>
  <c r="M15" i="3"/>
  <c r="AD10" i="3"/>
  <c r="Y14" i="3"/>
  <c r="V28" i="3"/>
  <c r="Z15" i="3"/>
  <c r="N11" i="3"/>
  <c r="AP9" i="3"/>
  <c r="Z11" i="3"/>
  <c r="AF13" i="3"/>
  <c r="AN9" i="3"/>
  <c r="L11" i="3"/>
  <c r="J28" i="3"/>
  <c r="AD8" i="3"/>
  <c r="V9" i="3"/>
  <c r="P9" i="3"/>
  <c r="N10" i="3"/>
  <c r="T11" i="3"/>
  <c r="K7" i="3"/>
  <c r="P15" i="3"/>
  <c r="H14" i="3"/>
  <c r="S13" i="3"/>
  <c r="AL13" i="3"/>
  <c r="S9" i="3"/>
  <c r="AP14" i="3"/>
  <c r="U12" i="3"/>
  <c r="M7" i="3"/>
  <c r="S11" i="3"/>
  <c r="AM12" i="3"/>
  <c r="G7" i="3"/>
  <c r="AO12" i="3"/>
  <c r="AO13" i="3"/>
  <c r="AF11" i="3"/>
  <c r="L28" i="3"/>
  <c r="AL15" i="3"/>
  <c r="AE28" i="3"/>
  <c r="AQ10" i="3"/>
  <c r="T15" i="3"/>
  <c r="L9" i="3"/>
  <c r="AH8" i="3"/>
  <c r="H9" i="3"/>
  <c r="AE14" i="3"/>
  <c r="AD9" i="3"/>
  <c r="AA10" i="3"/>
  <c r="AL8" i="3"/>
  <c r="H7" i="3"/>
  <c r="P7" i="3"/>
  <c r="F11" i="3"/>
  <c r="AP13" i="3"/>
  <c r="AA11" i="3"/>
  <c r="G11" i="3"/>
  <c r="K11" i="3"/>
  <c r="AN11" i="3"/>
  <c r="W28" i="3"/>
  <c r="F13" i="3"/>
  <c r="AH7" i="3"/>
  <c r="U28" i="3"/>
  <c r="U14" i="3"/>
  <c r="AQ11" i="3"/>
  <c r="K15" i="3"/>
  <c r="AP7" i="3"/>
  <c r="V10" i="3"/>
  <c r="N9" i="3"/>
  <c r="O7" i="3"/>
  <c r="Q8" i="3"/>
  <c r="T10" i="3"/>
  <c r="G14" i="3"/>
  <c r="H11" i="3"/>
  <c r="AB7" i="3"/>
  <c r="AG11" i="3"/>
  <c r="AP15" i="3"/>
  <c r="AI12" i="3"/>
  <c r="AO11" i="3"/>
  <c r="R11" i="3"/>
  <c r="AS7" i="3"/>
  <c r="AC28" i="3"/>
  <c r="AR15" i="3"/>
  <c r="O11" i="3"/>
  <c r="AI28" i="3"/>
  <c r="J11" i="3"/>
  <c r="AR13" i="3"/>
  <c r="AS15" i="3"/>
  <c r="K8" i="3"/>
  <c r="H15" i="3"/>
  <c r="AO14" i="3"/>
  <c r="R15" i="3"/>
  <c r="AI8" i="3"/>
  <c r="AL28" i="3"/>
  <c r="Q11" i="3"/>
  <c r="AF15" i="3"/>
  <c r="T28" i="3"/>
  <c r="AK11" i="3"/>
  <c r="M13" i="3"/>
  <c r="AA14" i="3"/>
  <c r="I13" i="3"/>
  <c r="X7" i="3"/>
  <c r="AM8" i="3"/>
  <c r="AS10" i="3"/>
  <c r="AD13" i="3"/>
  <c r="T8" i="3"/>
  <c r="AJ13" i="3"/>
  <c r="H8" i="3"/>
  <c r="M11" i="3"/>
  <c r="AM28" i="3"/>
  <c r="AL14" i="3"/>
  <c r="K14" i="3"/>
  <c r="Y13" i="3"/>
  <c r="U7" i="3"/>
  <c r="K9" i="3"/>
  <c r="AA12" i="3"/>
  <c r="AI10" i="3"/>
  <c r="M28" i="3"/>
  <c r="N7" i="3"/>
  <c r="Z12" i="3"/>
  <c r="S15" i="3"/>
  <c r="AI13" i="3"/>
  <c r="J13" i="3"/>
  <c r="AM7" i="3"/>
  <c r="J15" i="3"/>
  <c r="M14" i="3"/>
  <c r="AD15" i="3"/>
  <c r="AC9" i="3"/>
  <c r="O9" i="3"/>
  <c r="Q28" i="3"/>
  <c r="AJ9" i="3"/>
  <c r="O12" i="3"/>
  <c r="F10" i="3"/>
  <c r="AQ14" i="3"/>
  <c r="V8" i="3"/>
  <c r="AD7" i="3"/>
  <c r="Z7" i="3"/>
  <c r="X13" i="3"/>
  <c r="P11" i="3"/>
  <c r="AE11" i="3"/>
  <c r="AE9" i="3"/>
  <c r="W11" i="3"/>
  <c r="N8" i="3"/>
  <c r="J9" i="3"/>
  <c r="J12" i="3"/>
  <c r="AI7" i="3"/>
  <c r="S8" i="3"/>
  <c r="L13" i="3"/>
  <c r="X9" i="3"/>
  <c r="AE7" i="3"/>
  <c r="I28" i="3"/>
  <c r="AJ11" i="3"/>
  <c r="AB14" i="3"/>
  <c r="AG9" i="3"/>
  <c r="N12" i="3"/>
  <c r="AJ14" i="3"/>
  <c r="AD12" i="3"/>
  <c r="X11" i="3"/>
  <c r="AH9" i="3"/>
  <c r="O28" i="3"/>
  <c r="U9" i="3"/>
  <c r="I8" i="3"/>
  <c r="AK12" i="3"/>
  <c r="P28" i="3"/>
  <c r="X28" i="3"/>
  <c r="Q10" i="3"/>
  <c r="AL11" i="3"/>
  <c r="S14" i="3"/>
  <c r="W15" i="3"/>
  <c r="Y28" i="3"/>
  <c r="AF10" i="3"/>
  <c r="AJ28" i="3"/>
  <c r="Y10" i="3"/>
  <c r="AP10" i="3"/>
  <c r="N14" i="3"/>
  <c r="G8" i="3"/>
  <c r="J10" i="3"/>
  <c r="F8" i="3"/>
  <c r="I12" i="3"/>
  <c r="U8" i="3"/>
  <c r="L14" i="3"/>
  <c r="AL12" i="3"/>
  <c r="AQ8" i="3"/>
  <c r="AR12" i="3"/>
  <c r="M9" i="3"/>
  <c r="AQ9" i="3"/>
  <c r="AS28" i="3"/>
  <c r="L12" i="3"/>
  <c r="AC15" i="3"/>
  <c r="AK13" i="3"/>
  <c r="W14" i="3"/>
  <c r="AB10" i="3"/>
  <c r="AS11" i="3"/>
  <c r="I7" i="3"/>
  <c r="V11" i="3"/>
  <c r="Z9" i="3"/>
  <c r="S28" i="3"/>
  <c r="I15" i="3"/>
  <c r="AJ15" i="3"/>
  <c r="Y15" i="3"/>
  <c r="AR28" i="3"/>
  <c r="AL9" i="3"/>
  <c r="W13" i="3"/>
  <c r="V13" i="3"/>
  <c r="K12" i="3"/>
  <c r="J14" i="3"/>
  <c r="O14" i="3"/>
  <c r="AL10" i="3"/>
  <c r="W7" i="3"/>
  <c r="AE10" i="3"/>
  <c r="AP11" i="3"/>
  <c r="T9" i="3"/>
  <c r="F12" i="3"/>
  <c r="AF14" i="3"/>
  <c r="AI15" i="3"/>
  <c r="T14" i="3"/>
  <c r="V7" i="3"/>
  <c r="AH11" i="3"/>
  <c r="AP8" i="3"/>
  <c r="P14" i="3"/>
  <c r="AA9" i="3"/>
  <c r="AS9" i="3"/>
  <c r="AR14" i="3"/>
  <c r="AH10" i="3"/>
  <c r="AQ7" i="3"/>
  <c r="AO28" i="3"/>
  <c r="AM9" i="3"/>
  <c r="AC7" i="3"/>
  <c r="P10" i="3"/>
  <c r="X15" i="3"/>
  <c r="AJ12" i="3"/>
  <c r="AQ28" i="3"/>
  <c r="U15" i="3"/>
  <c r="AG12" i="3"/>
  <c r="L8" i="3"/>
  <c r="AN28" i="3"/>
  <c r="Q13" i="3"/>
  <c r="AK8" i="3"/>
  <c r="AA28" i="3"/>
  <c r="AH12" i="3"/>
  <c r="AG15" i="3"/>
  <c r="V12" i="3"/>
  <c r="T12" i="3"/>
  <c r="Z28" i="3"/>
  <c r="AA8" i="3"/>
  <c r="AE15" i="3"/>
  <c r="V14" i="3"/>
  <c r="F14" i="3"/>
  <c r="AN15" i="3"/>
  <c r="X12" i="3"/>
  <c r="AJ10" i="3"/>
  <c r="R7" i="3"/>
  <c r="H13" i="3"/>
  <c r="AN14" i="3"/>
  <c r="AR11" i="3"/>
  <c r="O13" i="3"/>
  <c r="O15" i="3"/>
  <c r="Q14" i="3"/>
  <c r="AN13" i="3"/>
  <c r="R10" i="3"/>
  <c r="AC12" i="3"/>
  <c r="AO10" i="3"/>
  <c r="K13" i="3"/>
  <c r="AB13" i="3"/>
  <c r="Y7" i="3"/>
  <c r="AS13" i="3"/>
  <c r="Y8" i="3"/>
  <c r="AI9" i="3"/>
  <c r="AA16" i="3"/>
  <c r="X16" i="3"/>
  <c r="AB16" i="3"/>
  <c r="AQ16" i="3"/>
  <c r="AO16" i="3"/>
  <c r="I16" i="3"/>
  <c r="AI16" i="3"/>
  <c r="AF16" i="3"/>
  <c r="N16" i="3"/>
  <c r="R16" i="3"/>
  <c r="AK16" i="3"/>
  <c r="Z16" i="3"/>
  <c r="Y16" i="3"/>
  <c r="P16" i="3"/>
  <c r="M16" i="3"/>
  <c r="W16" i="3"/>
  <c r="L16" i="3"/>
  <c r="F16" i="3"/>
  <c r="G16" i="3"/>
  <c r="H16" i="3"/>
  <c r="S16" i="3"/>
  <c r="Q16" i="3"/>
  <c r="T16" i="3"/>
  <c r="J16" i="3"/>
  <c r="AG16" i="3"/>
  <c r="AD16" i="3"/>
  <c r="AN16" i="3"/>
  <c r="AM16" i="3"/>
  <c r="V16" i="3"/>
  <c r="AC16" i="3"/>
  <c r="U16" i="3"/>
  <c r="K16" i="3"/>
  <c r="AH16" i="3"/>
  <c r="AR16" i="3"/>
  <c r="AP16" i="3"/>
  <c r="AS16" i="3"/>
  <c r="AJ16" i="3"/>
  <c r="O16" i="3"/>
  <c r="AL16" i="3"/>
  <c r="AE16" i="3"/>
  <c r="AE6" i="3"/>
  <c r="AL6" i="3"/>
  <c r="O6" i="3"/>
  <c r="AJ6" i="3"/>
  <c r="AS6" i="3"/>
  <c r="AP6" i="3"/>
  <c r="AR6" i="3"/>
  <c r="AH6" i="3"/>
  <c r="K6" i="3"/>
  <c r="U6" i="3"/>
  <c r="AC6" i="3"/>
  <c r="V6" i="3"/>
  <c r="AM6" i="3"/>
  <c r="AN6" i="3"/>
  <c r="AD6" i="3"/>
  <c r="AG6" i="3"/>
  <c r="J6" i="3"/>
  <c r="T6" i="3"/>
  <c r="Q6" i="3"/>
  <c r="S6" i="3"/>
  <c r="H6" i="3"/>
  <c r="G6" i="3"/>
  <c r="F6" i="3"/>
  <c r="L6" i="3"/>
  <c r="W6" i="3"/>
  <c r="M6" i="3"/>
  <c r="P6" i="3"/>
  <c r="Y6" i="3"/>
  <c r="Z6" i="3"/>
  <c r="AK6" i="3"/>
  <c r="R6" i="3"/>
  <c r="N6" i="3"/>
  <c r="AF6" i="3"/>
  <c r="AI6" i="3"/>
  <c r="I6" i="3"/>
  <c r="AO6" i="3"/>
  <c r="AQ6" i="3"/>
  <c r="AB6" i="3"/>
  <c r="X6" i="3"/>
  <c r="AA6" i="3"/>
</calcChain>
</file>

<file path=xl/sharedStrings.xml><?xml version="1.0" encoding="utf-8"?>
<sst xmlns="http://schemas.openxmlformats.org/spreadsheetml/2006/main" count="968" uniqueCount="131">
  <si>
    <t>**IMPORTANT NOTE**</t>
  </si>
  <si>
    <t>This document, the information contained herein and any derived information created therefrom are for the exclusive use of UWB IT at UNIVERSITY OF WASHIN.</t>
  </si>
  <si>
    <t>~~~~~~~~~~~~~~~~~~~~~~~~~~~~~~~~~~~~~~~~~~~~~~~~~~~~~~~~~~~~~~~~~~~~~~~~~~~~~~~~~~~~~~~~~~~~~~~~~~~~~~~~~~~~~~~~~~~~~~~~~~~~~~~~~~~~~~~~~~~~~~~~~~~~~~~~~~~~~~~~</t>
  </si>
  <si>
    <t>**REFERENCE**</t>
  </si>
  <si>
    <t xml:space="preserve">     Spreadsheets generated from the BI Excel export can be used as reference tables to fuel various models and other sheets on your desktop.</t>
  </si>
  <si>
    <t xml:space="preserve">     Automated model building or 'drag and drop' from the BI export sheet are not supported at this time, but using the BI export</t>
  </si>
  <si>
    <t xml:space="preserve">     as a reference table for use in other spreadsheets is a powerful and convenient tool to help achieve your goals.</t>
  </si>
  <si>
    <t xml:space="preserve">   --The BI Excel export sheet typically contains two data tabs (certain BI modules like those in the 'Monitor' section on BI will only result in a single 'Sheet 1' data tab):</t>
  </si>
  <si>
    <t xml:space="preserve">     1) 'BIData':  This is the fully curated grid that is meant to be a clean, simple, synchronized match to what is seen on the BI dashboard. </t>
  </si>
  <si>
    <t xml:space="preserve">          The grid on the 'BIData' tab can be used as a reference table for use in your models and other downstream spreadsheets.</t>
  </si>
  <si>
    <t xml:space="preserve">     2) 'ReferenceData':  This is the tab where all the raw data is housed and data preparation is done.  There are typically 2 separate grids here:</t>
  </si>
  <si>
    <t xml:space="preserve">          a top curated grid that includes error handling, expressions, etc., and a bottom raw grid that includes any/all live API information for this export. </t>
  </si>
  <si>
    <t xml:space="preserve">          The bottom grid on the ReferenceData tab is where actual API (BDP/BDH) expressions are constructed, so refer to this section if you</t>
  </si>
  <si>
    <t xml:space="preserve">          are interested in seeing/using the underlying API details.</t>
  </si>
  <si>
    <t xml:space="preserve">          Note: In some cases the bottom grid will not exist (in the event that none of the data selected is coming from live API links).</t>
  </si>
  <si>
    <t xml:space="preserve">   --In any grid on either tab, there are common columns:</t>
  </si>
  <si>
    <t xml:space="preserve">     1) Description:  The row label that matches the row label you'd find on BI</t>
  </si>
  <si>
    <t xml:space="preserve">     2) Ticker:  The company/index ticker corresponding to that row (this is the ticker used in the </t>
  </si>
  <si>
    <t xml:space="preserve">          BDP/BDH formula for that row, if applicable)</t>
  </si>
  <si>
    <t xml:space="preserve">     3) Field ID:  The calcrout ID used to structure the BDP/BDH formula for that row (where applicable).</t>
  </si>
  <si>
    <t xml:space="preserve">     4) Field Mnemonic:  The calcrout mnemonic corresponding to the field ID used to structure the BDP/BDH formula for that row (where applicable).</t>
  </si>
  <si>
    <t xml:space="preserve">     5) Data State:  The state of the data within that particular row, including 'Dynamic', 'Static', 'Sum', 'Average', 'Median' or 'Heading'.  If 'Dynamic'</t>
  </si>
  <si>
    <t xml:space="preserve">          then new data will be expected to come to the sheet when it becomes available in the database with no need for another export.</t>
  </si>
  <si>
    <t xml:space="preserve">          If 'Static' then there are no live links in this row and new data will only be procured by running and exporting from BI again.</t>
  </si>
  <si>
    <t xml:space="preserve">          If it's 'Sum', 'Average', 'Median' or 'Expression', then new data may come to the sheet for some expression components, but</t>
  </si>
  <si>
    <t xml:space="preserve">          to ensure the latest data is present in the sheet, BI should be run and exported again.</t>
  </si>
  <si>
    <t>**HELP**</t>
  </si>
  <si>
    <t xml:space="preserve">     If you experience any issues with the BI Excel export process or results, run the BI&lt;GO&gt; function on your Bloomberg terminal, and then hit the &lt;HELP&gt; key twice.</t>
  </si>
  <si>
    <t>#N/A N/A</t>
  </si>
  <si>
    <t>10/2017</t>
  </si>
  <si>
    <t>9/2017</t>
  </si>
  <si>
    <t>8/2017</t>
  </si>
  <si>
    <t>7/2017</t>
  </si>
  <si>
    <t>6/2017</t>
  </si>
  <si>
    <t>5/2017</t>
  </si>
  <si>
    <t>4/2017</t>
  </si>
  <si>
    <t>3/2017</t>
  </si>
  <si>
    <t>2/2017</t>
  </si>
  <si>
    <t>1/2017</t>
  </si>
  <si>
    <t>12/2016</t>
  </si>
  <si>
    <t>11/2016</t>
  </si>
  <si>
    <t>10/2016</t>
  </si>
  <si>
    <t>9/2016</t>
  </si>
  <si>
    <t>8/2016</t>
  </si>
  <si>
    <t>7/2016</t>
  </si>
  <si>
    <t>6/2016</t>
  </si>
  <si>
    <t>5/2016</t>
  </si>
  <si>
    <t>4/2016</t>
  </si>
  <si>
    <t>3/2016</t>
  </si>
  <si>
    <t>2/2016</t>
  </si>
  <si>
    <t>1/2016</t>
  </si>
  <si>
    <t>12/2015</t>
  </si>
  <si>
    <t>11/2015</t>
  </si>
  <si>
    <t>10/2015</t>
  </si>
  <si>
    <t>9/2015</t>
  </si>
  <si>
    <t>8/2015</t>
  </si>
  <si>
    <t>7/2015</t>
  </si>
  <si>
    <t>6/2015</t>
  </si>
  <si>
    <t>5/2015</t>
  </si>
  <si>
    <t>4/2015</t>
  </si>
  <si>
    <t>3/2015</t>
  </si>
  <si>
    <t>2/2015</t>
  </si>
  <si>
    <t>1/2015</t>
  </si>
  <si>
    <t>12/2014</t>
  </si>
  <si>
    <t>11/2014</t>
  </si>
  <si>
    <t>10/2014</t>
  </si>
  <si>
    <t>9/2014</t>
  </si>
  <si>
    <t>8/2014</t>
  </si>
  <si>
    <t>7/2014</t>
  </si>
  <si>
    <t/>
  </si>
  <si>
    <t>Locally Manufactured &amp; Imported</t>
  </si>
  <si>
    <t>Market Share By Brand</t>
  </si>
  <si>
    <t>Total Heavy (GCV &gt;15t)</t>
  </si>
  <si>
    <t xml:space="preserve">    Scania</t>
  </si>
  <si>
    <t xml:space="preserve">    Volvo</t>
  </si>
  <si>
    <t xml:space="preserve">    Mercedes-Benz</t>
  </si>
  <si>
    <t xml:space="preserve">    MAN</t>
  </si>
  <si>
    <t xml:space="preserve">    Ford</t>
  </si>
  <si>
    <t xml:space="preserve">    Iveco</t>
  </si>
  <si>
    <t xml:space="preserve">    International</t>
  </si>
  <si>
    <t xml:space="preserve">    DAF</t>
  </si>
  <si>
    <t xml:space="preserve">    Agrale</t>
  </si>
  <si>
    <t xml:space="preserve">    Other</t>
  </si>
  <si>
    <t>Units By Brand</t>
  </si>
  <si>
    <t>Heavy (GCV &gt;45t)</t>
  </si>
  <si>
    <t>Semi-Heavy (GCV &gt;15t - &lt;45t)</t>
  </si>
  <si>
    <t>Months</t>
  </si>
  <si>
    <t>Total North America (Class 8)</t>
  </si>
  <si>
    <t xml:space="preserve">    Daimler</t>
  </si>
  <si>
    <t xml:space="preserve">        Freightliner</t>
  </si>
  <si>
    <t xml:space="preserve">        Western Star</t>
  </si>
  <si>
    <t xml:space="preserve">        Mercedes-Benz</t>
  </si>
  <si>
    <t xml:space="preserve">    PACCAR</t>
  </si>
  <si>
    <t xml:space="preserve">        Kenworth</t>
  </si>
  <si>
    <t xml:space="preserve">        Peterbilt</t>
  </si>
  <si>
    <t xml:space="preserve">    Navistar</t>
  </si>
  <si>
    <t xml:space="preserve">        International</t>
  </si>
  <si>
    <t xml:space="preserve">        Volvo Truck</t>
  </si>
  <si>
    <t xml:space="preserve">        Mack</t>
  </si>
  <si>
    <t xml:space="preserve">    Dina Camiones</t>
  </si>
  <si>
    <t xml:space="preserve">        MAN</t>
  </si>
  <si>
    <t>United States (Class 8)</t>
  </si>
  <si>
    <t>Canada (Class 8)</t>
  </si>
  <si>
    <t>Mexico (Class 8)</t>
  </si>
  <si>
    <t xml:space="preserve">        Volkswagen Truck &amp; Bus</t>
  </si>
  <si>
    <t xml:space="preserve">    Unspecified/Other</t>
  </si>
  <si>
    <t>Total North America (Class 6-7)</t>
  </si>
  <si>
    <t xml:space="preserve">        Mitsubishi Fuso</t>
  </si>
  <si>
    <t xml:space="preserve">    Hino</t>
  </si>
  <si>
    <t xml:space="preserve">    Isuzu</t>
  </si>
  <si>
    <t>United States (Class 6-7)</t>
  </si>
  <si>
    <t>Canada (Class 6-7)</t>
  </si>
  <si>
    <t>Mexico (Class 6-7)</t>
  </si>
  <si>
    <t xml:space="preserve">    Unspecified</t>
  </si>
  <si>
    <t xml:space="preserve">    Daimler - Freightliner</t>
  </si>
  <si>
    <t xml:space="preserve">    Daimler - Western Star</t>
  </si>
  <si>
    <t xml:space="preserve">    Daimler - Sterling</t>
  </si>
  <si>
    <t xml:space="preserve">    Daimler - Mercedes-Benz</t>
  </si>
  <si>
    <t xml:space="preserve">    PACCAR - Kenworth</t>
  </si>
  <si>
    <t xml:space="preserve">    PACCAR - Peterbilt</t>
  </si>
  <si>
    <t xml:space="preserve">    Navistar - International</t>
  </si>
  <si>
    <t xml:space="preserve">    Volvo - Volvo Truck</t>
  </si>
  <si>
    <t xml:space="preserve">    Volvo - Mack</t>
  </si>
  <si>
    <t xml:space="preserve">    MAN - MAN</t>
  </si>
  <si>
    <t xml:space="preserve">    MAN - Volkswagen Truck &amp; Bus</t>
  </si>
  <si>
    <t xml:space="preserve">    Daimler - Mitsubishi Fuso</t>
  </si>
  <si>
    <t xml:space="preserve">        US</t>
  </si>
  <si>
    <t xml:space="preserve">        Canada</t>
  </si>
  <si>
    <t xml:space="preserve">        Mexico</t>
  </si>
  <si>
    <t xml:space="preserve">    General Motors - Chevrolet</t>
  </si>
  <si>
    <t>Adj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</si>
</sst>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2">
    <xf numFmtId="0" fontId="0" fillId="0" borderId="0" xfId="0"/>
    <xf numFmtId="0" fontId="1" fillId="33" borderId="0" xfId="26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ccyreader">
      <tp t="e">
        <v>#N/A</v>
        <stp/>
        <stp>#track</stp>
        <stp>DBG</stp>
        <stp>BIHITX</stp>
        <stp>1.0</stp>
        <stp>RepeatHit</stp>
        <tr r="A58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G41"/>
  <sheetViews>
    <sheetView tabSelected="1" workbookViewId="0">
      <selection activeCell="H46" sqref="H46"/>
    </sheetView>
  </sheetViews>
  <sheetFormatPr defaultColWidth="8.85546875" defaultRowHeight="15" x14ac:dyDescent="0.25"/>
  <cols>
    <col min="1" max="1" width="9.42578125" customWidth="1"/>
    <col min="2" max="2" width="15.85546875" customWidth="1"/>
    <col min="3" max="43" width="9.140625" bestFit="1" customWidth="1"/>
  </cols>
  <sheetData>
    <row r="1" spans="1:241" x14ac:dyDescent="0.25">
      <c r="A1" t="s">
        <v>86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83</v>
      </c>
      <c r="P1" t="s">
        <v>72</v>
      </c>
      <c r="Q1" t="s">
        <v>73</v>
      </c>
      <c r="R1" t="s">
        <v>74</v>
      </c>
      <c r="S1" t="s">
        <v>75</v>
      </c>
      <c r="T1" t="s">
        <v>76</v>
      </c>
      <c r="U1" t="s">
        <v>77</v>
      </c>
      <c r="V1" t="s">
        <v>78</v>
      </c>
      <c r="W1" t="s">
        <v>79</v>
      </c>
      <c r="X1" t="s">
        <v>80</v>
      </c>
      <c r="Y1" t="s">
        <v>81</v>
      </c>
      <c r="Z1" t="s">
        <v>82</v>
      </c>
      <c r="AA1" t="s">
        <v>84</v>
      </c>
      <c r="AB1" t="s">
        <v>73</v>
      </c>
      <c r="AC1" t="s">
        <v>74</v>
      </c>
      <c r="AD1" t="s">
        <v>75</v>
      </c>
      <c r="AE1" t="s">
        <v>76</v>
      </c>
      <c r="AF1" t="s">
        <v>78</v>
      </c>
      <c r="AG1" t="s">
        <v>77</v>
      </c>
      <c r="AH1" t="s">
        <v>79</v>
      </c>
      <c r="AI1" t="s">
        <v>80</v>
      </c>
      <c r="AJ1" t="s">
        <v>82</v>
      </c>
      <c r="AK1" t="s">
        <v>85</v>
      </c>
      <c r="AL1" t="s">
        <v>76</v>
      </c>
      <c r="AM1" t="s">
        <v>75</v>
      </c>
      <c r="AN1" t="s">
        <v>77</v>
      </c>
      <c r="AO1" t="s">
        <v>74</v>
      </c>
      <c r="AP1" t="s">
        <v>78</v>
      </c>
      <c r="AQ1" t="s">
        <v>73</v>
      </c>
      <c r="AR1" s="1" t="s">
        <v>88</v>
      </c>
      <c r="AS1" s="1" t="s">
        <v>89</v>
      </c>
      <c r="AT1" s="1" t="s">
        <v>90</v>
      </c>
      <c r="AU1" s="1" t="s">
        <v>91</v>
      </c>
      <c r="AV1" s="1" t="s">
        <v>92</v>
      </c>
      <c r="AW1" s="1" t="s">
        <v>93</v>
      </c>
      <c r="AX1" s="1" t="s">
        <v>94</v>
      </c>
      <c r="AY1" s="1" t="s">
        <v>95</v>
      </c>
      <c r="AZ1" s="1" t="s">
        <v>96</v>
      </c>
      <c r="BA1" s="1" t="s">
        <v>74</v>
      </c>
      <c r="BB1" s="1" t="s">
        <v>97</v>
      </c>
      <c r="BC1" s="1" t="s">
        <v>98</v>
      </c>
      <c r="BD1" s="1" t="s">
        <v>99</v>
      </c>
      <c r="BE1" s="1" t="s">
        <v>76</v>
      </c>
      <c r="BF1" s="1" t="s">
        <v>100</v>
      </c>
      <c r="BG1" s="1" t="s">
        <v>73</v>
      </c>
      <c r="BH1" s="1" t="s">
        <v>82</v>
      </c>
      <c r="BI1" s="1" t="s">
        <v>101</v>
      </c>
      <c r="BJ1" s="1" t="s">
        <v>88</v>
      </c>
      <c r="BK1" s="1" t="s">
        <v>89</v>
      </c>
      <c r="BL1" s="1" t="s">
        <v>90</v>
      </c>
      <c r="BM1" s="1" t="s">
        <v>92</v>
      </c>
      <c r="BN1" s="1" t="s">
        <v>93</v>
      </c>
      <c r="BO1" s="1" t="s">
        <v>94</v>
      </c>
      <c r="BP1" s="1" t="s">
        <v>74</v>
      </c>
      <c r="BQ1" s="1" t="s">
        <v>97</v>
      </c>
      <c r="BR1" s="1" t="s">
        <v>98</v>
      </c>
      <c r="BS1" s="1" t="s">
        <v>95</v>
      </c>
      <c r="BT1" s="1" t="s">
        <v>96</v>
      </c>
      <c r="BU1" s="1" t="s">
        <v>82</v>
      </c>
      <c r="BV1" s="1" t="s">
        <v>102</v>
      </c>
      <c r="BW1" s="1" t="s">
        <v>88</v>
      </c>
      <c r="BX1" s="1" t="s">
        <v>89</v>
      </c>
      <c r="BY1" s="1" t="s">
        <v>90</v>
      </c>
      <c r="BZ1" s="1" t="s">
        <v>92</v>
      </c>
      <c r="CA1" t="s">
        <v>93</v>
      </c>
      <c r="CB1" t="s">
        <v>94</v>
      </c>
      <c r="CC1" t="s">
        <v>74</v>
      </c>
      <c r="CD1" t="s">
        <v>97</v>
      </c>
      <c r="CE1" t="s">
        <v>98</v>
      </c>
      <c r="CF1" t="s">
        <v>95</v>
      </c>
      <c r="CG1" t="s">
        <v>96</v>
      </c>
      <c r="CH1" t="s">
        <v>103</v>
      </c>
      <c r="CI1" t="s">
        <v>92</v>
      </c>
      <c r="CJ1" t="s">
        <v>93</v>
      </c>
      <c r="CK1" t="s">
        <v>95</v>
      </c>
      <c r="CL1" t="s">
        <v>96</v>
      </c>
      <c r="CM1" t="s">
        <v>88</v>
      </c>
      <c r="CN1" t="s">
        <v>89</v>
      </c>
      <c r="CO1" t="s">
        <v>91</v>
      </c>
      <c r="CP1" t="s">
        <v>74</v>
      </c>
      <c r="CQ1" t="s">
        <v>97</v>
      </c>
      <c r="CR1" t="s">
        <v>98</v>
      </c>
      <c r="CS1" t="s">
        <v>99</v>
      </c>
      <c r="CT1" t="s">
        <v>76</v>
      </c>
      <c r="CU1" t="s">
        <v>100</v>
      </c>
      <c r="CV1" t="s">
        <v>73</v>
      </c>
      <c r="CW1" t="s">
        <v>105</v>
      </c>
      <c r="CX1" t="s">
        <v>106</v>
      </c>
      <c r="CY1" t="s">
        <v>88</v>
      </c>
      <c r="CZ1" t="s">
        <v>89</v>
      </c>
      <c r="DA1" t="s">
        <v>91</v>
      </c>
      <c r="DB1" t="s">
        <v>95</v>
      </c>
      <c r="DC1" t="s">
        <v>92</v>
      </c>
      <c r="DD1" t="s">
        <v>93</v>
      </c>
      <c r="DE1" t="s">
        <v>94</v>
      </c>
      <c r="DF1" t="s">
        <v>77</v>
      </c>
      <c r="DG1" t="s">
        <v>108</v>
      </c>
      <c r="DH1" t="s">
        <v>109</v>
      </c>
      <c r="DI1" t="s">
        <v>99</v>
      </c>
      <c r="DJ1" t="s">
        <v>76</v>
      </c>
      <c r="DK1" t="s">
        <v>104</v>
      </c>
      <c r="DL1" t="s">
        <v>82</v>
      </c>
      <c r="DM1" t="s">
        <v>110</v>
      </c>
      <c r="DN1" t="s">
        <v>88</v>
      </c>
      <c r="DO1" t="s">
        <v>89</v>
      </c>
      <c r="DP1" t="s">
        <v>107</v>
      </c>
      <c r="DQ1" t="s">
        <v>95</v>
      </c>
      <c r="DR1" t="s">
        <v>96</v>
      </c>
      <c r="DS1" t="s">
        <v>92</v>
      </c>
      <c r="DT1" t="s">
        <v>93</v>
      </c>
      <c r="DU1" t="s">
        <v>94</v>
      </c>
      <c r="DV1" t="s">
        <v>77</v>
      </c>
      <c r="DW1" t="s">
        <v>108</v>
      </c>
      <c r="DX1" t="s">
        <v>109</v>
      </c>
      <c r="DY1" t="s">
        <v>82</v>
      </c>
      <c r="DZ1" t="s">
        <v>111</v>
      </c>
      <c r="EA1" t="s">
        <v>95</v>
      </c>
      <c r="EB1" t="s">
        <v>96</v>
      </c>
      <c r="EC1" t="s">
        <v>92</v>
      </c>
      <c r="ED1" t="s">
        <v>93</v>
      </c>
      <c r="EE1" t="s">
        <v>94</v>
      </c>
      <c r="EF1" t="s">
        <v>88</v>
      </c>
      <c r="EG1" t="s">
        <v>89</v>
      </c>
      <c r="EH1" t="s">
        <v>108</v>
      </c>
      <c r="EI1" t="s">
        <v>77</v>
      </c>
      <c r="EJ1" t="s">
        <v>109</v>
      </c>
      <c r="EK1" t="s">
        <v>112</v>
      </c>
      <c r="EL1" t="s">
        <v>88</v>
      </c>
      <c r="EM1" t="s">
        <v>89</v>
      </c>
      <c r="EN1" t="s">
        <v>91</v>
      </c>
      <c r="EO1" t="s">
        <v>95</v>
      </c>
      <c r="EP1" t="s">
        <v>96</v>
      </c>
      <c r="EQ1" t="s">
        <v>109</v>
      </c>
      <c r="ER1" t="s">
        <v>108</v>
      </c>
      <c r="ES1" t="s">
        <v>99</v>
      </c>
      <c r="ET1" t="s">
        <v>92</v>
      </c>
      <c r="EU1" t="s">
        <v>93</v>
      </c>
      <c r="EV1" t="s">
        <v>76</v>
      </c>
      <c r="EW1" t="s">
        <v>104</v>
      </c>
      <c r="EX1" t="s">
        <v>113</v>
      </c>
      <c r="EY1" t="s">
        <v>87</v>
      </c>
      <c r="EZ1" t="s">
        <v>114</v>
      </c>
      <c r="FA1" t="s">
        <v>115</v>
      </c>
      <c r="FB1" t="s">
        <v>117</v>
      </c>
      <c r="FC1" t="s">
        <v>118</v>
      </c>
      <c r="FD1" t="s">
        <v>119</v>
      </c>
      <c r="FE1" t="s">
        <v>120</v>
      </c>
      <c r="FF1" t="s">
        <v>121</v>
      </c>
      <c r="FG1" t="s">
        <v>122</v>
      </c>
      <c r="FH1" t="s">
        <v>99</v>
      </c>
      <c r="FI1" t="s">
        <v>123</v>
      </c>
      <c r="FJ1" t="s">
        <v>73</v>
      </c>
      <c r="FK1" t="s">
        <v>82</v>
      </c>
      <c r="FL1" t="s">
        <v>101</v>
      </c>
      <c r="FM1" t="s">
        <v>114</v>
      </c>
      <c r="FN1" t="s">
        <v>115</v>
      </c>
      <c r="FO1" t="s">
        <v>118</v>
      </c>
      <c r="FP1" t="s">
        <v>119</v>
      </c>
      <c r="FQ1" t="s">
        <v>121</v>
      </c>
      <c r="FR1" t="s">
        <v>122</v>
      </c>
      <c r="FS1" t="s">
        <v>120</v>
      </c>
      <c r="FT1" t="s">
        <v>82</v>
      </c>
      <c r="FU1" t="s">
        <v>102</v>
      </c>
      <c r="FV1" t="s">
        <v>114</v>
      </c>
      <c r="FW1" t="s">
        <v>115</v>
      </c>
      <c r="FX1" t="s">
        <v>116</v>
      </c>
      <c r="FY1" t="s">
        <v>118</v>
      </c>
      <c r="FZ1" t="s">
        <v>119</v>
      </c>
      <c r="GA1" t="s">
        <v>121</v>
      </c>
      <c r="GB1" t="s">
        <v>122</v>
      </c>
      <c r="GC1" t="s">
        <v>120</v>
      </c>
      <c r="GD1" t="s">
        <v>103</v>
      </c>
      <c r="GE1" t="s">
        <v>118</v>
      </c>
      <c r="GF1" t="s">
        <v>120</v>
      </c>
      <c r="GG1" t="s">
        <v>114</v>
      </c>
      <c r="GH1" t="s">
        <v>117</v>
      </c>
      <c r="GI1" t="s">
        <v>121</v>
      </c>
      <c r="GJ1" t="s">
        <v>122</v>
      </c>
      <c r="GK1" t="s">
        <v>99</v>
      </c>
      <c r="GL1" t="s">
        <v>123</v>
      </c>
      <c r="GM1" t="s">
        <v>73</v>
      </c>
      <c r="GN1" t="s">
        <v>105</v>
      </c>
      <c r="GO1" t="s">
        <v>106</v>
      </c>
      <c r="GP1" t="s">
        <v>114</v>
      </c>
      <c r="GQ1" t="s">
        <v>117</v>
      </c>
      <c r="GR1" t="s">
        <v>95</v>
      </c>
      <c r="GS1" t="s">
        <v>118</v>
      </c>
      <c r="GT1" t="s">
        <v>119</v>
      </c>
      <c r="GU1" t="s">
        <v>77</v>
      </c>
      <c r="GV1" t="s">
        <v>108</v>
      </c>
      <c r="GW1" t="s">
        <v>126</v>
      </c>
      <c r="GX1" t="s">
        <v>127</v>
      </c>
      <c r="GY1" t="s">
        <v>128</v>
      </c>
      <c r="GZ1" t="s">
        <v>109</v>
      </c>
      <c r="HA1" t="s">
        <v>99</v>
      </c>
      <c r="HB1" t="s">
        <v>124</v>
      </c>
      <c r="HC1" t="s">
        <v>82</v>
      </c>
      <c r="HD1" t="s">
        <v>110</v>
      </c>
      <c r="HE1" t="s">
        <v>114</v>
      </c>
      <c r="HF1" t="s">
        <v>125</v>
      </c>
      <c r="HG1" t="s">
        <v>120</v>
      </c>
      <c r="HH1" t="s">
        <v>118</v>
      </c>
      <c r="HI1" t="s">
        <v>119</v>
      </c>
      <c r="HJ1" t="s">
        <v>77</v>
      </c>
      <c r="HK1" t="s">
        <v>108</v>
      </c>
      <c r="HL1" t="s">
        <v>109</v>
      </c>
      <c r="HM1" t="s">
        <v>82</v>
      </c>
      <c r="HN1" t="s">
        <v>111</v>
      </c>
      <c r="HO1" t="s">
        <v>120</v>
      </c>
      <c r="HP1" t="s">
        <v>118</v>
      </c>
      <c r="HQ1" t="s">
        <v>119</v>
      </c>
      <c r="HR1" t="s">
        <v>114</v>
      </c>
      <c r="HS1" t="s">
        <v>108</v>
      </c>
      <c r="HT1" t="s">
        <v>77</v>
      </c>
      <c r="HU1" t="s">
        <v>109</v>
      </c>
      <c r="HV1" t="s">
        <v>112</v>
      </c>
      <c r="HW1" t="s">
        <v>114</v>
      </c>
      <c r="HX1" t="s">
        <v>117</v>
      </c>
      <c r="HY1" t="s">
        <v>120</v>
      </c>
      <c r="HZ1" t="s">
        <v>109</v>
      </c>
      <c r="IA1" t="s">
        <v>108</v>
      </c>
      <c r="IB1" t="s">
        <v>99</v>
      </c>
      <c r="IC1" t="s">
        <v>118</v>
      </c>
      <c r="ID1" t="s">
        <v>129</v>
      </c>
      <c r="IE1" t="s">
        <v>124</v>
      </c>
      <c r="IF1" t="s">
        <v>73</v>
      </c>
      <c r="IG1" t="s">
        <v>130</v>
      </c>
    </row>
    <row r="2" spans="1:241" x14ac:dyDescent="0.25">
      <c r="A2" t="s">
        <v>29</v>
      </c>
      <c r="B2">
        <v>18.60465116</v>
      </c>
      <c r="C2">
        <v>20.806201550000001</v>
      </c>
      <c r="D2">
        <v>23.348837209999999</v>
      </c>
      <c r="E2">
        <v>24.031007750000001</v>
      </c>
      <c r="F2">
        <v>5.4573643409999999</v>
      </c>
      <c r="G2">
        <v>4.2790697670000002</v>
      </c>
      <c r="H2">
        <v>0</v>
      </c>
      <c r="I2">
        <v>3.4728682169999998</v>
      </c>
      <c r="J2">
        <v>0</v>
      </c>
      <c r="K2">
        <v>0</v>
      </c>
      <c r="L2">
        <v>112</v>
      </c>
      <c r="M2">
        <v>3225</v>
      </c>
      <c r="N2">
        <v>600</v>
      </c>
      <c r="O2">
        <v>671</v>
      </c>
      <c r="P2">
        <v>753</v>
      </c>
      <c r="Q2">
        <v>775</v>
      </c>
      <c r="R2">
        <v>176</v>
      </c>
      <c r="S2">
        <v>138</v>
      </c>
      <c r="T2">
        <v>0</v>
      </c>
      <c r="U2">
        <v>112</v>
      </c>
      <c r="V2">
        <v>0</v>
      </c>
      <c r="W2">
        <v>0</v>
      </c>
      <c r="X2">
        <v>1974</v>
      </c>
      <c r="Y2">
        <v>511</v>
      </c>
      <c r="Z2">
        <v>584</v>
      </c>
      <c r="AA2">
        <v>418</v>
      </c>
      <c r="AB2">
        <v>260</v>
      </c>
      <c r="AC2">
        <v>73</v>
      </c>
      <c r="AD2">
        <v>16</v>
      </c>
      <c r="AE2">
        <v>0</v>
      </c>
      <c r="AF2">
        <v>112</v>
      </c>
      <c r="AG2">
        <v>0</v>
      </c>
      <c r="AH2">
        <v>1251</v>
      </c>
      <c r="AI2">
        <v>515</v>
      </c>
      <c r="AJ2">
        <v>335</v>
      </c>
      <c r="AK2">
        <v>160</v>
      </c>
      <c r="AL2">
        <v>87</v>
      </c>
      <c r="AM2">
        <v>65</v>
      </c>
      <c r="AN2">
        <v>89</v>
      </c>
      <c r="AO2">
        <v>0</v>
      </c>
      <c r="AP2">
        <v>0</v>
      </c>
      <c r="AQ2">
        <v>0</v>
      </c>
      <c r="AR2">
        <v>36.137502162000004</v>
      </c>
      <c r="AS2">
        <v>33.537744000000004</v>
      </c>
      <c r="AT2">
        <v>2.5997581620000001</v>
      </c>
      <c r="AU2" t="s">
        <v>69</v>
      </c>
      <c r="AV2">
        <v>31.430298839999999</v>
      </c>
      <c r="AW2">
        <v>17.049576779999999</v>
      </c>
      <c r="AX2">
        <v>14.38072206</v>
      </c>
      <c r="AY2">
        <v>17.770772149999999</v>
      </c>
      <c r="AZ2">
        <v>17.770772149999999</v>
      </c>
      <c r="BA2">
        <v>12.968561063999999</v>
      </c>
      <c r="BB2">
        <v>7.7517705990000003</v>
      </c>
      <c r="BC2">
        <v>5.2167904649999999</v>
      </c>
      <c r="BD2" t="s">
        <v>69</v>
      </c>
      <c r="BE2" t="s">
        <v>69</v>
      </c>
      <c r="BF2" t="s">
        <v>69</v>
      </c>
      <c r="BG2" t="s">
        <v>69</v>
      </c>
      <c r="BH2">
        <v>1.69286578</v>
      </c>
      <c r="BI2">
        <v>99.999999994999996</v>
      </c>
      <c r="BJ2">
        <v>37.410754130000001</v>
      </c>
      <c r="BK2">
        <v>35.33020973</v>
      </c>
      <c r="BL2">
        <v>2.0805444</v>
      </c>
      <c r="BM2">
        <v>32.602632749999998</v>
      </c>
      <c r="BN2">
        <v>15.445113790000001</v>
      </c>
      <c r="BO2">
        <v>17.157518960000001</v>
      </c>
      <c r="BP2">
        <v>14.296073181000001</v>
      </c>
      <c r="BQ2">
        <v>8.3668005349999994</v>
      </c>
      <c r="BR2">
        <v>5.9292726460000003</v>
      </c>
      <c r="BS2">
        <v>15.623605530000001</v>
      </c>
      <c r="BT2">
        <v>15.623605530000001</v>
      </c>
      <c r="BU2">
        <v>6.6934404000000003E-2</v>
      </c>
      <c r="BV2">
        <v>99.999999998000007</v>
      </c>
      <c r="BW2">
        <v>36.116219199</v>
      </c>
      <c r="BX2">
        <v>27.694005149999999</v>
      </c>
      <c r="BY2">
        <v>8.4222140490000008</v>
      </c>
      <c r="BZ2">
        <v>25.891872012</v>
      </c>
      <c r="CA2">
        <v>16.550202280000001</v>
      </c>
      <c r="CB2">
        <v>9.3416697319999997</v>
      </c>
      <c r="CC2">
        <v>14.564178006999999</v>
      </c>
      <c r="CD2">
        <v>9.5991173229999998</v>
      </c>
      <c r="CE2">
        <v>4.965060684</v>
      </c>
      <c r="CF2">
        <v>23.427730780000001</v>
      </c>
      <c r="CG2">
        <v>23.427730780000001</v>
      </c>
      <c r="CH2">
        <v>100.00000000700001</v>
      </c>
      <c r="CI2">
        <v>29.055400559999999</v>
      </c>
      <c r="CJ2">
        <v>29.055400559999999</v>
      </c>
      <c r="CK2">
        <v>26.982861700000001</v>
      </c>
      <c r="CL2">
        <v>26.982861700000001</v>
      </c>
      <c r="CM2">
        <v>27.062574730000001</v>
      </c>
      <c r="CN2">
        <v>27.062574730000001</v>
      </c>
      <c r="CO2" t="s">
        <v>69</v>
      </c>
      <c r="CP2">
        <v>1.7536867269999998</v>
      </c>
      <c r="CQ2">
        <v>1.3551215619999999</v>
      </c>
      <c r="CR2">
        <v>0.398565165</v>
      </c>
      <c r="CS2" t="s">
        <v>69</v>
      </c>
      <c r="CT2" t="s">
        <v>69</v>
      </c>
      <c r="CU2" t="s">
        <v>69</v>
      </c>
      <c r="CV2" t="s">
        <v>69</v>
      </c>
      <c r="CW2">
        <v>15.14547629</v>
      </c>
      <c r="CX2">
        <v>99.503116045000013</v>
      </c>
      <c r="CY2">
        <v>35.666161359999997</v>
      </c>
      <c r="CZ2">
        <v>35.666161359999997</v>
      </c>
      <c r="DA2" t="s">
        <v>69</v>
      </c>
      <c r="DB2">
        <v>27.951827519999998</v>
      </c>
      <c r="DC2">
        <v>11.529391949000001</v>
      </c>
      <c r="DD2">
        <v>5.5920498570000001</v>
      </c>
      <c r="DE2">
        <v>5.9373420919999997</v>
      </c>
      <c r="DF2">
        <v>13.348492500000001</v>
      </c>
      <c r="DG2">
        <v>7.0153276069999997</v>
      </c>
      <c r="DH2" t="s">
        <v>69</v>
      </c>
      <c r="DI2" t="s">
        <v>69</v>
      </c>
      <c r="DJ2" t="s">
        <v>69</v>
      </c>
      <c r="DK2" t="s">
        <v>69</v>
      </c>
      <c r="DL2">
        <v>3.9919151089999998</v>
      </c>
      <c r="DM2">
        <v>100</v>
      </c>
      <c r="DN2">
        <v>38.636795139999997</v>
      </c>
      <c r="DO2">
        <v>38.636795139999997</v>
      </c>
      <c r="DP2">
        <v>0</v>
      </c>
      <c r="DQ2">
        <v>26.969812040000001</v>
      </c>
      <c r="DR2">
        <v>26.969812040000001</v>
      </c>
      <c r="DS2">
        <v>12.132143535000001</v>
      </c>
      <c r="DT2">
        <v>5.8192519459999996</v>
      </c>
      <c r="DU2">
        <v>6.3128915890000004</v>
      </c>
      <c r="DV2">
        <v>14.923106130000001</v>
      </c>
      <c r="DW2">
        <v>6.7970381619999998</v>
      </c>
      <c r="DX2">
        <v>0.54110499300000003</v>
      </c>
      <c r="DY2">
        <v>0</v>
      </c>
      <c r="DZ2">
        <v>99.999999997999993</v>
      </c>
      <c r="EA2">
        <v>51.672240799999997</v>
      </c>
      <c r="EB2">
        <v>51.672240799999997</v>
      </c>
      <c r="EC2">
        <v>15.050167223999999</v>
      </c>
      <c r="ED2">
        <v>8.361204013</v>
      </c>
      <c r="EE2">
        <v>6.6889632109999999</v>
      </c>
      <c r="EF2">
        <v>11.204013379999999</v>
      </c>
      <c r="EG2">
        <v>11.204013379999999</v>
      </c>
      <c r="EH2">
        <v>19.565217390000001</v>
      </c>
      <c r="EI2">
        <v>2.1739130430000002</v>
      </c>
      <c r="EJ2">
        <v>0.33444816100000002</v>
      </c>
      <c r="EK2">
        <v>100</v>
      </c>
      <c r="EL2">
        <v>13.20754717</v>
      </c>
      <c r="EM2">
        <v>13.20754717</v>
      </c>
      <c r="EN2" t="s">
        <v>69</v>
      </c>
      <c r="EO2">
        <v>22.776280320000001</v>
      </c>
      <c r="EP2">
        <v>22.776280320000001</v>
      </c>
      <c r="EQ2" t="s">
        <v>69</v>
      </c>
      <c r="ER2" t="s">
        <v>69</v>
      </c>
      <c r="ES2" t="s">
        <v>69</v>
      </c>
      <c r="ET2">
        <v>0.13477089</v>
      </c>
      <c r="EU2">
        <v>0.13477089</v>
      </c>
      <c r="EV2" t="s">
        <v>69</v>
      </c>
      <c r="EW2" t="s">
        <v>69</v>
      </c>
      <c r="EX2">
        <v>63.881401619999998</v>
      </c>
      <c r="EY2">
        <v>23156</v>
      </c>
      <c r="EZ2">
        <v>7766</v>
      </c>
      <c r="FA2">
        <v>602</v>
      </c>
      <c r="FB2" t="s">
        <v>69</v>
      </c>
      <c r="FC2">
        <v>3948</v>
      </c>
      <c r="FD2">
        <v>3330</v>
      </c>
      <c r="FE2">
        <v>4115</v>
      </c>
      <c r="FF2">
        <v>1795</v>
      </c>
      <c r="FG2">
        <v>1208</v>
      </c>
      <c r="FH2" t="s">
        <v>69</v>
      </c>
      <c r="FI2" t="s">
        <v>69</v>
      </c>
      <c r="FJ2" t="s">
        <v>69</v>
      </c>
      <c r="FK2">
        <v>392</v>
      </c>
      <c r="FL2">
        <v>17928</v>
      </c>
      <c r="FM2">
        <v>6334</v>
      </c>
      <c r="FN2">
        <v>373</v>
      </c>
      <c r="FO2">
        <v>2769</v>
      </c>
      <c r="FP2">
        <v>3076</v>
      </c>
      <c r="FQ2">
        <v>1500</v>
      </c>
      <c r="FR2">
        <v>1063</v>
      </c>
      <c r="FS2">
        <v>2801</v>
      </c>
      <c r="FT2">
        <v>12</v>
      </c>
      <c r="FU2">
        <v>2719</v>
      </c>
      <c r="FV2">
        <v>753</v>
      </c>
      <c r="FW2">
        <v>229</v>
      </c>
      <c r="FX2" t="s">
        <v>69</v>
      </c>
      <c r="FY2">
        <v>450</v>
      </c>
      <c r="FZ2">
        <v>254</v>
      </c>
      <c r="GA2">
        <v>261</v>
      </c>
      <c r="GB2">
        <v>135</v>
      </c>
      <c r="GC2">
        <v>637</v>
      </c>
      <c r="GD2">
        <v>2509</v>
      </c>
      <c r="GE2">
        <v>729</v>
      </c>
      <c r="GF2">
        <v>677</v>
      </c>
      <c r="GG2">
        <v>679</v>
      </c>
      <c r="GH2" t="s">
        <v>69</v>
      </c>
      <c r="GI2">
        <v>34</v>
      </c>
      <c r="GJ2">
        <v>10</v>
      </c>
      <c r="GK2" t="s">
        <v>69</v>
      </c>
      <c r="GL2" t="s">
        <v>69</v>
      </c>
      <c r="GM2" t="s">
        <v>69</v>
      </c>
      <c r="GN2">
        <v>380</v>
      </c>
      <c r="GO2">
        <v>11874</v>
      </c>
      <c r="GP2">
        <v>4235</v>
      </c>
      <c r="GQ2" t="s">
        <v>69</v>
      </c>
      <c r="GR2">
        <v>3319</v>
      </c>
      <c r="GS2">
        <v>664</v>
      </c>
      <c r="GT2">
        <v>705</v>
      </c>
      <c r="GU2">
        <v>1585</v>
      </c>
      <c r="GV2">
        <v>833</v>
      </c>
      <c r="GW2">
        <v>716</v>
      </c>
      <c r="GX2">
        <v>117</v>
      </c>
      <c r="GY2" t="s">
        <v>69</v>
      </c>
      <c r="GZ2" t="s">
        <v>69</v>
      </c>
      <c r="HA2" t="s">
        <v>69</v>
      </c>
      <c r="HB2" t="s">
        <v>69</v>
      </c>
      <c r="HC2">
        <v>474</v>
      </c>
      <c r="HD2">
        <v>10534</v>
      </c>
      <c r="HE2">
        <v>4070</v>
      </c>
      <c r="HF2">
        <v>0</v>
      </c>
      <c r="HG2">
        <v>2841</v>
      </c>
      <c r="HH2">
        <v>613</v>
      </c>
      <c r="HI2">
        <v>665</v>
      </c>
      <c r="HJ2">
        <v>1572</v>
      </c>
      <c r="HK2">
        <v>716</v>
      </c>
      <c r="HL2">
        <v>57</v>
      </c>
      <c r="HM2">
        <v>0</v>
      </c>
      <c r="HN2">
        <v>598</v>
      </c>
      <c r="HO2">
        <v>309</v>
      </c>
      <c r="HP2">
        <v>50</v>
      </c>
      <c r="HQ2">
        <v>40</v>
      </c>
      <c r="HR2">
        <v>67</v>
      </c>
      <c r="HS2">
        <v>117</v>
      </c>
      <c r="HT2">
        <v>13</v>
      </c>
      <c r="HU2">
        <v>2</v>
      </c>
      <c r="HV2">
        <v>742</v>
      </c>
      <c r="HW2">
        <v>98</v>
      </c>
      <c r="HX2" t="s">
        <v>69</v>
      </c>
      <c r="HY2">
        <v>169</v>
      </c>
      <c r="HZ2" t="s">
        <v>69</v>
      </c>
      <c r="IA2" t="s">
        <v>69</v>
      </c>
      <c r="IB2" t="s">
        <v>69</v>
      </c>
      <c r="IC2">
        <v>1</v>
      </c>
      <c r="ID2" t="s">
        <v>69</v>
      </c>
      <c r="IE2">
        <v>474</v>
      </c>
      <c r="IG2">
        <v>56.416392999999999</v>
      </c>
    </row>
    <row r="3" spans="1:241" x14ac:dyDescent="0.25">
      <c r="A3" t="s">
        <v>30</v>
      </c>
      <c r="B3">
        <v>16.49205813</v>
      </c>
      <c r="C3">
        <v>17.134166950000001</v>
      </c>
      <c r="D3">
        <v>26.08989523</v>
      </c>
      <c r="E3">
        <v>24.400135179999999</v>
      </c>
      <c r="F3">
        <v>6.8942210209999999</v>
      </c>
      <c r="G3">
        <v>5.3058465699999999</v>
      </c>
      <c r="H3">
        <v>3.3795200999999997E-2</v>
      </c>
      <c r="I3">
        <v>3.6160865160000002</v>
      </c>
      <c r="J3">
        <v>0</v>
      </c>
      <c r="K3">
        <v>3.3795200999999997E-2</v>
      </c>
      <c r="L3">
        <v>107</v>
      </c>
      <c r="M3">
        <v>2959</v>
      </c>
      <c r="N3">
        <v>488</v>
      </c>
      <c r="O3">
        <v>507</v>
      </c>
      <c r="P3">
        <v>772</v>
      </c>
      <c r="Q3">
        <v>722</v>
      </c>
      <c r="R3">
        <v>204</v>
      </c>
      <c r="S3">
        <v>157</v>
      </c>
      <c r="T3">
        <v>1</v>
      </c>
      <c r="U3">
        <v>107</v>
      </c>
      <c r="V3">
        <v>0</v>
      </c>
      <c r="W3">
        <v>1</v>
      </c>
      <c r="X3">
        <v>1725</v>
      </c>
      <c r="Y3">
        <v>428</v>
      </c>
      <c r="Z3">
        <v>421</v>
      </c>
      <c r="AA3">
        <v>439</v>
      </c>
      <c r="AB3">
        <v>217</v>
      </c>
      <c r="AC3">
        <v>96</v>
      </c>
      <c r="AD3">
        <v>17</v>
      </c>
      <c r="AE3">
        <v>0</v>
      </c>
      <c r="AF3">
        <v>107</v>
      </c>
      <c r="AG3">
        <v>0</v>
      </c>
      <c r="AH3">
        <v>1234</v>
      </c>
      <c r="AI3">
        <v>505</v>
      </c>
      <c r="AJ3">
        <v>333</v>
      </c>
      <c r="AK3">
        <v>187</v>
      </c>
      <c r="AL3">
        <v>86</v>
      </c>
      <c r="AM3">
        <v>61</v>
      </c>
      <c r="AN3">
        <v>60</v>
      </c>
      <c r="AO3">
        <v>1</v>
      </c>
      <c r="AP3">
        <v>0</v>
      </c>
      <c r="AQ3">
        <v>1</v>
      </c>
      <c r="AR3">
        <v>41.014808554000005</v>
      </c>
      <c r="AS3">
        <v>38.142037620000004</v>
      </c>
      <c r="AT3">
        <v>2.8727709340000001</v>
      </c>
      <c r="AU3" t="s">
        <v>69</v>
      </c>
      <c r="AV3">
        <v>30.030684389999998</v>
      </c>
      <c r="AW3">
        <v>17.338906919999999</v>
      </c>
      <c r="AX3">
        <v>12.69177747</v>
      </c>
      <c r="AY3">
        <v>12.20705296</v>
      </c>
      <c r="AZ3">
        <v>12.20705296</v>
      </c>
      <c r="BA3">
        <v>14.430559879</v>
      </c>
      <c r="BB3">
        <v>7.6933339260000002</v>
      </c>
      <c r="BC3">
        <v>6.7372259530000003</v>
      </c>
      <c r="BD3" t="s">
        <v>69</v>
      </c>
      <c r="BE3" t="s">
        <v>69</v>
      </c>
      <c r="BF3" t="s">
        <v>69</v>
      </c>
      <c r="BG3" t="s">
        <v>69</v>
      </c>
      <c r="BH3">
        <v>2.3168942060000002</v>
      </c>
      <c r="BI3">
        <v>100.000000004</v>
      </c>
      <c r="BJ3">
        <v>43.385973851999999</v>
      </c>
      <c r="BK3">
        <v>41.048282110000002</v>
      </c>
      <c r="BL3">
        <v>2.3376917420000001</v>
      </c>
      <c r="BM3">
        <v>29.959812079999999</v>
      </c>
      <c r="BN3">
        <v>15.22046754</v>
      </c>
      <c r="BO3">
        <v>14.739344539999999</v>
      </c>
      <c r="BP3">
        <v>15.260089432000001</v>
      </c>
      <c r="BQ3">
        <v>7.8338144559999998</v>
      </c>
      <c r="BR3">
        <v>7.4262749760000002</v>
      </c>
      <c r="BS3">
        <v>11.29223977</v>
      </c>
      <c r="BT3">
        <v>11.29223977</v>
      </c>
      <c r="BU3">
        <v>0.10188487</v>
      </c>
      <c r="BV3">
        <v>99.99999999000002</v>
      </c>
      <c r="BW3">
        <v>38.046166532000001</v>
      </c>
      <c r="BX3">
        <v>28.44187964</v>
      </c>
      <c r="BY3">
        <v>9.6042868919999993</v>
      </c>
      <c r="BZ3">
        <v>27.617477319999999</v>
      </c>
      <c r="CA3">
        <v>17.31244847</v>
      </c>
      <c r="CB3">
        <v>10.305028849999999</v>
      </c>
      <c r="CC3">
        <v>21.063478977999999</v>
      </c>
      <c r="CD3">
        <v>12.860676010000001</v>
      </c>
      <c r="CE3">
        <v>8.2028029680000003</v>
      </c>
      <c r="CF3">
        <v>13.27287716</v>
      </c>
      <c r="CG3">
        <v>13.27287716</v>
      </c>
      <c r="CH3">
        <v>99.999999998000007</v>
      </c>
      <c r="CI3">
        <v>32.999164579999999</v>
      </c>
      <c r="CJ3">
        <v>32.999164579999999</v>
      </c>
      <c r="CK3">
        <v>17.878028400000002</v>
      </c>
      <c r="CL3">
        <v>17.878028400000002</v>
      </c>
      <c r="CM3">
        <v>26.524644949999999</v>
      </c>
      <c r="CN3">
        <v>26.524644949999999</v>
      </c>
      <c r="CO3" t="s">
        <v>69</v>
      </c>
      <c r="CP3">
        <v>1.5873015879999999</v>
      </c>
      <c r="CQ3">
        <v>1.4202172099999999</v>
      </c>
      <c r="CR3">
        <v>0.16708437800000001</v>
      </c>
      <c r="CS3" t="s">
        <v>69</v>
      </c>
      <c r="CT3" t="s">
        <v>69</v>
      </c>
      <c r="CU3" t="s">
        <v>69</v>
      </c>
      <c r="CV3" t="s">
        <v>69</v>
      </c>
      <c r="CW3">
        <v>21.010860480000002</v>
      </c>
      <c r="CX3">
        <v>100.000000005</v>
      </c>
      <c r="CY3">
        <v>36.683910099999999</v>
      </c>
      <c r="CZ3">
        <v>36.683910099999999</v>
      </c>
      <c r="DA3" t="s">
        <v>69</v>
      </c>
      <c r="DB3">
        <v>27.390296110000001</v>
      </c>
      <c r="DC3">
        <v>11.006064931000001</v>
      </c>
      <c r="DD3">
        <v>6.0114163400000002</v>
      </c>
      <c r="DE3">
        <v>4.9946485909999998</v>
      </c>
      <c r="DF3">
        <v>12.50445951</v>
      </c>
      <c r="DG3">
        <v>7.6257581160000001</v>
      </c>
      <c r="DH3">
        <v>0.34784159799999997</v>
      </c>
      <c r="DI3" t="s">
        <v>69</v>
      </c>
      <c r="DJ3" t="s">
        <v>69</v>
      </c>
      <c r="DK3" t="s">
        <v>69</v>
      </c>
      <c r="DL3">
        <v>4.4416696399999998</v>
      </c>
      <c r="DM3">
        <v>100.00000000200001</v>
      </c>
      <c r="DN3">
        <v>40.412371129999997</v>
      </c>
      <c r="DO3">
        <v>40.412371129999997</v>
      </c>
      <c r="DP3">
        <v>0</v>
      </c>
      <c r="DQ3">
        <v>25.896907219999999</v>
      </c>
      <c r="DR3">
        <v>25.896907219999999</v>
      </c>
      <c r="DS3">
        <v>11.701030928</v>
      </c>
      <c r="DT3">
        <v>6.3298969070000002</v>
      </c>
      <c r="DU3">
        <v>5.3711340209999996</v>
      </c>
      <c r="DV3">
        <v>14.268041240000001</v>
      </c>
      <c r="DW3">
        <v>7.3298969070000002</v>
      </c>
      <c r="DX3">
        <v>0.39175257699999999</v>
      </c>
      <c r="DY3">
        <v>0</v>
      </c>
      <c r="DZ3">
        <v>99.999999992000014</v>
      </c>
      <c r="EA3">
        <v>55.289672539999998</v>
      </c>
      <c r="EB3">
        <v>55.289672539999998</v>
      </c>
      <c r="EC3">
        <v>11.460957179000001</v>
      </c>
      <c r="ED3">
        <v>6.5491183880000001</v>
      </c>
      <c r="EE3">
        <v>4.9118387910000001</v>
      </c>
      <c r="EF3">
        <v>12.720403019999999</v>
      </c>
      <c r="EG3">
        <v>12.720403019999999</v>
      </c>
      <c r="EH3">
        <v>18.13602015</v>
      </c>
      <c r="EI3">
        <v>2.267002519</v>
      </c>
      <c r="EJ3">
        <v>0.125944584</v>
      </c>
      <c r="EK3">
        <v>99.999999997999993</v>
      </c>
      <c r="EL3">
        <v>12.813370470000001</v>
      </c>
      <c r="EM3">
        <v>12.813370470000001</v>
      </c>
      <c r="EN3" t="s">
        <v>69</v>
      </c>
      <c r="EO3">
        <v>16.71309192</v>
      </c>
      <c r="EP3">
        <v>16.71309192</v>
      </c>
      <c r="EQ3">
        <v>0</v>
      </c>
      <c r="ER3" t="s">
        <v>69</v>
      </c>
      <c r="ES3" t="s">
        <v>69</v>
      </c>
      <c r="ET3">
        <v>1.114206128</v>
      </c>
      <c r="EU3">
        <v>1.114206128</v>
      </c>
      <c r="EV3" t="s">
        <v>69</v>
      </c>
      <c r="EW3" t="s">
        <v>69</v>
      </c>
      <c r="EX3">
        <v>69.359331479999994</v>
      </c>
      <c r="EY3">
        <v>22487</v>
      </c>
      <c r="EZ3">
        <v>8577</v>
      </c>
      <c r="FA3">
        <v>646</v>
      </c>
      <c r="FB3" t="s">
        <v>69</v>
      </c>
      <c r="FC3">
        <v>3899</v>
      </c>
      <c r="FD3">
        <v>2854</v>
      </c>
      <c r="FE3">
        <v>2745</v>
      </c>
      <c r="FF3">
        <v>1730</v>
      </c>
      <c r="FG3">
        <v>1515</v>
      </c>
      <c r="FH3" t="s">
        <v>69</v>
      </c>
      <c r="FI3" t="s">
        <v>69</v>
      </c>
      <c r="FJ3" t="s">
        <v>69</v>
      </c>
      <c r="FK3">
        <v>521</v>
      </c>
      <c r="FL3">
        <v>17667</v>
      </c>
      <c r="FM3">
        <v>7252</v>
      </c>
      <c r="FN3">
        <v>413</v>
      </c>
      <c r="FO3">
        <v>2689</v>
      </c>
      <c r="FP3">
        <v>2604</v>
      </c>
      <c r="FQ3">
        <v>1384</v>
      </c>
      <c r="FR3">
        <v>1312</v>
      </c>
      <c r="FS3">
        <v>1995</v>
      </c>
      <c r="FT3">
        <v>18</v>
      </c>
      <c r="FU3">
        <v>2426</v>
      </c>
      <c r="FV3">
        <v>690</v>
      </c>
      <c r="FW3">
        <v>233</v>
      </c>
      <c r="FX3" t="s">
        <v>69</v>
      </c>
      <c r="FY3">
        <v>420</v>
      </c>
      <c r="FZ3">
        <v>250</v>
      </c>
      <c r="GA3">
        <v>312</v>
      </c>
      <c r="GB3">
        <v>199</v>
      </c>
      <c r="GC3">
        <v>322</v>
      </c>
      <c r="GD3">
        <v>2394</v>
      </c>
      <c r="GE3">
        <v>790</v>
      </c>
      <c r="GF3">
        <v>428</v>
      </c>
      <c r="GG3">
        <v>635</v>
      </c>
      <c r="GH3" t="s">
        <v>69</v>
      </c>
      <c r="GI3">
        <v>34</v>
      </c>
      <c r="GJ3">
        <v>4</v>
      </c>
      <c r="GK3" t="s">
        <v>69</v>
      </c>
      <c r="GL3" t="s">
        <v>69</v>
      </c>
      <c r="GM3" t="s">
        <v>69</v>
      </c>
      <c r="GN3">
        <v>503</v>
      </c>
      <c r="GO3">
        <v>11212</v>
      </c>
      <c r="GP3">
        <v>4113</v>
      </c>
      <c r="GQ3" t="s">
        <v>69</v>
      </c>
      <c r="GR3">
        <v>3071</v>
      </c>
      <c r="GS3">
        <v>674</v>
      </c>
      <c r="GT3">
        <v>560</v>
      </c>
      <c r="GU3">
        <v>1402</v>
      </c>
      <c r="GV3">
        <v>855</v>
      </c>
      <c r="GW3">
        <v>711</v>
      </c>
      <c r="GX3">
        <v>144</v>
      </c>
      <c r="GY3" t="s">
        <v>69</v>
      </c>
      <c r="GZ3">
        <v>39</v>
      </c>
      <c r="HA3" t="s">
        <v>69</v>
      </c>
      <c r="HB3" t="s">
        <v>69</v>
      </c>
      <c r="HC3">
        <v>498</v>
      </c>
      <c r="HD3">
        <v>9700</v>
      </c>
      <c r="HE3">
        <v>3920</v>
      </c>
      <c r="HF3">
        <v>0</v>
      </c>
      <c r="HG3">
        <v>2512</v>
      </c>
      <c r="HH3">
        <v>614</v>
      </c>
      <c r="HI3">
        <v>521</v>
      </c>
      <c r="HJ3">
        <v>1384</v>
      </c>
      <c r="HK3">
        <v>711</v>
      </c>
      <c r="HL3">
        <v>38</v>
      </c>
      <c r="HM3">
        <v>0</v>
      </c>
      <c r="HN3">
        <v>794</v>
      </c>
      <c r="HO3">
        <v>439</v>
      </c>
      <c r="HP3">
        <v>52</v>
      </c>
      <c r="HQ3">
        <v>39</v>
      </c>
      <c r="HR3">
        <v>101</v>
      </c>
      <c r="HS3">
        <v>144</v>
      </c>
      <c r="HT3">
        <v>18</v>
      </c>
      <c r="HU3">
        <v>1</v>
      </c>
      <c r="HV3">
        <v>718</v>
      </c>
      <c r="HW3">
        <v>92</v>
      </c>
      <c r="HX3" t="s">
        <v>69</v>
      </c>
      <c r="HY3">
        <v>120</v>
      </c>
      <c r="HZ3">
        <v>0</v>
      </c>
      <c r="IA3" t="s">
        <v>69</v>
      </c>
      <c r="IB3" t="s">
        <v>69</v>
      </c>
      <c r="IC3">
        <v>8</v>
      </c>
      <c r="ID3" t="s">
        <v>69</v>
      </c>
      <c r="IE3">
        <v>498</v>
      </c>
      <c r="IG3">
        <v>55.913555000000002</v>
      </c>
    </row>
    <row r="4" spans="1:241" x14ac:dyDescent="0.25">
      <c r="A4" t="s">
        <v>31</v>
      </c>
      <c r="B4">
        <v>14.05440415</v>
      </c>
      <c r="C4">
        <v>15.479274609999999</v>
      </c>
      <c r="D4">
        <v>31.25</v>
      </c>
      <c r="E4">
        <v>22.020725389999999</v>
      </c>
      <c r="F4">
        <v>7.8044041450000003</v>
      </c>
      <c r="G4">
        <v>5.5699481869999996</v>
      </c>
      <c r="H4">
        <v>6.4766839000000007E-2</v>
      </c>
      <c r="I4">
        <v>3.724093264</v>
      </c>
      <c r="J4">
        <v>3.2383420000000003E-2</v>
      </c>
      <c r="K4">
        <v>0</v>
      </c>
      <c r="L4">
        <v>115</v>
      </c>
      <c r="M4">
        <v>3088</v>
      </c>
      <c r="N4">
        <v>434</v>
      </c>
      <c r="O4">
        <v>478</v>
      </c>
      <c r="P4">
        <v>965</v>
      </c>
      <c r="Q4">
        <v>680</v>
      </c>
      <c r="R4">
        <v>241</v>
      </c>
      <c r="S4">
        <v>172</v>
      </c>
      <c r="T4">
        <v>2</v>
      </c>
      <c r="U4">
        <v>115</v>
      </c>
      <c r="V4">
        <v>1</v>
      </c>
      <c r="W4">
        <v>0</v>
      </c>
      <c r="X4">
        <v>1693</v>
      </c>
      <c r="Y4">
        <v>371</v>
      </c>
      <c r="Z4">
        <v>414</v>
      </c>
      <c r="AA4">
        <v>575</v>
      </c>
      <c r="AB4">
        <v>115</v>
      </c>
      <c r="AC4">
        <v>94</v>
      </c>
      <c r="AD4">
        <v>9</v>
      </c>
      <c r="AE4">
        <v>0</v>
      </c>
      <c r="AF4">
        <v>115</v>
      </c>
      <c r="AG4">
        <v>0</v>
      </c>
      <c r="AH4">
        <v>1395</v>
      </c>
      <c r="AI4">
        <v>565</v>
      </c>
      <c r="AJ4">
        <v>390</v>
      </c>
      <c r="AK4">
        <v>232</v>
      </c>
      <c r="AL4">
        <v>64</v>
      </c>
      <c r="AM4">
        <v>78</v>
      </c>
      <c r="AN4">
        <v>63</v>
      </c>
      <c r="AO4">
        <v>2</v>
      </c>
      <c r="AP4">
        <v>1</v>
      </c>
      <c r="AQ4">
        <v>0</v>
      </c>
      <c r="AR4">
        <v>35.864998385999996</v>
      </c>
      <c r="AS4">
        <v>32.646936609999997</v>
      </c>
      <c r="AT4">
        <v>3.2180617759999999</v>
      </c>
      <c r="AU4" t="s">
        <v>69</v>
      </c>
      <c r="AV4">
        <v>30.80012928</v>
      </c>
      <c r="AW4">
        <v>16.787478650000001</v>
      </c>
      <c r="AX4">
        <v>14.01265063</v>
      </c>
      <c r="AY4">
        <v>16.233436449999999</v>
      </c>
      <c r="AZ4">
        <v>16.233436449999999</v>
      </c>
      <c r="BA4">
        <v>15.485479477000002</v>
      </c>
      <c r="BB4">
        <v>8.5091647810000008</v>
      </c>
      <c r="BC4">
        <v>6.9763146960000002</v>
      </c>
      <c r="BD4" t="s">
        <v>69</v>
      </c>
      <c r="BE4" t="s">
        <v>69</v>
      </c>
      <c r="BF4" t="s">
        <v>69</v>
      </c>
      <c r="BG4" t="s">
        <v>69</v>
      </c>
      <c r="BH4">
        <v>1.6159564150000001</v>
      </c>
      <c r="BI4">
        <v>99.999999993000003</v>
      </c>
      <c r="BJ4">
        <v>36.822789233000002</v>
      </c>
      <c r="BK4">
        <v>34.067342420000003</v>
      </c>
      <c r="BL4">
        <v>2.7554468129999998</v>
      </c>
      <c r="BM4">
        <v>30.222532910000002</v>
      </c>
      <c r="BN4">
        <v>14.138413140000001</v>
      </c>
      <c r="BO4">
        <v>16.084119770000001</v>
      </c>
      <c r="BP4">
        <v>16.806477921999999</v>
      </c>
      <c r="BQ4">
        <v>8.8139345220000003</v>
      </c>
      <c r="BR4">
        <v>7.9925433999999997</v>
      </c>
      <c r="BS4">
        <v>16.025865079999999</v>
      </c>
      <c r="BT4">
        <v>16.025865079999999</v>
      </c>
      <c r="BU4">
        <v>0.122334848</v>
      </c>
      <c r="BV4">
        <v>100</v>
      </c>
      <c r="BW4">
        <v>34.470377020000001</v>
      </c>
      <c r="BX4">
        <v>24.41651706</v>
      </c>
      <c r="BY4">
        <v>10.05385996</v>
      </c>
      <c r="BZ4">
        <v>29.08438061</v>
      </c>
      <c r="CA4">
        <v>16.786355480000001</v>
      </c>
      <c r="CB4">
        <v>12.298025129999999</v>
      </c>
      <c r="CC4">
        <v>20.062836619999999</v>
      </c>
      <c r="CD4">
        <v>14.138240570000001</v>
      </c>
      <c r="CE4">
        <v>5.9245960499999999</v>
      </c>
      <c r="CF4">
        <v>16.38240575</v>
      </c>
      <c r="CG4">
        <v>16.38240575</v>
      </c>
      <c r="CH4">
        <v>99.999999989000003</v>
      </c>
      <c r="CI4">
        <v>36.865342159999997</v>
      </c>
      <c r="CJ4">
        <v>36.865342159999997</v>
      </c>
      <c r="CK4">
        <v>17.660044150000001</v>
      </c>
      <c r="CL4">
        <v>17.660044150000001</v>
      </c>
      <c r="CM4">
        <v>29.977924940000001</v>
      </c>
      <c r="CN4">
        <v>29.977924940000001</v>
      </c>
      <c r="CO4" t="s">
        <v>69</v>
      </c>
      <c r="CP4">
        <v>0.97130242900000008</v>
      </c>
      <c r="CQ4">
        <v>0.66225165600000002</v>
      </c>
      <c r="CR4">
        <v>0.309050773</v>
      </c>
      <c r="CS4" t="s">
        <v>69</v>
      </c>
      <c r="CT4" t="s">
        <v>69</v>
      </c>
      <c r="CU4" t="s">
        <v>69</v>
      </c>
      <c r="CV4" t="s">
        <v>69</v>
      </c>
      <c r="CW4">
        <v>14.52538631</v>
      </c>
      <c r="CX4">
        <v>100.00000000599999</v>
      </c>
      <c r="CY4">
        <v>35.17039209</v>
      </c>
      <c r="CZ4">
        <v>35.17039209</v>
      </c>
      <c r="DA4" t="s">
        <v>69</v>
      </c>
      <c r="DB4">
        <v>32.143642360000001</v>
      </c>
      <c r="DC4">
        <v>8.9556614140000015</v>
      </c>
      <c r="DD4">
        <v>4.9028948330000004</v>
      </c>
      <c r="DE4">
        <v>4.0527665810000002</v>
      </c>
      <c r="DF4">
        <v>13.34554782</v>
      </c>
      <c r="DG4">
        <v>6.4199340420000004</v>
      </c>
      <c r="DH4">
        <v>0.190545988</v>
      </c>
      <c r="DI4" t="s">
        <v>69</v>
      </c>
      <c r="DJ4" t="s">
        <v>69</v>
      </c>
      <c r="DK4" t="s">
        <v>69</v>
      </c>
      <c r="DL4">
        <v>3.7742762920000001</v>
      </c>
      <c r="DM4">
        <v>99.999999996000014</v>
      </c>
      <c r="DN4">
        <v>37.375521999999997</v>
      </c>
      <c r="DO4">
        <v>37.375521999999997</v>
      </c>
      <c r="DP4">
        <v>0</v>
      </c>
      <c r="DQ4">
        <v>32.637327339999999</v>
      </c>
      <c r="DR4">
        <v>32.637327339999999</v>
      </c>
      <c r="DS4">
        <v>9.1953099900000002</v>
      </c>
      <c r="DT4">
        <v>5.0915515579999999</v>
      </c>
      <c r="DU4">
        <v>4.1037584320000002</v>
      </c>
      <c r="DV4">
        <v>14.51975586</v>
      </c>
      <c r="DW4">
        <v>6.0713138449999997</v>
      </c>
      <c r="DX4">
        <v>0.200770961</v>
      </c>
      <c r="DY4">
        <v>0</v>
      </c>
      <c r="DZ4">
        <v>99.999999998999982</v>
      </c>
      <c r="EA4">
        <v>36.410256410000002</v>
      </c>
      <c r="EB4">
        <v>36.410256410000002</v>
      </c>
      <c r="EC4">
        <v>17.179487179999999</v>
      </c>
      <c r="ED4">
        <v>6.4102564099999997</v>
      </c>
      <c r="EE4">
        <v>10.76923077</v>
      </c>
      <c r="EF4">
        <v>12.051282049999999</v>
      </c>
      <c r="EG4">
        <v>12.051282049999999</v>
      </c>
      <c r="EH4">
        <v>30.76923077</v>
      </c>
      <c r="EI4">
        <v>3.3333333330000001</v>
      </c>
      <c r="EJ4">
        <v>0.256410256</v>
      </c>
      <c r="EK4">
        <v>99.999999991999999</v>
      </c>
      <c r="EL4">
        <v>12.204234120000001</v>
      </c>
      <c r="EM4">
        <v>12.204234120000001</v>
      </c>
      <c r="EN4" t="s">
        <v>69</v>
      </c>
      <c r="EO4">
        <v>22.41594022</v>
      </c>
      <c r="EP4">
        <v>22.41594022</v>
      </c>
      <c r="EQ4">
        <v>0</v>
      </c>
      <c r="ER4" t="s">
        <v>69</v>
      </c>
      <c r="ES4" t="s">
        <v>69</v>
      </c>
      <c r="ET4">
        <v>1.2453300119999999</v>
      </c>
      <c r="EU4">
        <v>1.2453300119999999</v>
      </c>
      <c r="EV4" t="s">
        <v>69</v>
      </c>
      <c r="EW4" t="s">
        <v>69</v>
      </c>
      <c r="EX4">
        <v>64.134495639999997</v>
      </c>
      <c r="EY4">
        <v>21659</v>
      </c>
      <c r="EZ4">
        <v>7071</v>
      </c>
      <c r="FA4">
        <v>697</v>
      </c>
      <c r="FB4" t="s">
        <v>69</v>
      </c>
      <c r="FC4">
        <v>3636</v>
      </c>
      <c r="FD4">
        <v>3035</v>
      </c>
      <c r="FE4">
        <v>3516</v>
      </c>
      <c r="FF4">
        <v>1843</v>
      </c>
      <c r="FG4">
        <v>1511</v>
      </c>
      <c r="FH4" t="s">
        <v>69</v>
      </c>
      <c r="FI4" t="s">
        <v>69</v>
      </c>
      <c r="FJ4" t="s">
        <v>69</v>
      </c>
      <c r="FK4">
        <v>350</v>
      </c>
      <c r="FL4">
        <v>17166</v>
      </c>
      <c r="FM4">
        <v>5848</v>
      </c>
      <c r="FN4">
        <v>473</v>
      </c>
      <c r="FO4">
        <v>2427</v>
      </c>
      <c r="FP4">
        <v>2761</v>
      </c>
      <c r="FQ4">
        <v>1513</v>
      </c>
      <c r="FR4">
        <v>1372</v>
      </c>
      <c r="FS4">
        <v>2751</v>
      </c>
      <c r="FT4">
        <v>21</v>
      </c>
      <c r="FU4">
        <v>2228</v>
      </c>
      <c r="FV4">
        <v>544</v>
      </c>
      <c r="FW4">
        <v>224</v>
      </c>
      <c r="FX4" t="s">
        <v>69</v>
      </c>
      <c r="FY4">
        <v>374</v>
      </c>
      <c r="FZ4">
        <v>274</v>
      </c>
      <c r="GA4">
        <v>315</v>
      </c>
      <c r="GB4">
        <v>132</v>
      </c>
      <c r="GC4">
        <v>365</v>
      </c>
      <c r="GD4">
        <v>2265</v>
      </c>
      <c r="GE4">
        <v>835</v>
      </c>
      <c r="GF4">
        <v>400</v>
      </c>
      <c r="GG4">
        <v>679</v>
      </c>
      <c r="GH4" t="s">
        <v>69</v>
      </c>
      <c r="GI4">
        <v>15</v>
      </c>
      <c r="GJ4">
        <v>7</v>
      </c>
      <c r="GK4" t="s">
        <v>69</v>
      </c>
      <c r="GL4" t="s">
        <v>69</v>
      </c>
      <c r="GM4" t="s">
        <v>69</v>
      </c>
      <c r="GN4">
        <v>329</v>
      </c>
      <c r="GO4">
        <v>13645</v>
      </c>
      <c r="GP4">
        <v>4799</v>
      </c>
      <c r="GQ4" t="s">
        <v>69</v>
      </c>
      <c r="GR4">
        <v>4386</v>
      </c>
      <c r="GS4">
        <v>669</v>
      </c>
      <c r="GT4">
        <v>553</v>
      </c>
      <c r="GU4">
        <v>1821</v>
      </c>
      <c r="GV4">
        <v>876</v>
      </c>
      <c r="GW4">
        <v>756</v>
      </c>
      <c r="GX4">
        <v>120</v>
      </c>
      <c r="GY4" t="s">
        <v>69</v>
      </c>
      <c r="GZ4">
        <v>26</v>
      </c>
      <c r="HA4" t="s">
        <v>69</v>
      </c>
      <c r="HB4" t="s">
        <v>69</v>
      </c>
      <c r="HC4">
        <v>515</v>
      </c>
      <c r="HD4">
        <v>12452</v>
      </c>
      <c r="HE4">
        <v>4654</v>
      </c>
      <c r="HF4">
        <v>0</v>
      </c>
      <c r="HG4">
        <v>4064</v>
      </c>
      <c r="HH4">
        <v>634</v>
      </c>
      <c r="HI4">
        <v>511</v>
      </c>
      <c r="HJ4">
        <v>1808</v>
      </c>
      <c r="HK4">
        <v>756</v>
      </c>
      <c r="HL4">
        <v>25</v>
      </c>
      <c r="HM4">
        <v>0</v>
      </c>
      <c r="HN4">
        <v>390</v>
      </c>
      <c r="HO4">
        <v>142</v>
      </c>
      <c r="HP4">
        <v>25</v>
      </c>
      <c r="HQ4">
        <v>42</v>
      </c>
      <c r="HR4">
        <v>47</v>
      </c>
      <c r="HS4">
        <v>120</v>
      </c>
      <c r="HT4">
        <v>13</v>
      </c>
      <c r="HU4">
        <v>1</v>
      </c>
      <c r="HV4">
        <v>803</v>
      </c>
      <c r="HW4">
        <v>98</v>
      </c>
      <c r="HX4" t="s">
        <v>69</v>
      </c>
      <c r="HY4">
        <v>180</v>
      </c>
      <c r="HZ4">
        <v>0</v>
      </c>
      <c r="IA4" t="s">
        <v>69</v>
      </c>
      <c r="IB4" t="s">
        <v>69</v>
      </c>
      <c r="IC4">
        <v>10</v>
      </c>
      <c r="ID4" t="s">
        <v>69</v>
      </c>
      <c r="IE4">
        <v>515</v>
      </c>
      <c r="IG4">
        <v>56.398429999999998</v>
      </c>
    </row>
    <row r="5" spans="1:241" x14ac:dyDescent="0.25">
      <c r="A5" t="s">
        <v>32</v>
      </c>
      <c r="B5">
        <v>19.302152929999998</v>
      </c>
      <c r="C5">
        <v>18.634001479999998</v>
      </c>
      <c r="D5">
        <v>25.798069779999999</v>
      </c>
      <c r="E5">
        <v>21.826280619999999</v>
      </c>
      <c r="F5">
        <v>7.2011878249999999</v>
      </c>
      <c r="G5">
        <v>3.8975501110000002</v>
      </c>
      <c r="H5">
        <v>0</v>
      </c>
      <c r="I5">
        <v>3.3407572380000001</v>
      </c>
      <c r="J5">
        <v>0</v>
      </c>
      <c r="K5">
        <v>0</v>
      </c>
      <c r="L5">
        <v>90</v>
      </c>
      <c r="M5">
        <v>2694</v>
      </c>
      <c r="N5">
        <v>520</v>
      </c>
      <c r="O5">
        <v>502</v>
      </c>
      <c r="P5">
        <v>695</v>
      </c>
      <c r="Q5">
        <v>588</v>
      </c>
      <c r="R5">
        <v>194</v>
      </c>
      <c r="S5">
        <v>105</v>
      </c>
      <c r="T5">
        <v>0</v>
      </c>
      <c r="U5">
        <v>90</v>
      </c>
      <c r="V5">
        <v>0</v>
      </c>
      <c r="W5">
        <v>0</v>
      </c>
      <c r="X5">
        <v>1555</v>
      </c>
      <c r="Y5">
        <v>432</v>
      </c>
      <c r="Z5">
        <v>447</v>
      </c>
      <c r="AA5">
        <v>354</v>
      </c>
      <c r="AB5">
        <v>171</v>
      </c>
      <c r="AC5">
        <v>46</v>
      </c>
      <c r="AD5">
        <v>15</v>
      </c>
      <c r="AE5">
        <v>0</v>
      </c>
      <c r="AF5">
        <v>90</v>
      </c>
      <c r="AG5">
        <v>0</v>
      </c>
      <c r="AH5">
        <v>1139</v>
      </c>
      <c r="AI5">
        <v>417</v>
      </c>
      <c r="AJ5">
        <v>341</v>
      </c>
      <c r="AK5">
        <v>179</v>
      </c>
      <c r="AL5">
        <v>55</v>
      </c>
      <c r="AM5">
        <v>59</v>
      </c>
      <c r="AN5">
        <v>88</v>
      </c>
      <c r="AO5">
        <v>0</v>
      </c>
      <c r="AP5">
        <v>0</v>
      </c>
      <c r="AQ5">
        <v>0</v>
      </c>
      <c r="AR5">
        <v>38.901601829000001</v>
      </c>
      <c r="AS5">
        <v>35.499618609999999</v>
      </c>
      <c r="AT5">
        <v>3.4019832189999999</v>
      </c>
      <c r="AU5" t="s">
        <v>69</v>
      </c>
      <c r="AV5">
        <v>33.012967200000006</v>
      </c>
      <c r="AW5">
        <v>18.479532160000002</v>
      </c>
      <c r="AX5">
        <v>14.533435040000001</v>
      </c>
      <c r="AY5">
        <v>11.914569029999999</v>
      </c>
      <c r="AZ5">
        <v>11.914569029999999</v>
      </c>
      <c r="BA5">
        <v>14.263920671000001</v>
      </c>
      <c r="BB5">
        <v>7.8159166029999998</v>
      </c>
      <c r="BC5">
        <v>6.4480040680000004</v>
      </c>
      <c r="BD5" t="s">
        <v>69</v>
      </c>
      <c r="BE5" t="s">
        <v>69</v>
      </c>
      <c r="BF5" t="s">
        <v>69</v>
      </c>
      <c r="BG5" t="s">
        <v>69</v>
      </c>
      <c r="BH5">
        <v>1.906941266</v>
      </c>
      <c r="BI5">
        <v>99.999999993999992</v>
      </c>
      <c r="BJ5">
        <v>40.667232485</v>
      </c>
      <c r="BK5">
        <v>37.781549910000003</v>
      </c>
      <c r="BL5">
        <v>2.8856825750000001</v>
      </c>
      <c r="BM5">
        <v>32.767513219999998</v>
      </c>
      <c r="BN5">
        <v>15.87778286</v>
      </c>
      <c r="BO5">
        <v>16.889730360000001</v>
      </c>
      <c r="BP5">
        <v>15.819024613</v>
      </c>
      <c r="BQ5">
        <v>8.3697852059999995</v>
      </c>
      <c r="BR5">
        <v>7.4492394070000003</v>
      </c>
      <c r="BS5">
        <v>10.609127109999999</v>
      </c>
      <c r="BT5">
        <v>10.609127109999999</v>
      </c>
      <c r="BU5">
        <v>0.13710256600000001</v>
      </c>
      <c r="BV5">
        <v>100.000000009</v>
      </c>
      <c r="BW5">
        <v>35.570469799999998</v>
      </c>
      <c r="BX5">
        <v>24.688398849999999</v>
      </c>
      <c r="BY5">
        <v>10.882070949999999</v>
      </c>
      <c r="BZ5">
        <v>33.509108349999998</v>
      </c>
      <c r="CA5">
        <v>20.5177373</v>
      </c>
      <c r="CB5">
        <v>12.99137105</v>
      </c>
      <c r="CC5">
        <v>16.874400768999998</v>
      </c>
      <c r="CD5">
        <v>10.930009589999999</v>
      </c>
      <c r="CE5">
        <v>5.9443911790000001</v>
      </c>
      <c r="CF5">
        <v>14.04602109</v>
      </c>
      <c r="CG5">
        <v>14.04602109</v>
      </c>
      <c r="CH5">
        <v>99.999999997000003</v>
      </c>
      <c r="CI5">
        <v>34.217506630000003</v>
      </c>
      <c r="CJ5">
        <v>34.217506630000003</v>
      </c>
      <c r="CK5">
        <v>18.78868258</v>
      </c>
      <c r="CL5">
        <v>18.78868258</v>
      </c>
      <c r="CM5">
        <v>30.017683470000001</v>
      </c>
      <c r="CN5">
        <v>30.017683470000001</v>
      </c>
      <c r="CO5" t="s">
        <v>69</v>
      </c>
      <c r="CP5">
        <v>1.3262599470000001</v>
      </c>
      <c r="CQ5">
        <v>1.1936339520000001</v>
      </c>
      <c r="CR5">
        <v>0.132625995</v>
      </c>
      <c r="CS5" t="s">
        <v>69</v>
      </c>
      <c r="CT5" t="s">
        <v>69</v>
      </c>
      <c r="CU5" t="s">
        <v>69</v>
      </c>
      <c r="CV5" t="s">
        <v>69</v>
      </c>
      <c r="CW5">
        <v>15.649867370000001</v>
      </c>
      <c r="CX5">
        <v>99.999999997000003</v>
      </c>
      <c r="CY5">
        <v>33.957845429999999</v>
      </c>
      <c r="CZ5">
        <v>33.957845429999999</v>
      </c>
      <c r="DA5" t="s">
        <v>69</v>
      </c>
      <c r="DB5">
        <v>30.012610339999998</v>
      </c>
      <c r="DC5">
        <v>11.367321202999999</v>
      </c>
      <c r="DD5">
        <v>6.3862367139999998</v>
      </c>
      <c r="DE5">
        <v>4.9810844889999997</v>
      </c>
      <c r="DF5">
        <v>13.41199784</v>
      </c>
      <c r="DG5">
        <v>6.9987389660000003</v>
      </c>
      <c r="DH5">
        <v>3.6029543999999997E-2</v>
      </c>
      <c r="DI5" t="s">
        <v>69</v>
      </c>
      <c r="DJ5" t="s">
        <v>69</v>
      </c>
      <c r="DK5" t="s">
        <v>69</v>
      </c>
      <c r="DL5">
        <v>4.2154566740000003</v>
      </c>
      <c r="DM5">
        <v>99.999999996</v>
      </c>
      <c r="DN5">
        <v>36.010493390000001</v>
      </c>
      <c r="DO5">
        <v>36.010493390000001</v>
      </c>
      <c r="DP5">
        <v>0</v>
      </c>
      <c r="DQ5">
        <v>30.894965190000001</v>
      </c>
      <c r="DR5">
        <v>30.894965190000001</v>
      </c>
      <c r="DS5">
        <v>11.754616083</v>
      </c>
      <c r="DT5">
        <v>6.5482796890000001</v>
      </c>
      <c r="DU5">
        <v>5.206336394</v>
      </c>
      <c r="DV5">
        <v>14.83200484</v>
      </c>
      <c r="DW5">
        <v>6.4675612960000004</v>
      </c>
      <c r="DX5">
        <v>4.0359196999999999E-2</v>
      </c>
      <c r="DY5">
        <v>0</v>
      </c>
      <c r="DZ5">
        <v>99.99999999500001</v>
      </c>
      <c r="EA5">
        <v>30.815109339999999</v>
      </c>
      <c r="EB5">
        <v>30.815109339999999</v>
      </c>
      <c r="EC5">
        <v>17.892644131000001</v>
      </c>
      <c r="ED5">
        <v>10.536779320000001</v>
      </c>
      <c r="EE5">
        <v>7.355864811</v>
      </c>
      <c r="EF5">
        <v>20.47713718</v>
      </c>
      <c r="EG5">
        <v>20.47713718</v>
      </c>
      <c r="EH5">
        <v>27.037773359999999</v>
      </c>
      <c r="EI5">
        <v>3.777335984</v>
      </c>
      <c r="EJ5">
        <v>0</v>
      </c>
      <c r="EK5">
        <v>100</v>
      </c>
      <c r="EL5">
        <v>14.24418605</v>
      </c>
      <c r="EM5">
        <v>14.24418605</v>
      </c>
      <c r="EN5" t="s">
        <v>69</v>
      </c>
      <c r="EO5">
        <v>16.71511628</v>
      </c>
      <c r="EP5">
        <v>16.71511628</v>
      </c>
      <c r="EQ5">
        <v>0</v>
      </c>
      <c r="ER5" t="s">
        <v>69</v>
      </c>
      <c r="ES5" t="s">
        <v>69</v>
      </c>
      <c r="ET5">
        <v>1.0174418599999999</v>
      </c>
      <c r="EU5">
        <v>1.0174418599999999</v>
      </c>
      <c r="EV5" t="s">
        <v>69</v>
      </c>
      <c r="EW5" t="s">
        <v>69</v>
      </c>
      <c r="EX5">
        <v>68.023255809999995</v>
      </c>
      <c r="EY5">
        <v>19665</v>
      </c>
      <c r="EZ5">
        <v>6981</v>
      </c>
      <c r="FA5">
        <v>669</v>
      </c>
      <c r="FB5" t="s">
        <v>69</v>
      </c>
      <c r="FC5">
        <v>3634</v>
      </c>
      <c r="FD5">
        <v>2858</v>
      </c>
      <c r="FE5">
        <v>2343</v>
      </c>
      <c r="FF5">
        <v>1537</v>
      </c>
      <c r="FG5">
        <v>1268</v>
      </c>
      <c r="FH5" t="s">
        <v>69</v>
      </c>
      <c r="FI5" t="s">
        <v>69</v>
      </c>
      <c r="FJ5" t="s">
        <v>69</v>
      </c>
      <c r="FK5">
        <v>375</v>
      </c>
      <c r="FL5">
        <v>15317</v>
      </c>
      <c r="FM5">
        <v>5787</v>
      </c>
      <c r="FN5">
        <v>442</v>
      </c>
      <c r="FO5">
        <v>2432</v>
      </c>
      <c r="FP5">
        <v>2587</v>
      </c>
      <c r="FQ5">
        <v>1282</v>
      </c>
      <c r="FR5">
        <v>1141</v>
      </c>
      <c r="FS5">
        <v>1625</v>
      </c>
      <c r="FT5">
        <v>21</v>
      </c>
      <c r="FU5">
        <v>2086</v>
      </c>
      <c r="FV5">
        <v>515</v>
      </c>
      <c r="FW5">
        <v>227</v>
      </c>
      <c r="FX5" t="s">
        <v>69</v>
      </c>
      <c r="FY5">
        <v>428</v>
      </c>
      <c r="FZ5">
        <v>271</v>
      </c>
      <c r="GA5">
        <v>228</v>
      </c>
      <c r="GB5">
        <v>124</v>
      </c>
      <c r="GC5">
        <v>293</v>
      </c>
      <c r="GD5">
        <v>2262</v>
      </c>
      <c r="GE5">
        <v>774</v>
      </c>
      <c r="GF5">
        <v>425</v>
      </c>
      <c r="GG5">
        <v>679</v>
      </c>
      <c r="GH5" t="s">
        <v>69</v>
      </c>
      <c r="GI5">
        <v>27</v>
      </c>
      <c r="GJ5">
        <v>3</v>
      </c>
      <c r="GK5" t="s">
        <v>69</v>
      </c>
      <c r="GL5" t="s">
        <v>69</v>
      </c>
      <c r="GM5" t="s">
        <v>69</v>
      </c>
      <c r="GN5">
        <v>354</v>
      </c>
      <c r="GO5">
        <v>11102</v>
      </c>
      <c r="GP5">
        <v>3770</v>
      </c>
      <c r="GQ5" t="s">
        <v>69</v>
      </c>
      <c r="GR5">
        <v>3332</v>
      </c>
      <c r="GS5">
        <v>709</v>
      </c>
      <c r="GT5">
        <v>553</v>
      </c>
      <c r="GU5">
        <v>1489</v>
      </c>
      <c r="GV5">
        <v>777</v>
      </c>
      <c r="GW5">
        <v>641</v>
      </c>
      <c r="GX5">
        <v>136</v>
      </c>
      <c r="GY5" t="s">
        <v>69</v>
      </c>
      <c r="GZ5">
        <v>4</v>
      </c>
      <c r="HA5" t="s">
        <v>69</v>
      </c>
      <c r="HB5" t="s">
        <v>69</v>
      </c>
      <c r="HC5">
        <v>468</v>
      </c>
      <c r="HD5">
        <v>9911</v>
      </c>
      <c r="HE5">
        <v>3569</v>
      </c>
      <c r="HF5">
        <v>0</v>
      </c>
      <c r="HG5">
        <v>3062</v>
      </c>
      <c r="HH5">
        <v>649</v>
      </c>
      <c r="HI5">
        <v>516</v>
      </c>
      <c r="HJ5">
        <v>1470</v>
      </c>
      <c r="HK5">
        <v>641</v>
      </c>
      <c r="HL5">
        <v>4</v>
      </c>
      <c r="HM5">
        <v>0</v>
      </c>
      <c r="HN5">
        <v>503</v>
      </c>
      <c r="HO5">
        <v>155</v>
      </c>
      <c r="HP5">
        <v>53</v>
      </c>
      <c r="HQ5">
        <v>37</v>
      </c>
      <c r="HR5">
        <v>103</v>
      </c>
      <c r="HS5">
        <v>136</v>
      </c>
      <c r="HT5">
        <v>19</v>
      </c>
      <c r="HU5">
        <v>0</v>
      </c>
      <c r="HV5">
        <v>688</v>
      </c>
      <c r="HW5">
        <v>98</v>
      </c>
      <c r="HX5" t="s">
        <v>69</v>
      </c>
      <c r="HY5">
        <v>115</v>
      </c>
      <c r="HZ5">
        <v>0</v>
      </c>
      <c r="IA5" t="s">
        <v>69</v>
      </c>
      <c r="IB5" t="s">
        <v>69</v>
      </c>
      <c r="IC5">
        <v>7</v>
      </c>
      <c r="ID5" t="s">
        <v>69</v>
      </c>
      <c r="IE5">
        <v>468</v>
      </c>
      <c r="IG5">
        <v>51.256466000000003</v>
      </c>
    </row>
    <row r="6" spans="1:241" x14ac:dyDescent="0.25">
      <c r="A6" t="s">
        <v>33</v>
      </c>
      <c r="B6">
        <v>17.246835440000002</v>
      </c>
      <c r="C6">
        <v>18.789556959999999</v>
      </c>
      <c r="D6">
        <v>28.955696199999998</v>
      </c>
      <c r="E6">
        <v>20.45094937</v>
      </c>
      <c r="F6">
        <v>7.2784810130000004</v>
      </c>
      <c r="G6">
        <v>4.4303797469999999</v>
      </c>
      <c r="H6">
        <v>3.9556962000000001E-2</v>
      </c>
      <c r="I6">
        <v>2.768987342</v>
      </c>
      <c r="J6">
        <v>3.9556962000000001E-2</v>
      </c>
      <c r="K6">
        <v>0</v>
      </c>
      <c r="L6">
        <v>70</v>
      </c>
      <c r="M6">
        <v>2528</v>
      </c>
      <c r="N6">
        <v>436</v>
      </c>
      <c r="O6">
        <v>475</v>
      </c>
      <c r="P6">
        <v>732</v>
      </c>
      <c r="Q6">
        <v>517</v>
      </c>
      <c r="R6">
        <v>184</v>
      </c>
      <c r="S6">
        <v>112</v>
      </c>
      <c r="T6">
        <v>1</v>
      </c>
      <c r="U6">
        <v>70</v>
      </c>
      <c r="V6">
        <v>1</v>
      </c>
      <c r="W6">
        <v>0</v>
      </c>
      <c r="X6">
        <v>1406</v>
      </c>
      <c r="Y6">
        <v>355</v>
      </c>
      <c r="Z6">
        <v>400</v>
      </c>
      <c r="AA6">
        <v>431</v>
      </c>
      <c r="AB6">
        <v>103</v>
      </c>
      <c r="AC6">
        <v>30</v>
      </c>
      <c r="AD6">
        <v>17</v>
      </c>
      <c r="AE6">
        <v>0</v>
      </c>
      <c r="AF6">
        <v>70</v>
      </c>
      <c r="AG6">
        <v>0</v>
      </c>
      <c r="AH6">
        <v>1122</v>
      </c>
      <c r="AI6">
        <v>414</v>
      </c>
      <c r="AJ6">
        <v>301</v>
      </c>
      <c r="AK6">
        <v>167</v>
      </c>
      <c r="AL6">
        <v>75</v>
      </c>
      <c r="AM6">
        <v>82</v>
      </c>
      <c r="AN6">
        <v>81</v>
      </c>
      <c r="AO6">
        <v>1</v>
      </c>
      <c r="AP6">
        <v>1</v>
      </c>
      <c r="AQ6">
        <v>0</v>
      </c>
      <c r="AR6">
        <v>38.377549179999995</v>
      </c>
      <c r="AS6">
        <v>34.799675149999999</v>
      </c>
      <c r="AT6">
        <v>3.5778740299999998</v>
      </c>
      <c r="AU6" t="s">
        <v>69</v>
      </c>
      <c r="AV6">
        <v>30.450279729999998</v>
      </c>
      <c r="AW6">
        <v>16.67569031</v>
      </c>
      <c r="AX6">
        <v>13.77458942</v>
      </c>
      <c r="AY6">
        <v>11.2524815</v>
      </c>
      <c r="AZ6">
        <v>11.2524815</v>
      </c>
      <c r="BA6">
        <v>17.632196354999998</v>
      </c>
      <c r="BB6">
        <v>8.7303735790000001</v>
      </c>
      <c r="BC6">
        <v>8.9018227759999995</v>
      </c>
      <c r="BD6" t="s">
        <v>69</v>
      </c>
      <c r="BE6" t="s">
        <v>69</v>
      </c>
      <c r="BF6" t="s">
        <v>69</v>
      </c>
      <c r="BG6" t="s">
        <v>69</v>
      </c>
      <c r="BH6">
        <v>2.2874932320000001</v>
      </c>
      <c r="BI6">
        <v>100.00000000400001</v>
      </c>
      <c r="BJ6">
        <v>39.705372616000005</v>
      </c>
      <c r="BK6">
        <v>36.470248410000004</v>
      </c>
      <c r="BL6">
        <v>3.2351242060000001</v>
      </c>
      <c r="BM6">
        <v>30.681686890000002</v>
      </c>
      <c r="BN6">
        <v>14.615829</v>
      </c>
      <c r="BO6">
        <v>16.06585789</v>
      </c>
      <c r="BP6">
        <v>19.607163491000001</v>
      </c>
      <c r="BQ6">
        <v>9.4165222409999991</v>
      </c>
      <c r="BR6">
        <v>10.190641250000001</v>
      </c>
      <c r="BS6">
        <v>9.8786828419999999</v>
      </c>
      <c r="BT6">
        <v>9.8786828419999999</v>
      </c>
      <c r="BU6">
        <v>0.12709416500000001</v>
      </c>
      <c r="BV6">
        <v>100.000000009</v>
      </c>
      <c r="BW6">
        <v>37.610976598999997</v>
      </c>
      <c r="BX6">
        <v>28.208232450000001</v>
      </c>
      <c r="BY6">
        <v>9.4027441490000001</v>
      </c>
      <c r="BZ6">
        <v>26.795803069999998</v>
      </c>
      <c r="CA6">
        <v>15.81920904</v>
      </c>
      <c r="CB6">
        <v>10.976594029999999</v>
      </c>
      <c r="CC6">
        <v>18.684422919999999</v>
      </c>
      <c r="CD6">
        <v>10.85552865</v>
      </c>
      <c r="CE6">
        <v>7.8288942700000002</v>
      </c>
      <c r="CF6">
        <v>16.908797419999999</v>
      </c>
      <c r="CG6">
        <v>16.908797419999999</v>
      </c>
      <c r="CH6">
        <v>99.999999996</v>
      </c>
      <c r="CI6">
        <v>32.575757580000001</v>
      </c>
      <c r="CJ6">
        <v>32.575757580000001</v>
      </c>
      <c r="CK6">
        <v>15.361952860000001</v>
      </c>
      <c r="CL6">
        <v>15.361952860000001</v>
      </c>
      <c r="CM6">
        <v>29.503367000000001</v>
      </c>
      <c r="CN6">
        <v>29.503367000000001</v>
      </c>
      <c r="CO6" t="s">
        <v>69</v>
      </c>
      <c r="CP6">
        <v>2.1464646460000001</v>
      </c>
      <c r="CQ6">
        <v>1.5151515149999999</v>
      </c>
      <c r="CR6">
        <v>0.63131313099999997</v>
      </c>
      <c r="CS6" t="s">
        <v>69</v>
      </c>
      <c r="CT6" t="s">
        <v>69</v>
      </c>
      <c r="CU6" t="s">
        <v>69</v>
      </c>
      <c r="CV6" t="s">
        <v>69</v>
      </c>
      <c r="CW6">
        <v>20.412457910000001</v>
      </c>
      <c r="CX6">
        <v>99.999999990999996</v>
      </c>
      <c r="CY6">
        <v>34.130169250000002</v>
      </c>
      <c r="CZ6">
        <v>34.130169250000002</v>
      </c>
      <c r="DA6" t="s">
        <v>69</v>
      </c>
      <c r="DB6">
        <v>25.693596230000001</v>
      </c>
      <c r="DC6">
        <v>10.469377072</v>
      </c>
      <c r="DD6">
        <v>5.9762694119999997</v>
      </c>
      <c r="DE6">
        <v>4.4931076599999997</v>
      </c>
      <c r="DF6">
        <v>16.637585059999999</v>
      </c>
      <c r="DG6">
        <v>8.5499912760000001</v>
      </c>
      <c r="DH6">
        <v>0</v>
      </c>
      <c r="DI6" t="s">
        <v>69</v>
      </c>
      <c r="DJ6" t="s">
        <v>69</v>
      </c>
      <c r="DK6" t="s">
        <v>69</v>
      </c>
      <c r="DL6">
        <v>4.519281103</v>
      </c>
      <c r="DM6">
        <v>100.000000004</v>
      </c>
      <c r="DN6">
        <v>36.335313020000001</v>
      </c>
      <c r="DO6">
        <v>36.335313020000001</v>
      </c>
      <c r="DP6">
        <v>0</v>
      </c>
      <c r="DQ6">
        <v>26.35575893</v>
      </c>
      <c r="DR6">
        <v>26.35575893</v>
      </c>
      <c r="DS6">
        <v>10.748709959999999</v>
      </c>
      <c r="DT6">
        <v>6.0850939540000004</v>
      </c>
      <c r="DU6">
        <v>4.6636160059999998</v>
      </c>
      <c r="DV6">
        <v>18.381851820000001</v>
      </c>
      <c r="DW6">
        <v>8.178366274</v>
      </c>
      <c r="DX6">
        <v>0</v>
      </c>
      <c r="DY6">
        <v>0</v>
      </c>
      <c r="DZ6">
        <v>100.000000005</v>
      </c>
      <c r="EA6">
        <v>27.13004484</v>
      </c>
      <c r="EB6">
        <v>27.13004484</v>
      </c>
      <c r="EC6">
        <v>19.730941709</v>
      </c>
      <c r="ED6">
        <v>11.65919283</v>
      </c>
      <c r="EE6">
        <v>8.0717488789999994</v>
      </c>
      <c r="EF6">
        <v>17.488789239999999</v>
      </c>
      <c r="EG6">
        <v>17.488789239999999</v>
      </c>
      <c r="EH6">
        <v>31.390134530000001</v>
      </c>
      <c r="EI6">
        <v>4.2600896859999997</v>
      </c>
      <c r="EJ6">
        <v>0</v>
      </c>
      <c r="EK6">
        <v>100.000000003</v>
      </c>
      <c r="EL6">
        <v>13.691275170000001</v>
      </c>
      <c r="EM6">
        <v>13.691275170000001</v>
      </c>
      <c r="EN6" t="s">
        <v>69</v>
      </c>
      <c r="EO6">
        <v>15.70469799</v>
      </c>
      <c r="EP6">
        <v>15.70469799</v>
      </c>
      <c r="EQ6">
        <v>0</v>
      </c>
      <c r="ER6" t="s">
        <v>69</v>
      </c>
      <c r="ES6" t="s">
        <v>69</v>
      </c>
      <c r="ET6">
        <v>1.0738255029999999</v>
      </c>
      <c r="EU6">
        <v>1.0738255029999999</v>
      </c>
      <c r="EV6" t="s">
        <v>69</v>
      </c>
      <c r="EW6" t="s">
        <v>69</v>
      </c>
      <c r="EX6">
        <v>69.530201340000005</v>
      </c>
      <c r="EY6">
        <v>22164</v>
      </c>
      <c r="EZ6">
        <v>7713</v>
      </c>
      <c r="FA6">
        <v>793</v>
      </c>
      <c r="FB6" t="s">
        <v>69</v>
      </c>
      <c r="FC6">
        <v>3696</v>
      </c>
      <c r="FD6">
        <v>3053</v>
      </c>
      <c r="FE6">
        <v>2494</v>
      </c>
      <c r="FF6">
        <v>1935</v>
      </c>
      <c r="FG6">
        <v>1973</v>
      </c>
      <c r="FH6" t="s">
        <v>69</v>
      </c>
      <c r="FI6" t="s">
        <v>69</v>
      </c>
      <c r="FJ6" t="s">
        <v>69</v>
      </c>
      <c r="FK6">
        <v>507</v>
      </c>
      <c r="FL6">
        <v>17310</v>
      </c>
      <c r="FM6">
        <v>6313</v>
      </c>
      <c r="FN6">
        <v>560</v>
      </c>
      <c r="FO6">
        <v>2530</v>
      </c>
      <c r="FP6">
        <v>2781</v>
      </c>
      <c r="FQ6">
        <v>1630</v>
      </c>
      <c r="FR6">
        <v>1764</v>
      </c>
      <c r="FS6">
        <v>1710</v>
      </c>
      <c r="FT6">
        <v>22</v>
      </c>
      <c r="FU6">
        <v>2478</v>
      </c>
      <c r="FV6">
        <v>699</v>
      </c>
      <c r="FW6">
        <v>233</v>
      </c>
      <c r="FX6" t="s">
        <v>69</v>
      </c>
      <c r="FY6">
        <v>392</v>
      </c>
      <c r="FZ6">
        <v>272</v>
      </c>
      <c r="GA6">
        <v>269</v>
      </c>
      <c r="GB6">
        <v>194</v>
      </c>
      <c r="GC6">
        <v>419</v>
      </c>
      <c r="GD6">
        <v>2376</v>
      </c>
      <c r="GE6">
        <v>774</v>
      </c>
      <c r="GF6">
        <v>365</v>
      </c>
      <c r="GG6">
        <v>701</v>
      </c>
      <c r="GH6" t="s">
        <v>69</v>
      </c>
      <c r="GI6">
        <v>36</v>
      </c>
      <c r="GJ6">
        <v>15</v>
      </c>
      <c r="GK6" t="s">
        <v>69</v>
      </c>
      <c r="GL6" t="s">
        <v>69</v>
      </c>
      <c r="GM6" t="s">
        <v>69</v>
      </c>
      <c r="GN6">
        <v>485</v>
      </c>
      <c r="GO6">
        <v>11462</v>
      </c>
      <c r="GP6">
        <v>3912</v>
      </c>
      <c r="GQ6" t="s">
        <v>69</v>
      </c>
      <c r="GR6">
        <v>2945</v>
      </c>
      <c r="GS6">
        <v>685</v>
      </c>
      <c r="GT6">
        <v>515</v>
      </c>
      <c r="GU6">
        <v>1907</v>
      </c>
      <c r="GV6">
        <v>980</v>
      </c>
      <c r="GW6">
        <v>840</v>
      </c>
      <c r="GX6">
        <v>140</v>
      </c>
      <c r="GY6" t="s">
        <v>69</v>
      </c>
      <c r="GZ6">
        <v>0</v>
      </c>
      <c r="HA6" t="s">
        <v>69</v>
      </c>
      <c r="HB6" t="s">
        <v>69</v>
      </c>
      <c r="HC6">
        <v>518</v>
      </c>
      <c r="HD6">
        <v>10271</v>
      </c>
      <c r="HE6">
        <v>3732</v>
      </c>
      <c r="HF6">
        <v>0</v>
      </c>
      <c r="HG6">
        <v>2707</v>
      </c>
      <c r="HH6">
        <v>625</v>
      </c>
      <c r="HI6">
        <v>479</v>
      </c>
      <c r="HJ6">
        <v>1888</v>
      </c>
      <c r="HK6">
        <v>840</v>
      </c>
      <c r="HL6">
        <v>0</v>
      </c>
      <c r="HM6">
        <v>0</v>
      </c>
      <c r="HN6">
        <v>446</v>
      </c>
      <c r="HO6">
        <v>121</v>
      </c>
      <c r="HP6">
        <v>52</v>
      </c>
      <c r="HQ6">
        <v>36</v>
      </c>
      <c r="HR6">
        <v>78</v>
      </c>
      <c r="HS6">
        <v>140</v>
      </c>
      <c r="HT6">
        <v>19</v>
      </c>
      <c r="HU6">
        <v>0</v>
      </c>
      <c r="HV6">
        <v>745</v>
      </c>
      <c r="HW6">
        <v>102</v>
      </c>
      <c r="HX6" t="s">
        <v>69</v>
      </c>
      <c r="HY6">
        <v>117</v>
      </c>
      <c r="HZ6">
        <v>0</v>
      </c>
      <c r="IA6" t="s">
        <v>69</v>
      </c>
      <c r="IB6" t="s">
        <v>69</v>
      </c>
      <c r="IC6">
        <v>8</v>
      </c>
      <c r="ID6" t="s">
        <v>69</v>
      </c>
      <c r="IE6">
        <v>518</v>
      </c>
      <c r="IG6">
        <v>58.862026</v>
      </c>
    </row>
    <row r="7" spans="1:241" x14ac:dyDescent="0.25">
      <c r="A7" t="s">
        <v>34</v>
      </c>
      <c r="B7">
        <v>17.11250983</v>
      </c>
      <c r="C7">
        <v>17.427222660000002</v>
      </c>
      <c r="D7">
        <v>28.363493309999999</v>
      </c>
      <c r="E7">
        <v>21.36113297</v>
      </c>
      <c r="F7">
        <v>8.0645161289999994</v>
      </c>
      <c r="G7">
        <v>4.2879622340000001</v>
      </c>
      <c r="H7">
        <v>0.236034618</v>
      </c>
      <c r="I7">
        <v>3.068450039</v>
      </c>
      <c r="J7">
        <v>0</v>
      </c>
      <c r="K7">
        <v>7.8678206000000001E-2</v>
      </c>
      <c r="L7">
        <v>78</v>
      </c>
      <c r="M7">
        <v>2542</v>
      </c>
      <c r="N7">
        <v>435</v>
      </c>
      <c r="O7">
        <v>443</v>
      </c>
      <c r="P7">
        <v>721</v>
      </c>
      <c r="Q7">
        <v>543</v>
      </c>
      <c r="R7">
        <v>205</v>
      </c>
      <c r="S7">
        <v>109</v>
      </c>
      <c r="T7">
        <v>6</v>
      </c>
      <c r="U7">
        <v>78</v>
      </c>
      <c r="V7">
        <v>0</v>
      </c>
      <c r="W7">
        <v>2</v>
      </c>
      <c r="X7">
        <v>1486</v>
      </c>
      <c r="Y7">
        <v>365</v>
      </c>
      <c r="Z7">
        <v>388</v>
      </c>
      <c r="AA7">
        <v>404</v>
      </c>
      <c r="AB7">
        <v>189</v>
      </c>
      <c r="AC7">
        <v>43</v>
      </c>
      <c r="AD7">
        <v>17</v>
      </c>
      <c r="AE7">
        <v>0</v>
      </c>
      <c r="AF7">
        <v>78</v>
      </c>
      <c r="AG7">
        <v>2</v>
      </c>
      <c r="AH7">
        <v>1056</v>
      </c>
      <c r="AI7">
        <v>354</v>
      </c>
      <c r="AJ7">
        <v>317</v>
      </c>
      <c r="AK7">
        <v>188</v>
      </c>
      <c r="AL7">
        <v>55</v>
      </c>
      <c r="AM7">
        <v>66</v>
      </c>
      <c r="AN7">
        <v>70</v>
      </c>
      <c r="AO7">
        <v>6</v>
      </c>
      <c r="AP7">
        <v>0</v>
      </c>
      <c r="AQ7">
        <v>0</v>
      </c>
      <c r="AR7">
        <v>42.551566078</v>
      </c>
      <c r="AS7">
        <v>39.605614969999998</v>
      </c>
      <c r="AT7">
        <v>2.945951108</v>
      </c>
      <c r="AU7" t="s">
        <v>69</v>
      </c>
      <c r="AV7">
        <v>30.12796028</v>
      </c>
      <c r="AW7">
        <v>16.992933539999999</v>
      </c>
      <c r="AX7">
        <v>13.135026740000001</v>
      </c>
      <c r="AY7">
        <v>10.695187170000001</v>
      </c>
      <c r="AZ7">
        <v>10.695187170000001</v>
      </c>
      <c r="BA7">
        <v>14.581741788</v>
      </c>
      <c r="BB7">
        <v>7.8924751720000001</v>
      </c>
      <c r="BC7">
        <v>6.6892666160000003</v>
      </c>
      <c r="BD7" t="s">
        <v>69</v>
      </c>
      <c r="BE7" t="s">
        <v>69</v>
      </c>
      <c r="BF7" t="s">
        <v>69</v>
      </c>
      <c r="BG7" t="s">
        <v>69</v>
      </c>
      <c r="BH7">
        <v>2.0435446910000001</v>
      </c>
      <c r="BI7">
        <v>100.000000003</v>
      </c>
      <c r="BJ7">
        <v>44.959379616</v>
      </c>
      <c r="BK7">
        <v>42.46676514</v>
      </c>
      <c r="BL7">
        <v>2.492614476</v>
      </c>
      <c r="BM7">
        <v>29.960610540000001</v>
      </c>
      <c r="BN7">
        <v>14.8572132</v>
      </c>
      <c r="BO7">
        <v>15.103397340000001</v>
      </c>
      <c r="BP7">
        <v>15.552683407</v>
      </c>
      <c r="BQ7">
        <v>8.3148695220000004</v>
      </c>
      <c r="BR7">
        <v>7.2378138849999996</v>
      </c>
      <c r="BS7">
        <v>9.4596257999999995</v>
      </c>
      <c r="BT7">
        <v>9.4596257999999995</v>
      </c>
      <c r="BU7">
        <v>6.7700640000000006E-2</v>
      </c>
      <c r="BV7">
        <v>99.999999991999999</v>
      </c>
      <c r="BW7">
        <v>38.7473904</v>
      </c>
      <c r="BX7">
        <v>29.89561587</v>
      </c>
      <c r="BY7">
        <v>8.8517745300000001</v>
      </c>
      <c r="BZ7">
        <v>29.853862209999999</v>
      </c>
      <c r="CA7">
        <v>17.45302714</v>
      </c>
      <c r="CB7">
        <v>12.400835069999999</v>
      </c>
      <c r="CC7">
        <v>17.661795401999999</v>
      </c>
      <c r="CD7">
        <v>10.605427969999999</v>
      </c>
      <c r="CE7">
        <v>7.0563674320000001</v>
      </c>
      <c r="CF7">
        <v>13.736951980000001</v>
      </c>
      <c r="CG7">
        <v>13.736951980000001</v>
      </c>
      <c r="CH7">
        <v>99.999999991999999</v>
      </c>
      <c r="CI7">
        <v>31.59495871</v>
      </c>
      <c r="CJ7">
        <v>31.59495871</v>
      </c>
      <c r="CK7">
        <v>16.253802690000001</v>
      </c>
      <c r="CL7">
        <v>16.253802690000001</v>
      </c>
      <c r="CM7">
        <v>29.508909169999999</v>
      </c>
      <c r="CN7">
        <v>29.508909169999999</v>
      </c>
      <c r="CO7" t="s">
        <v>69</v>
      </c>
      <c r="CP7">
        <v>4.5197740120000001</v>
      </c>
      <c r="CQ7">
        <v>2.0860495440000002</v>
      </c>
      <c r="CR7">
        <v>2.4337244679999999</v>
      </c>
      <c r="CS7" t="s">
        <v>69</v>
      </c>
      <c r="CT7" t="s">
        <v>69</v>
      </c>
      <c r="CU7" t="s">
        <v>69</v>
      </c>
      <c r="CV7" t="s">
        <v>69</v>
      </c>
      <c r="CW7">
        <v>18.12255541</v>
      </c>
      <c r="CX7">
        <v>100.00000000000001</v>
      </c>
      <c r="CY7">
        <v>40.857168969999996</v>
      </c>
      <c r="CZ7">
        <v>40.857168969999996</v>
      </c>
      <c r="DA7" t="s">
        <v>69</v>
      </c>
      <c r="DB7">
        <v>24.061043590000001</v>
      </c>
      <c r="DC7">
        <v>11.687836973</v>
      </c>
      <c r="DD7">
        <v>6.19574157</v>
      </c>
      <c r="DE7">
        <v>5.4920954030000004</v>
      </c>
      <c r="DF7">
        <v>11.687836969999999</v>
      </c>
      <c r="DG7">
        <v>7.7583843549999996</v>
      </c>
      <c r="DH7">
        <v>0</v>
      </c>
      <c r="DI7" t="s">
        <v>69</v>
      </c>
      <c r="DJ7" t="s">
        <v>69</v>
      </c>
      <c r="DK7" t="s">
        <v>69</v>
      </c>
      <c r="DL7">
        <v>3.947729142</v>
      </c>
      <c r="DM7">
        <v>100.00000000200001</v>
      </c>
      <c r="DN7">
        <v>44.06883835</v>
      </c>
      <c r="DO7">
        <v>44.06883835</v>
      </c>
      <c r="DP7">
        <v>0</v>
      </c>
      <c r="DQ7">
        <v>24.28805573</v>
      </c>
      <c r="DR7">
        <v>24.28805573</v>
      </c>
      <c r="DS7">
        <v>11.647203442</v>
      </c>
      <c r="DT7">
        <v>6.2487195250000003</v>
      </c>
      <c r="DU7">
        <v>5.3984839170000001</v>
      </c>
      <c r="DV7">
        <v>12.989141569999999</v>
      </c>
      <c r="DW7">
        <v>7.0067609099999997</v>
      </c>
      <c r="DX7">
        <v>0</v>
      </c>
      <c r="DY7">
        <v>0</v>
      </c>
      <c r="DZ7">
        <v>100.00000000599999</v>
      </c>
      <c r="EA7">
        <v>28.59813084</v>
      </c>
      <c r="EB7">
        <v>28.59813084</v>
      </c>
      <c r="EC7">
        <v>25.233644859999998</v>
      </c>
      <c r="ED7">
        <v>11.40186916</v>
      </c>
      <c r="EE7">
        <v>13.8317757</v>
      </c>
      <c r="EF7">
        <v>13.271028039999999</v>
      </c>
      <c r="EG7">
        <v>13.271028039999999</v>
      </c>
      <c r="EH7">
        <v>30.8411215</v>
      </c>
      <c r="EI7">
        <v>2.0560747660000001</v>
      </c>
      <c r="EJ7">
        <v>0</v>
      </c>
      <c r="EK7">
        <v>100.000000011</v>
      </c>
      <c r="EL7">
        <v>15.170278639999999</v>
      </c>
      <c r="EM7">
        <v>15.170278639999999</v>
      </c>
      <c r="EN7" t="s">
        <v>69</v>
      </c>
      <c r="EO7">
        <v>16.873065019999999</v>
      </c>
      <c r="EP7">
        <v>16.873065019999999</v>
      </c>
      <c r="EQ7">
        <v>0</v>
      </c>
      <c r="ER7" t="s">
        <v>69</v>
      </c>
      <c r="ES7" t="s">
        <v>69</v>
      </c>
      <c r="ET7">
        <v>1.083591331</v>
      </c>
      <c r="EU7">
        <v>1.083591331</v>
      </c>
      <c r="EV7" t="s">
        <v>69</v>
      </c>
      <c r="EW7" t="s">
        <v>69</v>
      </c>
      <c r="EX7">
        <v>66.873065019999999</v>
      </c>
      <c r="EY7">
        <v>20944</v>
      </c>
      <c r="EZ7">
        <v>8295</v>
      </c>
      <c r="FA7">
        <v>617</v>
      </c>
      <c r="FB7" t="s">
        <v>69</v>
      </c>
      <c r="FC7">
        <v>3559</v>
      </c>
      <c r="FD7">
        <v>2751</v>
      </c>
      <c r="FE7">
        <v>2240</v>
      </c>
      <c r="FF7">
        <v>1653</v>
      </c>
      <c r="FG7">
        <v>1401</v>
      </c>
      <c r="FH7" t="s">
        <v>69</v>
      </c>
      <c r="FI7" t="s">
        <v>69</v>
      </c>
      <c r="FJ7" t="s">
        <v>69</v>
      </c>
      <c r="FK7">
        <v>428</v>
      </c>
      <c r="FL7">
        <v>16248</v>
      </c>
      <c r="FM7">
        <v>6900</v>
      </c>
      <c r="FN7">
        <v>405</v>
      </c>
      <c r="FO7">
        <v>2414</v>
      </c>
      <c r="FP7">
        <v>2454</v>
      </c>
      <c r="FQ7">
        <v>1351</v>
      </c>
      <c r="FR7">
        <v>1176</v>
      </c>
      <c r="FS7">
        <v>1537</v>
      </c>
      <c r="FT7">
        <v>11</v>
      </c>
      <c r="FU7">
        <v>2395</v>
      </c>
      <c r="FV7">
        <v>716</v>
      </c>
      <c r="FW7">
        <v>212</v>
      </c>
      <c r="FX7" t="s">
        <v>69</v>
      </c>
      <c r="FY7">
        <v>418</v>
      </c>
      <c r="FZ7">
        <v>297</v>
      </c>
      <c r="GA7">
        <v>254</v>
      </c>
      <c r="GB7">
        <v>169</v>
      </c>
      <c r="GC7">
        <v>329</v>
      </c>
      <c r="GD7">
        <v>2301</v>
      </c>
      <c r="GE7">
        <v>727</v>
      </c>
      <c r="GF7">
        <v>374</v>
      </c>
      <c r="GG7">
        <v>679</v>
      </c>
      <c r="GH7" t="s">
        <v>69</v>
      </c>
      <c r="GI7">
        <v>48</v>
      </c>
      <c r="GJ7">
        <v>56</v>
      </c>
      <c r="GK7" t="s">
        <v>69</v>
      </c>
      <c r="GL7" t="s">
        <v>69</v>
      </c>
      <c r="GM7" t="s">
        <v>69</v>
      </c>
      <c r="GN7">
        <v>417</v>
      </c>
      <c r="GO7">
        <v>10943</v>
      </c>
      <c r="GP7">
        <v>4471</v>
      </c>
      <c r="GQ7" t="s">
        <v>69</v>
      </c>
      <c r="GR7">
        <v>2633</v>
      </c>
      <c r="GS7">
        <v>678</v>
      </c>
      <c r="GT7">
        <v>601</v>
      </c>
      <c r="GU7">
        <v>1279</v>
      </c>
      <c r="GV7">
        <v>849</v>
      </c>
      <c r="GW7">
        <v>684</v>
      </c>
      <c r="GX7">
        <v>165</v>
      </c>
      <c r="GY7" t="s">
        <v>69</v>
      </c>
      <c r="GZ7">
        <v>0</v>
      </c>
      <c r="HA7" t="s">
        <v>69</v>
      </c>
      <c r="HB7" t="s">
        <v>69</v>
      </c>
      <c r="HC7">
        <v>432</v>
      </c>
      <c r="HD7">
        <v>9762</v>
      </c>
      <c r="HE7">
        <v>4302</v>
      </c>
      <c r="HF7">
        <v>0</v>
      </c>
      <c r="HG7">
        <v>2371</v>
      </c>
      <c r="HH7">
        <v>610</v>
      </c>
      <c r="HI7">
        <v>527</v>
      </c>
      <c r="HJ7">
        <v>1268</v>
      </c>
      <c r="HK7">
        <v>684</v>
      </c>
      <c r="HL7">
        <v>0</v>
      </c>
      <c r="HM7">
        <v>0</v>
      </c>
      <c r="HN7">
        <v>535</v>
      </c>
      <c r="HO7">
        <v>153</v>
      </c>
      <c r="HP7">
        <v>61</v>
      </c>
      <c r="HQ7">
        <v>74</v>
      </c>
      <c r="HR7">
        <v>71</v>
      </c>
      <c r="HS7">
        <v>165</v>
      </c>
      <c r="HT7">
        <v>11</v>
      </c>
      <c r="HU7">
        <v>0</v>
      </c>
      <c r="HV7">
        <v>646</v>
      </c>
      <c r="HW7">
        <v>98</v>
      </c>
      <c r="HX7" t="s">
        <v>69</v>
      </c>
      <c r="HY7">
        <v>109</v>
      </c>
      <c r="HZ7">
        <v>0</v>
      </c>
      <c r="IA7" t="s">
        <v>69</v>
      </c>
      <c r="IB7" t="s">
        <v>69</v>
      </c>
      <c r="IC7">
        <v>7</v>
      </c>
      <c r="ID7" t="s">
        <v>69</v>
      </c>
      <c r="IE7">
        <v>432</v>
      </c>
      <c r="IG7">
        <v>60.393943999999998</v>
      </c>
    </row>
    <row r="8" spans="1:241" x14ac:dyDescent="0.25">
      <c r="A8" t="s">
        <v>35</v>
      </c>
      <c r="B8">
        <v>15.54921541</v>
      </c>
      <c r="C8">
        <v>19.163100329999999</v>
      </c>
      <c r="D8">
        <v>25.3447456</v>
      </c>
      <c r="E8">
        <v>24.63147884</v>
      </c>
      <c r="F8">
        <v>7.5130765569999998</v>
      </c>
      <c r="G8">
        <v>5.0404184499999998</v>
      </c>
      <c r="H8">
        <v>0.33285782200000003</v>
      </c>
      <c r="I8">
        <v>2.4251069900000002</v>
      </c>
      <c r="J8">
        <v>0</v>
      </c>
      <c r="K8">
        <v>0</v>
      </c>
      <c r="L8">
        <v>51</v>
      </c>
      <c r="M8">
        <v>2103</v>
      </c>
      <c r="N8">
        <v>327</v>
      </c>
      <c r="O8">
        <v>403</v>
      </c>
      <c r="P8">
        <v>533</v>
      </c>
      <c r="Q8">
        <v>518</v>
      </c>
      <c r="R8">
        <v>158</v>
      </c>
      <c r="S8">
        <v>106</v>
      </c>
      <c r="T8">
        <v>7</v>
      </c>
      <c r="U8">
        <v>51</v>
      </c>
      <c r="V8">
        <v>0</v>
      </c>
      <c r="W8">
        <v>0</v>
      </c>
      <c r="X8">
        <v>1308</v>
      </c>
      <c r="Y8">
        <v>281</v>
      </c>
      <c r="Z8">
        <v>358</v>
      </c>
      <c r="AA8">
        <v>308</v>
      </c>
      <c r="AB8">
        <v>239</v>
      </c>
      <c r="AC8">
        <v>60</v>
      </c>
      <c r="AD8">
        <v>11</v>
      </c>
      <c r="AE8">
        <v>0</v>
      </c>
      <c r="AF8">
        <v>51</v>
      </c>
      <c r="AG8">
        <v>0</v>
      </c>
      <c r="AH8">
        <v>795</v>
      </c>
      <c r="AI8">
        <v>279</v>
      </c>
      <c r="AJ8">
        <v>225</v>
      </c>
      <c r="AK8">
        <v>147</v>
      </c>
      <c r="AL8">
        <v>45</v>
      </c>
      <c r="AM8">
        <v>46</v>
      </c>
      <c r="AN8">
        <v>46</v>
      </c>
      <c r="AO8">
        <v>7</v>
      </c>
      <c r="AP8">
        <v>0</v>
      </c>
      <c r="AQ8">
        <v>0</v>
      </c>
      <c r="AR8">
        <v>38.135026738999997</v>
      </c>
      <c r="AS8">
        <v>34.69251337</v>
      </c>
      <c r="AT8">
        <v>3.4425133689999998</v>
      </c>
      <c r="AU8" t="s">
        <v>69</v>
      </c>
      <c r="AV8">
        <v>31.929590019999999</v>
      </c>
      <c r="AW8">
        <v>17.94786096</v>
      </c>
      <c r="AX8">
        <v>13.981729059999999</v>
      </c>
      <c r="AY8">
        <v>13.062611410000001</v>
      </c>
      <c r="AZ8">
        <v>13.062611410000001</v>
      </c>
      <c r="BA8">
        <v>14.661319073000001</v>
      </c>
      <c r="BB8">
        <v>8.0770944740000008</v>
      </c>
      <c r="BC8">
        <v>6.5842245989999997</v>
      </c>
      <c r="BD8" t="s">
        <v>69</v>
      </c>
      <c r="BE8" t="s">
        <v>69</v>
      </c>
      <c r="BF8" t="s">
        <v>69</v>
      </c>
      <c r="BG8" t="s">
        <v>69</v>
      </c>
      <c r="BH8">
        <v>2.211452763</v>
      </c>
      <c r="BI8">
        <v>100.00000000199999</v>
      </c>
      <c r="BJ8">
        <v>39.006938419000001</v>
      </c>
      <c r="BK8">
        <v>35.884648740000003</v>
      </c>
      <c r="BL8">
        <v>3.1222896790000001</v>
      </c>
      <c r="BM8">
        <v>33.304423249999999</v>
      </c>
      <c r="BN8">
        <v>16.789534549999999</v>
      </c>
      <c r="BO8">
        <v>16.5148887</v>
      </c>
      <c r="BP8">
        <v>16.529343740999998</v>
      </c>
      <c r="BQ8">
        <v>8.8609424689999994</v>
      </c>
      <c r="BR8">
        <v>7.6684012719999997</v>
      </c>
      <c r="BS8">
        <v>11.094246890000001</v>
      </c>
      <c r="BT8">
        <v>11.094246890000001</v>
      </c>
      <c r="BU8">
        <v>6.5047701999999999E-2</v>
      </c>
      <c r="BV8">
        <v>99.999999993000003</v>
      </c>
      <c r="BW8">
        <v>42.395833330000002</v>
      </c>
      <c r="BX8">
        <v>32.708333330000002</v>
      </c>
      <c r="BY8">
        <v>9.6875</v>
      </c>
      <c r="BZ8">
        <v>25</v>
      </c>
      <c r="CA8">
        <v>13.28125</v>
      </c>
      <c r="CB8">
        <v>11.71875</v>
      </c>
      <c r="CC8">
        <v>15.052083333000001</v>
      </c>
      <c r="CD8">
        <v>9.5833333330000006</v>
      </c>
      <c r="CE8">
        <v>5.46875</v>
      </c>
      <c r="CF8">
        <v>17.552083329999999</v>
      </c>
      <c r="CG8">
        <v>17.552083329999999</v>
      </c>
      <c r="CH8">
        <v>99.999999994999996</v>
      </c>
      <c r="CI8">
        <v>29.32604736</v>
      </c>
      <c r="CJ8">
        <v>29.32604736</v>
      </c>
      <c r="CK8">
        <v>21.539162109999999</v>
      </c>
      <c r="CL8">
        <v>21.539162109999999</v>
      </c>
      <c r="CM8">
        <v>28.91621129</v>
      </c>
      <c r="CN8">
        <v>28.91621129</v>
      </c>
      <c r="CO8" t="s">
        <v>69</v>
      </c>
      <c r="CP8">
        <v>2.5500910750000001</v>
      </c>
      <c r="CQ8">
        <v>1.821493625</v>
      </c>
      <c r="CR8">
        <v>0.72859744999999998</v>
      </c>
      <c r="CS8" t="s">
        <v>69</v>
      </c>
      <c r="CT8" t="s">
        <v>69</v>
      </c>
      <c r="CU8" t="s">
        <v>69</v>
      </c>
      <c r="CV8" t="s">
        <v>69</v>
      </c>
      <c r="CW8">
        <v>17.668488159999999</v>
      </c>
      <c r="CX8">
        <v>100</v>
      </c>
      <c r="CY8">
        <v>37.934423299999999</v>
      </c>
      <c r="CZ8">
        <v>37.934423299999999</v>
      </c>
      <c r="DA8" t="s">
        <v>69</v>
      </c>
      <c r="DB8">
        <v>22.942910749999999</v>
      </c>
      <c r="DC8">
        <v>9.9526489769999991</v>
      </c>
      <c r="DD8">
        <v>5.780398463</v>
      </c>
      <c r="DE8">
        <v>4.1722505139999999</v>
      </c>
      <c r="DF8">
        <v>18.68131868</v>
      </c>
      <c r="DG8">
        <v>6.5844724379999997</v>
      </c>
      <c r="DH8">
        <v>0</v>
      </c>
      <c r="DI8" t="s">
        <v>69</v>
      </c>
      <c r="DJ8" t="s">
        <v>69</v>
      </c>
      <c r="DK8" t="s">
        <v>69</v>
      </c>
      <c r="DL8">
        <v>3.904225855</v>
      </c>
      <c r="DM8">
        <v>99.999999994999996</v>
      </c>
      <c r="DN8">
        <v>39.849624059999996</v>
      </c>
      <c r="DO8">
        <v>39.849624059999996</v>
      </c>
      <c r="DP8">
        <v>0</v>
      </c>
      <c r="DQ8">
        <v>23.17794486</v>
      </c>
      <c r="DR8">
        <v>23.17794486</v>
      </c>
      <c r="DS8">
        <v>10.335839599</v>
      </c>
      <c r="DT8">
        <v>6.1052631579999996</v>
      </c>
      <c r="DU8">
        <v>4.2305764410000002</v>
      </c>
      <c r="DV8">
        <v>20.802005009999998</v>
      </c>
      <c r="DW8">
        <v>5.8345864660000002</v>
      </c>
      <c r="DX8">
        <v>0</v>
      </c>
      <c r="DY8">
        <v>0</v>
      </c>
      <c r="DZ8">
        <v>100.000000001</v>
      </c>
      <c r="EA8">
        <v>24.956369980000002</v>
      </c>
      <c r="EB8">
        <v>24.956369980000002</v>
      </c>
      <c r="EC8">
        <v>13.961605584000001</v>
      </c>
      <c r="ED8">
        <v>6.1082024429999997</v>
      </c>
      <c r="EE8">
        <v>7.8534031410000003</v>
      </c>
      <c r="EF8">
        <v>31.239092500000002</v>
      </c>
      <c r="EG8">
        <v>31.239092500000002</v>
      </c>
      <c r="EH8">
        <v>27.050610819999999</v>
      </c>
      <c r="EI8">
        <v>2.7923211170000002</v>
      </c>
      <c r="EJ8">
        <v>0</v>
      </c>
      <c r="EK8">
        <v>99.999999989000003</v>
      </c>
      <c r="EL8">
        <v>14.263565890000001</v>
      </c>
      <c r="EM8">
        <v>14.263565890000001</v>
      </c>
      <c r="EN8" t="s">
        <v>69</v>
      </c>
      <c r="EO8">
        <v>17.519379839999999</v>
      </c>
      <c r="EP8">
        <v>17.519379839999999</v>
      </c>
      <c r="EQ8">
        <v>0</v>
      </c>
      <c r="ER8" t="s">
        <v>69</v>
      </c>
      <c r="ES8" t="s">
        <v>69</v>
      </c>
      <c r="ET8">
        <v>0.46511627900000002</v>
      </c>
      <c r="EU8">
        <v>0.46511627900000002</v>
      </c>
      <c r="EV8" t="s">
        <v>69</v>
      </c>
      <c r="EW8" t="s">
        <v>69</v>
      </c>
      <c r="EX8">
        <v>67.751937979999994</v>
      </c>
      <c r="EY8">
        <v>17952</v>
      </c>
      <c r="EZ8">
        <v>6228</v>
      </c>
      <c r="FA8">
        <v>618</v>
      </c>
      <c r="FB8" t="s">
        <v>69</v>
      </c>
      <c r="FC8">
        <v>3222</v>
      </c>
      <c r="FD8">
        <v>2510</v>
      </c>
      <c r="FE8">
        <v>2345</v>
      </c>
      <c r="FF8">
        <v>1450</v>
      </c>
      <c r="FG8">
        <v>1182</v>
      </c>
      <c r="FH8" t="s">
        <v>69</v>
      </c>
      <c r="FI8" t="s">
        <v>69</v>
      </c>
      <c r="FJ8" t="s">
        <v>69</v>
      </c>
      <c r="FK8">
        <v>397</v>
      </c>
      <c r="FL8">
        <v>13836</v>
      </c>
      <c r="FM8">
        <v>4965</v>
      </c>
      <c r="FN8">
        <v>432</v>
      </c>
      <c r="FO8">
        <v>2323</v>
      </c>
      <c r="FP8">
        <v>2285</v>
      </c>
      <c r="FQ8">
        <v>1226</v>
      </c>
      <c r="FR8">
        <v>1061</v>
      </c>
      <c r="FS8">
        <v>1535</v>
      </c>
      <c r="FT8">
        <v>9</v>
      </c>
      <c r="FU8">
        <v>1920</v>
      </c>
      <c r="FV8">
        <v>628</v>
      </c>
      <c r="FW8">
        <v>186</v>
      </c>
      <c r="FX8" t="s">
        <v>69</v>
      </c>
      <c r="FY8">
        <v>255</v>
      </c>
      <c r="FZ8">
        <v>225</v>
      </c>
      <c r="GA8">
        <v>184</v>
      </c>
      <c r="GB8">
        <v>105</v>
      </c>
      <c r="GC8">
        <v>337</v>
      </c>
      <c r="GD8">
        <v>2196</v>
      </c>
      <c r="GE8">
        <v>644</v>
      </c>
      <c r="GF8">
        <v>473</v>
      </c>
      <c r="GG8">
        <v>635</v>
      </c>
      <c r="GH8" t="s">
        <v>69</v>
      </c>
      <c r="GI8">
        <v>40</v>
      </c>
      <c r="GJ8">
        <v>16</v>
      </c>
      <c r="GK8" t="s">
        <v>69</v>
      </c>
      <c r="GL8" t="s">
        <v>69</v>
      </c>
      <c r="GM8" t="s">
        <v>69</v>
      </c>
      <c r="GN8">
        <v>388</v>
      </c>
      <c r="GO8">
        <v>11193</v>
      </c>
      <c r="GP8">
        <v>4246</v>
      </c>
      <c r="GQ8" t="s">
        <v>69</v>
      </c>
      <c r="GR8">
        <v>2568</v>
      </c>
      <c r="GS8">
        <v>647</v>
      </c>
      <c r="GT8">
        <v>467</v>
      </c>
      <c r="GU8">
        <v>2091</v>
      </c>
      <c r="GV8">
        <v>737</v>
      </c>
      <c r="GW8">
        <v>582</v>
      </c>
      <c r="GX8">
        <v>155</v>
      </c>
      <c r="GY8" t="s">
        <v>69</v>
      </c>
      <c r="GZ8">
        <v>0</v>
      </c>
      <c r="HA8" t="s">
        <v>69</v>
      </c>
      <c r="HB8" t="s">
        <v>69</v>
      </c>
      <c r="HC8">
        <v>437</v>
      </c>
      <c r="HD8">
        <v>9975</v>
      </c>
      <c r="HE8">
        <v>3975</v>
      </c>
      <c r="HF8">
        <v>0</v>
      </c>
      <c r="HG8">
        <v>2312</v>
      </c>
      <c r="HH8">
        <v>609</v>
      </c>
      <c r="HI8">
        <v>422</v>
      </c>
      <c r="HJ8">
        <v>2075</v>
      </c>
      <c r="HK8">
        <v>582</v>
      </c>
      <c r="HL8">
        <v>0</v>
      </c>
      <c r="HM8">
        <v>0</v>
      </c>
      <c r="HN8">
        <v>573</v>
      </c>
      <c r="HO8">
        <v>143</v>
      </c>
      <c r="HP8">
        <v>35</v>
      </c>
      <c r="HQ8">
        <v>45</v>
      </c>
      <c r="HR8">
        <v>179</v>
      </c>
      <c r="HS8">
        <v>155</v>
      </c>
      <c r="HT8">
        <v>16</v>
      </c>
      <c r="HU8">
        <v>0</v>
      </c>
      <c r="HV8">
        <v>645</v>
      </c>
      <c r="HW8">
        <v>92</v>
      </c>
      <c r="HX8" t="s">
        <v>69</v>
      </c>
      <c r="HY8">
        <v>113</v>
      </c>
      <c r="HZ8">
        <v>0</v>
      </c>
      <c r="IA8" t="s">
        <v>69</v>
      </c>
      <c r="IB8" t="s">
        <v>69</v>
      </c>
      <c r="IC8">
        <v>3</v>
      </c>
      <c r="ID8" t="s">
        <v>69</v>
      </c>
      <c r="IE8">
        <v>437</v>
      </c>
      <c r="IG8">
        <v>61.489452</v>
      </c>
    </row>
    <row r="9" spans="1:241" x14ac:dyDescent="0.25">
      <c r="A9" t="s">
        <v>36</v>
      </c>
      <c r="B9">
        <v>21.025020179999999</v>
      </c>
      <c r="C9">
        <v>14.527845040000001</v>
      </c>
      <c r="D9">
        <v>32.728006460000003</v>
      </c>
      <c r="E9">
        <v>16.787732040000002</v>
      </c>
      <c r="F9">
        <v>8.1920903949999992</v>
      </c>
      <c r="G9">
        <v>3.9144471350000001</v>
      </c>
      <c r="H9">
        <v>4.0355124999999999E-2</v>
      </c>
      <c r="I9">
        <v>2.6634382570000001</v>
      </c>
      <c r="J9">
        <v>4.0355124999999999E-2</v>
      </c>
      <c r="K9">
        <v>8.0710249999999997E-2</v>
      </c>
      <c r="L9">
        <v>66</v>
      </c>
      <c r="M9">
        <v>2478</v>
      </c>
      <c r="N9">
        <v>521</v>
      </c>
      <c r="O9">
        <v>360</v>
      </c>
      <c r="P9">
        <v>811</v>
      </c>
      <c r="Q9">
        <v>416</v>
      </c>
      <c r="R9">
        <v>203</v>
      </c>
      <c r="S9">
        <v>97</v>
      </c>
      <c r="T9">
        <v>1</v>
      </c>
      <c r="U9">
        <v>66</v>
      </c>
      <c r="V9">
        <v>1</v>
      </c>
      <c r="W9">
        <v>2</v>
      </c>
      <c r="X9">
        <v>1468</v>
      </c>
      <c r="Y9">
        <v>443</v>
      </c>
      <c r="Z9">
        <v>302</v>
      </c>
      <c r="AA9">
        <v>505</v>
      </c>
      <c r="AB9">
        <v>90</v>
      </c>
      <c r="AC9">
        <v>34</v>
      </c>
      <c r="AD9">
        <v>27</v>
      </c>
      <c r="AE9">
        <v>0</v>
      </c>
      <c r="AF9">
        <v>66</v>
      </c>
      <c r="AG9">
        <v>1</v>
      </c>
      <c r="AH9">
        <v>1010</v>
      </c>
      <c r="AI9">
        <v>326</v>
      </c>
      <c r="AJ9">
        <v>306</v>
      </c>
      <c r="AK9">
        <v>176</v>
      </c>
      <c r="AL9">
        <v>58</v>
      </c>
      <c r="AM9">
        <v>63</v>
      </c>
      <c r="AN9">
        <v>78</v>
      </c>
      <c r="AO9">
        <v>1</v>
      </c>
      <c r="AP9">
        <v>1</v>
      </c>
      <c r="AQ9">
        <v>1</v>
      </c>
      <c r="AR9">
        <v>37.601196311999999</v>
      </c>
      <c r="AS9">
        <v>34.311349460000002</v>
      </c>
      <c r="AT9">
        <v>3.2898468520000002</v>
      </c>
      <c r="AU9" t="s">
        <v>69</v>
      </c>
      <c r="AV9">
        <v>29.062032700000003</v>
      </c>
      <c r="AW9">
        <v>16.521425260000001</v>
      </c>
      <c r="AX9">
        <v>12.54060744</v>
      </c>
      <c r="AY9">
        <v>11.045222499999999</v>
      </c>
      <c r="AZ9">
        <v>11.045222499999999</v>
      </c>
      <c r="BA9">
        <v>20.012375597000002</v>
      </c>
      <c r="BB9">
        <v>10.17377404</v>
      </c>
      <c r="BC9">
        <v>9.8386015570000005</v>
      </c>
      <c r="BD9" t="s">
        <v>69</v>
      </c>
      <c r="BE9" t="s">
        <v>69</v>
      </c>
      <c r="BF9" t="s">
        <v>69</v>
      </c>
      <c r="BG9" t="s">
        <v>69</v>
      </c>
      <c r="BH9">
        <v>2.279172897</v>
      </c>
      <c r="BI9">
        <v>100.00000000600001</v>
      </c>
      <c r="BJ9">
        <v>38.998174812000002</v>
      </c>
      <c r="BK9">
        <v>35.976475360000002</v>
      </c>
      <c r="BL9">
        <v>3.021699452</v>
      </c>
      <c r="BM9">
        <v>29.094842159999999</v>
      </c>
      <c r="BN9">
        <v>14.27702292</v>
      </c>
      <c r="BO9">
        <v>14.81781924</v>
      </c>
      <c r="BP9">
        <v>22.294328399999998</v>
      </c>
      <c r="BQ9">
        <v>11.08632461</v>
      </c>
      <c r="BR9">
        <v>11.208003789999999</v>
      </c>
      <c r="BS9">
        <v>9.5991347260000008</v>
      </c>
      <c r="BT9">
        <v>9.5991347260000008</v>
      </c>
      <c r="BU9">
        <v>1.3519908000000001E-2</v>
      </c>
      <c r="BV9">
        <v>100.00000000300001</v>
      </c>
      <c r="BW9">
        <v>37.932715753000004</v>
      </c>
      <c r="BX9">
        <v>28.620185280000001</v>
      </c>
      <c r="BY9">
        <v>9.3125304730000007</v>
      </c>
      <c r="BZ9">
        <v>26.182350069999998</v>
      </c>
      <c r="CA9">
        <v>14.480741099999999</v>
      </c>
      <c r="CB9">
        <v>11.701608970000001</v>
      </c>
      <c r="CC9">
        <v>22.62311068</v>
      </c>
      <c r="CD9">
        <v>11.75036568</v>
      </c>
      <c r="CE9">
        <v>10.872745</v>
      </c>
      <c r="CF9">
        <v>13.2618235</v>
      </c>
      <c r="CG9">
        <v>13.2618235</v>
      </c>
      <c r="CH9">
        <v>99.999999990000006</v>
      </c>
      <c r="CI9">
        <v>31.18870145</v>
      </c>
      <c r="CJ9">
        <v>31.18870145</v>
      </c>
      <c r="CK9">
        <v>17.653981949999999</v>
      </c>
      <c r="CL9">
        <v>17.653981949999999</v>
      </c>
      <c r="CM9">
        <v>29.227147899999999</v>
      </c>
      <c r="CN9">
        <v>29.227147899999999</v>
      </c>
      <c r="CO9" t="s">
        <v>69</v>
      </c>
      <c r="CP9">
        <v>4.6684974500000003</v>
      </c>
      <c r="CQ9">
        <v>3.6092585330000002</v>
      </c>
      <c r="CR9">
        <v>1.0592389170000001</v>
      </c>
      <c r="CS9" t="s">
        <v>69</v>
      </c>
      <c r="CT9" t="s">
        <v>69</v>
      </c>
      <c r="CU9" t="s">
        <v>69</v>
      </c>
      <c r="CV9" t="s">
        <v>69</v>
      </c>
      <c r="CW9">
        <v>17.261671239999998</v>
      </c>
      <c r="CX9">
        <v>99.999999997000003</v>
      </c>
      <c r="CY9">
        <v>36.12921918</v>
      </c>
      <c r="CZ9">
        <v>36.12921918</v>
      </c>
      <c r="DA9" t="s">
        <v>69</v>
      </c>
      <c r="DB9">
        <v>26.263943210000001</v>
      </c>
      <c r="DC9">
        <v>8.8584673330000001</v>
      </c>
      <c r="DD9">
        <v>4.4690714180000004</v>
      </c>
      <c r="DE9">
        <v>4.3893959149999997</v>
      </c>
      <c r="DF9">
        <v>17.405475880000001</v>
      </c>
      <c r="DG9">
        <v>7.7212806030000003</v>
      </c>
      <c r="DH9">
        <v>0</v>
      </c>
      <c r="DI9" t="s">
        <v>69</v>
      </c>
      <c r="DJ9" t="s">
        <v>69</v>
      </c>
      <c r="DK9" t="s">
        <v>69</v>
      </c>
      <c r="DL9">
        <v>3.6216137910000001</v>
      </c>
      <c r="DM9">
        <v>100.000000003</v>
      </c>
      <c r="DN9">
        <v>38.182539679999998</v>
      </c>
      <c r="DO9">
        <v>38.182539679999998</v>
      </c>
      <c r="DP9">
        <v>0</v>
      </c>
      <c r="DQ9">
        <v>26.349206349999999</v>
      </c>
      <c r="DR9">
        <v>26.349206349999999</v>
      </c>
      <c r="DS9">
        <v>9.0793650799999988</v>
      </c>
      <c r="DT9">
        <v>4.5238095239999998</v>
      </c>
      <c r="DU9">
        <v>4.5555555559999998</v>
      </c>
      <c r="DV9">
        <v>19.015873020000001</v>
      </c>
      <c r="DW9">
        <v>7.3730158729999999</v>
      </c>
      <c r="DX9">
        <v>0</v>
      </c>
      <c r="DY9">
        <v>0</v>
      </c>
      <c r="DZ9">
        <v>99.999999998999996</v>
      </c>
      <c r="EA9">
        <v>40.08528785</v>
      </c>
      <c r="EB9">
        <v>40.08528785</v>
      </c>
      <c r="EC9">
        <v>14.285714286000001</v>
      </c>
      <c r="ED9">
        <v>7.4626865670000004</v>
      </c>
      <c r="EE9">
        <v>6.8230277189999997</v>
      </c>
      <c r="EF9">
        <v>14.925373130000001</v>
      </c>
      <c r="EG9">
        <v>14.925373130000001</v>
      </c>
      <c r="EH9">
        <v>29.211087419999998</v>
      </c>
      <c r="EI9">
        <v>1.4925373129999999</v>
      </c>
      <c r="EJ9">
        <v>0</v>
      </c>
      <c r="EK9">
        <v>100.00000000400001</v>
      </c>
      <c r="EL9">
        <v>14.5183175</v>
      </c>
      <c r="EM9">
        <v>14.5183175</v>
      </c>
      <c r="EN9" t="s">
        <v>69</v>
      </c>
      <c r="EO9">
        <v>16.010854819999999</v>
      </c>
      <c r="EP9">
        <v>16.010854819999999</v>
      </c>
      <c r="EQ9">
        <v>0</v>
      </c>
      <c r="ER9" t="s">
        <v>69</v>
      </c>
      <c r="ES9" t="s">
        <v>69</v>
      </c>
      <c r="ET9">
        <v>1.6282225239999999</v>
      </c>
      <c r="EU9">
        <v>1.6282225239999999</v>
      </c>
      <c r="EV9" t="s">
        <v>69</v>
      </c>
      <c r="EW9" t="s">
        <v>69</v>
      </c>
      <c r="EX9">
        <v>67.842605160000005</v>
      </c>
      <c r="EY9">
        <v>19393</v>
      </c>
      <c r="EZ9">
        <v>6654</v>
      </c>
      <c r="FA9">
        <v>638</v>
      </c>
      <c r="FB9" t="s">
        <v>69</v>
      </c>
      <c r="FC9">
        <v>3204</v>
      </c>
      <c r="FD9">
        <v>2432</v>
      </c>
      <c r="FE9">
        <v>2142</v>
      </c>
      <c r="FF9">
        <v>1973</v>
      </c>
      <c r="FG9">
        <v>1908</v>
      </c>
      <c r="FH9" t="s">
        <v>69</v>
      </c>
      <c r="FI9" t="s">
        <v>69</v>
      </c>
      <c r="FJ9" t="s">
        <v>69</v>
      </c>
      <c r="FK9">
        <v>442</v>
      </c>
      <c r="FL9">
        <v>14793</v>
      </c>
      <c r="FM9">
        <v>5322</v>
      </c>
      <c r="FN9">
        <v>447</v>
      </c>
      <c r="FO9">
        <v>2112</v>
      </c>
      <c r="FP9">
        <v>2192</v>
      </c>
      <c r="FQ9">
        <v>1640</v>
      </c>
      <c r="FR9">
        <v>1658</v>
      </c>
      <c r="FS9">
        <v>1420</v>
      </c>
      <c r="FT9">
        <v>2</v>
      </c>
      <c r="FU9">
        <v>2051</v>
      </c>
      <c r="FV9">
        <v>587</v>
      </c>
      <c r="FW9">
        <v>191</v>
      </c>
      <c r="FX9" t="s">
        <v>69</v>
      </c>
      <c r="FY9">
        <v>297</v>
      </c>
      <c r="FZ9">
        <v>240</v>
      </c>
      <c r="GA9">
        <v>241</v>
      </c>
      <c r="GB9">
        <v>223</v>
      </c>
      <c r="GC9">
        <v>272</v>
      </c>
      <c r="GD9">
        <v>2549</v>
      </c>
      <c r="GE9">
        <v>795</v>
      </c>
      <c r="GF9">
        <v>450</v>
      </c>
      <c r="GG9">
        <v>745</v>
      </c>
      <c r="GH9" t="s">
        <v>69</v>
      </c>
      <c r="GI9">
        <v>92</v>
      </c>
      <c r="GJ9">
        <v>27</v>
      </c>
      <c r="GK9" t="s">
        <v>69</v>
      </c>
      <c r="GL9" t="s">
        <v>69</v>
      </c>
      <c r="GM9" t="s">
        <v>69</v>
      </c>
      <c r="GN9">
        <v>440</v>
      </c>
      <c r="GO9">
        <v>13806</v>
      </c>
      <c r="GP9">
        <v>4988</v>
      </c>
      <c r="GQ9" t="s">
        <v>69</v>
      </c>
      <c r="GR9">
        <v>3626</v>
      </c>
      <c r="GS9">
        <v>617</v>
      </c>
      <c r="GT9">
        <v>606</v>
      </c>
      <c r="GU9">
        <v>2403</v>
      </c>
      <c r="GV9">
        <v>1066</v>
      </c>
      <c r="GW9">
        <v>929</v>
      </c>
      <c r="GX9">
        <v>137</v>
      </c>
      <c r="GY9" t="s">
        <v>69</v>
      </c>
      <c r="GZ9">
        <v>0</v>
      </c>
      <c r="HA9" t="s">
        <v>69</v>
      </c>
      <c r="HB9" t="s">
        <v>69</v>
      </c>
      <c r="HC9">
        <v>500</v>
      </c>
      <c r="HD9">
        <v>12600</v>
      </c>
      <c r="HE9">
        <v>4811</v>
      </c>
      <c r="HF9">
        <v>0</v>
      </c>
      <c r="HG9">
        <v>3320</v>
      </c>
      <c r="HH9">
        <v>570</v>
      </c>
      <c r="HI9">
        <v>574</v>
      </c>
      <c r="HJ9">
        <v>2396</v>
      </c>
      <c r="HK9">
        <v>929</v>
      </c>
      <c r="HL9">
        <v>0</v>
      </c>
      <c r="HM9">
        <v>0</v>
      </c>
      <c r="HN9">
        <v>469</v>
      </c>
      <c r="HO9">
        <v>188</v>
      </c>
      <c r="HP9">
        <v>35</v>
      </c>
      <c r="HQ9">
        <v>32</v>
      </c>
      <c r="HR9">
        <v>70</v>
      </c>
      <c r="HS9">
        <v>137</v>
      </c>
      <c r="HT9">
        <v>7</v>
      </c>
      <c r="HU9">
        <v>0</v>
      </c>
      <c r="HV9">
        <v>737</v>
      </c>
      <c r="HW9">
        <v>107</v>
      </c>
      <c r="HX9" t="s">
        <v>69</v>
      </c>
      <c r="HY9">
        <v>118</v>
      </c>
      <c r="HZ9">
        <v>0</v>
      </c>
      <c r="IA9" t="s">
        <v>69</v>
      </c>
      <c r="IB9" t="s">
        <v>69</v>
      </c>
      <c r="IC9">
        <v>12</v>
      </c>
      <c r="ID9" t="s">
        <v>69</v>
      </c>
      <c r="IE9">
        <v>500</v>
      </c>
      <c r="IG9">
        <v>55.161411000000001</v>
      </c>
    </row>
    <row r="10" spans="1:241" x14ac:dyDescent="0.25">
      <c r="A10" t="s">
        <v>37</v>
      </c>
      <c r="B10">
        <v>15.335051549999999</v>
      </c>
      <c r="C10">
        <v>23.7757732</v>
      </c>
      <c r="D10">
        <v>32.152061860000003</v>
      </c>
      <c r="E10">
        <v>16.108247420000001</v>
      </c>
      <c r="F10">
        <v>6.0567010310000002</v>
      </c>
      <c r="G10">
        <v>3.8015463920000001</v>
      </c>
      <c r="H10">
        <v>0.32216494800000001</v>
      </c>
      <c r="I10">
        <v>2.3840206190000002</v>
      </c>
      <c r="J10">
        <v>0</v>
      </c>
      <c r="K10">
        <v>6.4432989999999996E-2</v>
      </c>
      <c r="L10">
        <v>37</v>
      </c>
      <c r="M10">
        <v>1552</v>
      </c>
      <c r="N10">
        <v>238</v>
      </c>
      <c r="O10">
        <v>369</v>
      </c>
      <c r="P10">
        <v>499</v>
      </c>
      <c r="Q10">
        <v>250</v>
      </c>
      <c r="R10">
        <v>94</v>
      </c>
      <c r="S10">
        <v>59</v>
      </c>
      <c r="T10">
        <v>5</v>
      </c>
      <c r="U10">
        <v>37</v>
      </c>
      <c r="V10">
        <v>0</v>
      </c>
      <c r="W10">
        <v>1</v>
      </c>
      <c r="X10">
        <v>901</v>
      </c>
      <c r="Y10">
        <v>194</v>
      </c>
      <c r="Z10">
        <v>328</v>
      </c>
      <c r="AA10">
        <v>260</v>
      </c>
      <c r="AB10">
        <v>52</v>
      </c>
      <c r="AC10">
        <v>21</v>
      </c>
      <c r="AD10">
        <v>8</v>
      </c>
      <c r="AE10">
        <v>0</v>
      </c>
      <c r="AF10">
        <v>37</v>
      </c>
      <c r="AG10">
        <v>1</v>
      </c>
      <c r="AH10">
        <v>651</v>
      </c>
      <c r="AI10">
        <v>198</v>
      </c>
      <c r="AJ10">
        <v>239</v>
      </c>
      <c r="AK10">
        <v>86</v>
      </c>
      <c r="AL10">
        <v>41</v>
      </c>
      <c r="AM10">
        <v>38</v>
      </c>
      <c r="AN10">
        <v>44</v>
      </c>
      <c r="AO10">
        <v>5</v>
      </c>
      <c r="AP10">
        <v>0</v>
      </c>
      <c r="AQ10">
        <v>0</v>
      </c>
      <c r="AR10">
        <v>39.927541185999999</v>
      </c>
      <c r="AS10">
        <v>37.124888919999997</v>
      </c>
      <c r="AT10">
        <v>2.8026522659999999</v>
      </c>
      <c r="AU10" t="s">
        <v>69</v>
      </c>
      <c r="AV10">
        <v>28.491352800000001</v>
      </c>
      <c r="AW10">
        <v>14.642149160000001</v>
      </c>
      <c r="AX10">
        <v>13.849203640000001</v>
      </c>
      <c r="AY10">
        <v>12.693964039999999</v>
      </c>
      <c r="AZ10">
        <v>12.693964039999999</v>
      </c>
      <c r="BA10">
        <v>17.273907991000002</v>
      </c>
      <c r="BB10">
        <v>8.8181010319999995</v>
      </c>
      <c r="BC10">
        <v>8.4558069590000002</v>
      </c>
      <c r="BD10" t="s">
        <v>69</v>
      </c>
      <c r="BE10" t="s">
        <v>69</v>
      </c>
      <c r="BF10" t="s">
        <v>69</v>
      </c>
      <c r="BG10" t="s">
        <v>69</v>
      </c>
      <c r="BH10">
        <v>1.6132339870000001</v>
      </c>
      <c r="BI10">
        <v>100.000000001</v>
      </c>
      <c r="BJ10">
        <v>40.991071431000002</v>
      </c>
      <c r="BK10">
        <v>38.482142860000003</v>
      </c>
      <c r="BL10">
        <v>2.5089285710000002</v>
      </c>
      <c r="BM10">
        <v>28.098214280000001</v>
      </c>
      <c r="BN10">
        <v>11.88392857</v>
      </c>
      <c r="BO10">
        <v>16.214285709999999</v>
      </c>
      <c r="BP10">
        <v>19.223214286000001</v>
      </c>
      <c r="BQ10">
        <v>9.3571428569999995</v>
      </c>
      <c r="BR10">
        <v>9.8660714289999998</v>
      </c>
      <c r="BS10">
        <v>11.66071429</v>
      </c>
      <c r="BT10">
        <v>11.66071429</v>
      </c>
      <c r="BU10">
        <v>2.6785713999999999E-2</v>
      </c>
      <c r="BV10">
        <v>100.00000000000001</v>
      </c>
      <c r="BW10">
        <v>41.950886767</v>
      </c>
      <c r="BX10">
        <v>33.151432470000003</v>
      </c>
      <c r="BY10">
        <v>8.7994542970000005</v>
      </c>
      <c r="BZ10">
        <v>28.171896310000001</v>
      </c>
      <c r="CA10">
        <v>13.84720327</v>
      </c>
      <c r="CB10">
        <v>14.32469304</v>
      </c>
      <c r="CC10">
        <v>18.553888133000001</v>
      </c>
      <c r="CD10">
        <v>11.18690314</v>
      </c>
      <c r="CE10">
        <v>7.366984993</v>
      </c>
      <c r="CF10">
        <v>11.32332879</v>
      </c>
      <c r="CG10">
        <v>11.32332879</v>
      </c>
      <c r="CH10">
        <v>100.000000005</v>
      </c>
      <c r="CI10">
        <v>30.973000509999999</v>
      </c>
      <c r="CJ10">
        <v>30.973000509999999</v>
      </c>
      <c r="CK10">
        <v>19.61283749</v>
      </c>
      <c r="CL10">
        <v>19.61283749</v>
      </c>
      <c r="CM10">
        <v>32.348446260000003</v>
      </c>
      <c r="CN10">
        <v>32.348446260000003</v>
      </c>
      <c r="CO10" t="s">
        <v>69</v>
      </c>
      <c r="CP10">
        <v>5.1961283749999998</v>
      </c>
      <c r="CQ10">
        <v>3.973509934</v>
      </c>
      <c r="CR10">
        <v>1.2226184410000001</v>
      </c>
      <c r="CS10" t="s">
        <v>69</v>
      </c>
      <c r="CT10" t="s">
        <v>69</v>
      </c>
      <c r="CU10" t="s">
        <v>69</v>
      </c>
      <c r="CV10" t="s">
        <v>69</v>
      </c>
      <c r="CW10">
        <v>11.86958737</v>
      </c>
      <c r="CX10">
        <v>99.999999996</v>
      </c>
      <c r="CY10">
        <v>39.335840750000003</v>
      </c>
      <c r="CZ10">
        <v>39.335840750000003</v>
      </c>
      <c r="DA10" t="s">
        <v>69</v>
      </c>
      <c r="DB10">
        <v>24.99770663</v>
      </c>
      <c r="DC10">
        <v>7.7057150720000003</v>
      </c>
      <c r="DD10">
        <v>3.5868268969999999</v>
      </c>
      <c r="DE10">
        <v>4.1188881750000004</v>
      </c>
      <c r="DF10">
        <v>16.78745069</v>
      </c>
      <c r="DG10">
        <v>7.201174204</v>
      </c>
      <c r="DH10">
        <v>0</v>
      </c>
      <c r="DI10" t="s">
        <v>69</v>
      </c>
      <c r="DJ10" t="s">
        <v>69</v>
      </c>
      <c r="DK10" t="s">
        <v>69</v>
      </c>
      <c r="DL10">
        <v>3.9721126500000001</v>
      </c>
      <c r="DM10">
        <v>100.00000000200001</v>
      </c>
      <c r="DN10">
        <v>42.46406571</v>
      </c>
      <c r="DO10">
        <v>42.46406571</v>
      </c>
      <c r="DP10">
        <v>0</v>
      </c>
      <c r="DQ10">
        <v>24.579055440000001</v>
      </c>
      <c r="DR10">
        <v>24.579055440000001</v>
      </c>
      <c r="DS10">
        <v>7.8131416829999996</v>
      </c>
      <c r="DT10">
        <v>3.6242299789999999</v>
      </c>
      <c r="DU10">
        <v>4.1889117039999997</v>
      </c>
      <c r="DV10">
        <v>18.583162219999998</v>
      </c>
      <c r="DW10">
        <v>6.5605749490000003</v>
      </c>
      <c r="DX10">
        <v>0</v>
      </c>
      <c r="DY10">
        <v>0</v>
      </c>
      <c r="DZ10">
        <v>99.999999997999993</v>
      </c>
      <c r="EA10">
        <v>35.940803379999998</v>
      </c>
      <c r="EB10">
        <v>35.940803379999998</v>
      </c>
      <c r="EC10">
        <v>16.279069767999999</v>
      </c>
      <c r="ED10">
        <v>7.6109936579999999</v>
      </c>
      <c r="EE10">
        <v>8.6680761099999994</v>
      </c>
      <c r="EF10">
        <v>12.68498943</v>
      </c>
      <c r="EG10">
        <v>12.68498943</v>
      </c>
      <c r="EH10">
        <v>30.866807609999999</v>
      </c>
      <c r="EI10">
        <v>4.22832981</v>
      </c>
      <c r="EJ10">
        <v>0</v>
      </c>
      <c r="EK10">
        <v>99.999999994000007</v>
      </c>
      <c r="EL10">
        <v>13.372093019999999</v>
      </c>
      <c r="EM10">
        <v>13.372093019999999</v>
      </c>
      <c r="EN10" t="s">
        <v>69</v>
      </c>
      <c r="EO10">
        <v>23.401162790000001</v>
      </c>
      <c r="EP10">
        <v>23.401162790000001</v>
      </c>
      <c r="EQ10">
        <v>0</v>
      </c>
      <c r="ER10" t="s">
        <v>69</v>
      </c>
      <c r="ES10" t="s">
        <v>69</v>
      </c>
      <c r="ET10">
        <v>0.29069767400000002</v>
      </c>
      <c r="EU10">
        <v>0.29069767400000002</v>
      </c>
      <c r="EV10" t="s">
        <v>69</v>
      </c>
      <c r="EW10" t="s">
        <v>69</v>
      </c>
      <c r="EX10">
        <v>62.936046509999997</v>
      </c>
      <c r="EY10">
        <v>14629</v>
      </c>
      <c r="EZ10">
        <v>5431</v>
      </c>
      <c r="FA10">
        <v>410</v>
      </c>
      <c r="FB10" t="s">
        <v>69</v>
      </c>
      <c r="FC10">
        <v>2142</v>
      </c>
      <c r="FD10">
        <v>2026</v>
      </c>
      <c r="FE10">
        <v>1857</v>
      </c>
      <c r="FF10">
        <v>1290</v>
      </c>
      <c r="FG10">
        <v>1237</v>
      </c>
      <c r="FH10" t="s">
        <v>69</v>
      </c>
      <c r="FI10" t="s">
        <v>69</v>
      </c>
      <c r="FJ10" t="s">
        <v>69</v>
      </c>
      <c r="FK10">
        <v>236</v>
      </c>
      <c r="FL10">
        <v>11200</v>
      </c>
      <c r="FM10">
        <v>4310</v>
      </c>
      <c r="FN10">
        <v>281</v>
      </c>
      <c r="FO10">
        <v>1331</v>
      </c>
      <c r="FP10">
        <v>1816</v>
      </c>
      <c r="FQ10">
        <v>1048</v>
      </c>
      <c r="FR10">
        <v>1105</v>
      </c>
      <c r="FS10">
        <v>1306</v>
      </c>
      <c r="FT10">
        <v>3</v>
      </c>
      <c r="FU10">
        <v>1466</v>
      </c>
      <c r="FV10">
        <v>486</v>
      </c>
      <c r="FW10">
        <v>129</v>
      </c>
      <c r="FX10" t="s">
        <v>69</v>
      </c>
      <c r="FY10">
        <v>203</v>
      </c>
      <c r="FZ10">
        <v>210</v>
      </c>
      <c r="GA10">
        <v>164</v>
      </c>
      <c r="GB10">
        <v>108</v>
      </c>
      <c r="GC10">
        <v>166</v>
      </c>
      <c r="GD10">
        <v>1963</v>
      </c>
      <c r="GE10">
        <v>608</v>
      </c>
      <c r="GF10">
        <v>385</v>
      </c>
      <c r="GG10">
        <v>635</v>
      </c>
      <c r="GH10" t="s">
        <v>69</v>
      </c>
      <c r="GI10">
        <v>78</v>
      </c>
      <c r="GJ10">
        <v>24</v>
      </c>
      <c r="GK10" t="s">
        <v>69</v>
      </c>
      <c r="GL10" t="s">
        <v>69</v>
      </c>
      <c r="GM10" t="s">
        <v>69</v>
      </c>
      <c r="GN10">
        <v>233</v>
      </c>
      <c r="GO10">
        <v>10901</v>
      </c>
      <c r="GP10">
        <v>4288</v>
      </c>
      <c r="GQ10" t="s">
        <v>69</v>
      </c>
      <c r="GR10">
        <v>2725</v>
      </c>
      <c r="GS10">
        <v>391</v>
      </c>
      <c r="GT10">
        <v>449</v>
      </c>
      <c r="GU10">
        <v>1830</v>
      </c>
      <c r="GV10">
        <v>785</v>
      </c>
      <c r="GW10">
        <v>639</v>
      </c>
      <c r="GX10">
        <v>146</v>
      </c>
      <c r="GY10" t="s">
        <v>69</v>
      </c>
      <c r="GZ10">
        <v>0</v>
      </c>
      <c r="HA10" t="s">
        <v>69</v>
      </c>
      <c r="HB10" t="s">
        <v>69</v>
      </c>
      <c r="HC10">
        <v>433</v>
      </c>
      <c r="HD10">
        <v>9740</v>
      </c>
      <c r="HE10">
        <v>4136</v>
      </c>
      <c r="HF10">
        <v>0</v>
      </c>
      <c r="HG10">
        <v>2394</v>
      </c>
      <c r="HH10">
        <v>353</v>
      </c>
      <c r="HI10">
        <v>408</v>
      </c>
      <c r="HJ10">
        <v>1810</v>
      </c>
      <c r="HK10">
        <v>639</v>
      </c>
      <c r="HL10">
        <v>0</v>
      </c>
      <c r="HM10">
        <v>0</v>
      </c>
      <c r="HN10">
        <v>473</v>
      </c>
      <c r="HO10">
        <v>170</v>
      </c>
      <c r="HP10">
        <v>36</v>
      </c>
      <c r="HQ10">
        <v>41</v>
      </c>
      <c r="HR10">
        <v>60</v>
      </c>
      <c r="HS10">
        <v>146</v>
      </c>
      <c r="HT10">
        <v>20</v>
      </c>
      <c r="HU10">
        <v>0</v>
      </c>
      <c r="HV10">
        <v>688</v>
      </c>
      <c r="HW10">
        <v>92</v>
      </c>
      <c r="HX10" t="s">
        <v>69</v>
      </c>
      <c r="HY10">
        <v>161</v>
      </c>
      <c r="HZ10">
        <v>0</v>
      </c>
      <c r="IA10" t="s">
        <v>69</v>
      </c>
      <c r="IB10" t="s">
        <v>69</v>
      </c>
      <c r="IC10">
        <v>2</v>
      </c>
      <c r="ID10" t="s">
        <v>69</v>
      </c>
      <c r="IE10">
        <v>433</v>
      </c>
      <c r="IG10">
        <v>58.777045999999999</v>
      </c>
    </row>
    <row r="11" spans="1:241" x14ac:dyDescent="0.25">
      <c r="A11" t="s">
        <v>38</v>
      </c>
      <c r="B11">
        <v>17.037037040000001</v>
      </c>
      <c r="C11">
        <v>17.195767199999999</v>
      </c>
      <c r="D11">
        <v>28.62433862</v>
      </c>
      <c r="E11">
        <v>17.407407410000001</v>
      </c>
      <c r="F11">
        <v>10.211640210000001</v>
      </c>
      <c r="G11">
        <v>5.5555555559999998</v>
      </c>
      <c r="H11">
        <v>0.42328042300000002</v>
      </c>
      <c r="I11">
        <v>3.2275132279999998</v>
      </c>
      <c r="J11">
        <v>0</v>
      </c>
      <c r="K11">
        <v>0.31746031800000002</v>
      </c>
      <c r="L11">
        <v>61</v>
      </c>
      <c r="M11">
        <v>1890</v>
      </c>
      <c r="N11">
        <v>322</v>
      </c>
      <c r="O11">
        <v>325</v>
      </c>
      <c r="P11">
        <v>541</v>
      </c>
      <c r="Q11">
        <v>329</v>
      </c>
      <c r="R11">
        <v>193</v>
      </c>
      <c r="S11">
        <v>105</v>
      </c>
      <c r="T11">
        <v>8</v>
      </c>
      <c r="U11">
        <v>61</v>
      </c>
      <c r="V11">
        <v>0</v>
      </c>
      <c r="W11">
        <v>6</v>
      </c>
      <c r="X11">
        <v>1003</v>
      </c>
      <c r="Y11">
        <v>274</v>
      </c>
      <c r="Z11">
        <v>273</v>
      </c>
      <c r="AA11">
        <v>270</v>
      </c>
      <c r="AB11">
        <v>73</v>
      </c>
      <c r="AC11">
        <v>33</v>
      </c>
      <c r="AD11">
        <v>12</v>
      </c>
      <c r="AE11">
        <v>1</v>
      </c>
      <c r="AF11">
        <v>61</v>
      </c>
      <c r="AG11">
        <v>6</v>
      </c>
      <c r="AH11">
        <v>887</v>
      </c>
      <c r="AI11">
        <v>256</v>
      </c>
      <c r="AJ11">
        <v>271</v>
      </c>
      <c r="AK11">
        <v>181</v>
      </c>
      <c r="AL11">
        <v>52</v>
      </c>
      <c r="AM11">
        <v>72</v>
      </c>
      <c r="AN11">
        <v>48</v>
      </c>
      <c r="AO11">
        <v>7</v>
      </c>
      <c r="AP11">
        <v>0</v>
      </c>
      <c r="AQ11">
        <v>0</v>
      </c>
      <c r="AR11">
        <v>39.695886759000004</v>
      </c>
      <c r="AS11">
        <v>36.963071960000001</v>
      </c>
      <c r="AT11">
        <v>2.7328147989999998</v>
      </c>
      <c r="AU11" t="s">
        <v>69</v>
      </c>
      <c r="AV11">
        <v>27.033844860000002</v>
      </c>
      <c r="AW11">
        <v>12.93532338</v>
      </c>
      <c r="AX11">
        <v>14.09852148</v>
      </c>
      <c r="AY11">
        <v>13.734146170000001</v>
      </c>
      <c r="AZ11">
        <v>13.734146170000001</v>
      </c>
      <c r="BA11">
        <v>17.104617756</v>
      </c>
      <c r="BB11">
        <v>9.0252960550000001</v>
      </c>
      <c r="BC11">
        <v>8.0793217009999996</v>
      </c>
      <c r="BD11" t="s">
        <v>69</v>
      </c>
      <c r="BE11" t="s">
        <v>69</v>
      </c>
      <c r="BF11" t="s">
        <v>69</v>
      </c>
      <c r="BG11" t="s">
        <v>69</v>
      </c>
      <c r="BH11">
        <v>2.4315044499999998</v>
      </c>
      <c r="BI11">
        <v>99.999999998999996</v>
      </c>
      <c r="BJ11">
        <v>39.738669586999997</v>
      </c>
      <c r="BK11">
        <v>37.253289469999999</v>
      </c>
      <c r="BL11">
        <v>2.4853801170000001</v>
      </c>
      <c r="BM11">
        <v>27.86915205</v>
      </c>
      <c r="BN11">
        <v>10.85526316</v>
      </c>
      <c r="BO11">
        <v>17.01388889</v>
      </c>
      <c r="BP11">
        <v>20.540935674</v>
      </c>
      <c r="BQ11">
        <v>10.76388889</v>
      </c>
      <c r="BR11">
        <v>9.7770467839999995</v>
      </c>
      <c r="BS11">
        <v>11.81469298</v>
      </c>
      <c r="BT11">
        <v>11.81469298</v>
      </c>
      <c r="BU11">
        <v>3.6549708E-2</v>
      </c>
      <c r="BV11">
        <v>100.00000000000001</v>
      </c>
      <c r="BW11">
        <v>46.259985477000001</v>
      </c>
      <c r="BX11">
        <v>37.690631809999999</v>
      </c>
      <c r="BY11">
        <v>8.5693536669999997</v>
      </c>
      <c r="BZ11">
        <v>25.708061000000001</v>
      </c>
      <c r="CA11">
        <v>14.81481481</v>
      </c>
      <c r="CB11">
        <v>10.893246189999999</v>
      </c>
      <c r="CC11">
        <v>10.021786493</v>
      </c>
      <c r="CD11">
        <v>5.1561365290000003</v>
      </c>
      <c r="CE11">
        <v>4.8656499640000002</v>
      </c>
      <c r="CF11">
        <v>18.010167030000002</v>
      </c>
      <c r="CG11">
        <v>18.010167030000002</v>
      </c>
      <c r="CH11">
        <v>100.00000000099999</v>
      </c>
      <c r="CI11">
        <v>23.282051280000001</v>
      </c>
      <c r="CJ11">
        <v>23.282051280000001</v>
      </c>
      <c r="CK11">
        <v>21.487179489999999</v>
      </c>
      <c r="CL11">
        <v>21.487179489999999</v>
      </c>
      <c r="CM11">
        <v>34.820512819999998</v>
      </c>
      <c r="CN11">
        <v>34.820512819999998</v>
      </c>
      <c r="CO11" t="s">
        <v>69</v>
      </c>
      <c r="CP11">
        <v>2.8205128209999999</v>
      </c>
      <c r="CQ11">
        <v>2</v>
      </c>
      <c r="CR11">
        <v>0.820512821</v>
      </c>
      <c r="CS11" t="s">
        <v>69</v>
      </c>
      <c r="CT11" t="s">
        <v>69</v>
      </c>
      <c r="CU11" t="s">
        <v>69</v>
      </c>
      <c r="CV11" t="s">
        <v>69</v>
      </c>
      <c r="CW11">
        <v>17.589743590000001</v>
      </c>
      <c r="CX11">
        <v>99.999999997000003</v>
      </c>
      <c r="CY11">
        <v>37.121060030000002</v>
      </c>
      <c r="CZ11">
        <v>37.121060030000002</v>
      </c>
      <c r="DA11" t="s">
        <v>69</v>
      </c>
      <c r="DB11">
        <v>20.708693029999999</v>
      </c>
      <c r="DC11">
        <v>8.3115840189999997</v>
      </c>
      <c r="DD11">
        <v>4.4970889380000001</v>
      </c>
      <c r="DE11">
        <v>3.814495081</v>
      </c>
      <c r="DF11">
        <v>22.304758079999999</v>
      </c>
      <c r="DG11">
        <v>7.0568159000000001</v>
      </c>
      <c r="DH11">
        <v>0</v>
      </c>
      <c r="DI11" t="s">
        <v>69</v>
      </c>
      <c r="DJ11" t="s">
        <v>69</v>
      </c>
      <c r="DK11" t="s">
        <v>69</v>
      </c>
      <c r="DL11">
        <v>4.4970889380000001</v>
      </c>
      <c r="DM11">
        <v>100.00000000599999</v>
      </c>
      <c r="DN11">
        <v>39.60551384</v>
      </c>
      <c r="DO11">
        <v>39.60551384</v>
      </c>
      <c r="DP11">
        <v>0</v>
      </c>
      <c r="DQ11">
        <v>20.31827861</v>
      </c>
      <c r="DR11">
        <v>20.31827861</v>
      </c>
      <c r="DS11">
        <v>8.6854197020000008</v>
      </c>
      <c r="DT11">
        <v>4.6733161489999997</v>
      </c>
      <c r="DU11">
        <v>4.0121035530000002</v>
      </c>
      <c r="DV11">
        <v>24.823489859999999</v>
      </c>
      <c r="DW11">
        <v>6.5672979939999996</v>
      </c>
      <c r="DX11">
        <v>0</v>
      </c>
      <c r="DY11">
        <v>0</v>
      </c>
      <c r="DZ11">
        <v>100.000000001</v>
      </c>
      <c r="EA11">
        <v>24.213836480000001</v>
      </c>
      <c r="EB11">
        <v>24.213836480000001</v>
      </c>
      <c r="EC11">
        <v>16.037735849000001</v>
      </c>
      <c r="ED11">
        <v>9.1194968549999995</v>
      </c>
      <c r="EE11">
        <v>6.9182389940000002</v>
      </c>
      <c r="EF11">
        <v>20.754716980000001</v>
      </c>
      <c r="EG11">
        <v>20.754716980000001</v>
      </c>
      <c r="EH11">
        <v>36.792452830000002</v>
      </c>
      <c r="EI11">
        <v>2.2012578619999998</v>
      </c>
      <c r="EJ11">
        <v>0</v>
      </c>
      <c r="EK11">
        <v>100</v>
      </c>
      <c r="EL11">
        <v>13.592233009999999</v>
      </c>
      <c r="EM11">
        <v>13.592233009999999</v>
      </c>
      <c r="EN11" t="s">
        <v>69</v>
      </c>
      <c r="EO11">
        <v>23.994452150000001</v>
      </c>
      <c r="EP11">
        <v>23.994452150000001</v>
      </c>
      <c r="EQ11">
        <v>0</v>
      </c>
      <c r="ER11" t="s">
        <v>69</v>
      </c>
      <c r="ES11" t="s">
        <v>69</v>
      </c>
      <c r="ET11">
        <v>0.27739250999999998</v>
      </c>
      <c r="EU11">
        <v>0.27739250999999998</v>
      </c>
      <c r="EV11" t="s">
        <v>69</v>
      </c>
      <c r="EW11" t="s">
        <v>69</v>
      </c>
      <c r="EX11">
        <v>62.13592233</v>
      </c>
      <c r="EY11">
        <v>14271</v>
      </c>
      <c r="EZ11">
        <v>5275</v>
      </c>
      <c r="FA11">
        <v>390</v>
      </c>
      <c r="FB11" t="s">
        <v>69</v>
      </c>
      <c r="FC11">
        <v>1846</v>
      </c>
      <c r="FD11">
        <v>2012</v>
      </c>
      <c r="FE11">
        <v>1960</v>
      </c>
      <c r="FF11">
        <v>1288</v>
      </c>
      <c r="FG11">
        <v>1153</v>
      </c>
      <c r="FH11" t="s">
        <v>69</v>
      </c>
      <c r="FI11" t="s">
        <v>69</v>
      </c>
      <c r="FJ11" t="s">
        <v>69</v>
      </c>
      <c r="FK11">
        <v>347</v>
      </c>
      <c r="FL11">
        <v>10944</v>
      </c>
      <c r="FM11">
        <v>4077</v>
      </c>
      <c r="FN11">
        <v>272</v>
      </c>
      <c r="FO11">
        <v>1188</v>
      </c>
      <c r="FP11">
        <v>1862</v>
      </c>
      <c r="FQ11">
        <v>1178</v>
      </c>
      <c r="FR11">
        <v>1070</v>
      </c>
      <c r="FS11">
        <v>1293</v>
      </c>
      <c r="FT11">
        <v>4</v>
      </c>
      <c r="FU11">
        <v>1377</v>
      </c>
      <c r="FV11">
        <v>519</v>
      </c>
      <c r="FW11">
        <v>118</v>
      </c>
      <c r="FX11" t="s">
        <v>69</v>
      </c>
      <c r="FY11">
        <v>204</v>
      </c>
      <c r="FZ11">
        <v>150</v>
      </c>
      <c r="GA11">
        <v>71</v>
      </c>
      <c r="GB11">
        <v>67</v>
      </c>
      <c r="GC11">
        <v>248</v>
      </c>
      <c r="GD11">
        <v>1950</v>
      </c>
      <c r="GE11">
        <v>454</v>
      </c>
      <c r="GF11">
        <v>419</v>
      </c>
      <c r="GG11">
        <v>679</v>
      </c>
      <c r="GH11" t="s">
        <v>69</v>
      </c>
      <c r="GI11">
        <v>39</v>
      </c>
      <c r="GJ11">
        <v>16</v>
      </c>
      <c r="GK11" t="s">
        <v>69</v>
      </c>
      <c r="GL11" t="s">
        <v>69</v>
      </c>
      <c r="GM11" t="s">
        <v>69</v>
      </c>
      <c r="GN11">
        <v>343</v>
      </c>
      <c r="GO11">
        <v>9962</v>
      </c>
      <c r="GP11">
        <v>3698</v>
      </c>
      <c r="GQ11" t="s">
        <v>69</v>
      </c>
      <c r="GR11">
        <v>2063</v>
      </c>
      <c r="GS11">
        <v>448</v>
      </c>
      <c r="GT11">
        <v>380</v>
      </c>
      <c r="GU11">
        <v>2222</v>
      </c>
      <c r="GV11">
        <v>703</v>
      </c>
      <c r="GW11">
        <v>586</v>
      </c>
      <c r="GX11">
        <v>117</v>
      </c>
      <c r="GY11" t="s">
        <v>69</v>
      </c>
      <c r="GZ11">
        <v>0</v>
      </c>
      <c r="HA11" t="s">
        <v>69</v>
      </c>
      <c r="HB11" t="s">
        <v>69</v>
      </c>
      <c r="HC11">
        <v>448</v>
      </c>
      <c r="HD11">
        <v>8923</v>
      </c>
      <c r="HE11">
        <v>3534</v>
      </c>
      <c r="HF11">
        <v>0</v>
      </c>
      <c r="HG11">
        <v>1813</v>
      </c>
      <c r="HH11">
        <v>417</v>
      </c>
      <c r="HI11">
        <v>358</v>
      </c>
      <c r="HJ11">
        <v>2215</v>
      </c>
      <c r="HK11">
        <v>586</v>
      </c>
      <c r="HL11">
        <v>0</v>
      </c>
      <c r="HM11">
        <v>0</v>
      </c>
      <c r="HN11">
        <v>318</v>
      </c>
      <c r="HO11">
        <v>77</v>
      </c>
      <c r="HP11">
        <v>29</v>
      </c>
      <c r="HQ11">
        <v>22</v>
      </c>
      <c r="HR11">
        <v>66</v>
      </c>
      <c r="HS11">
        <v>117</v>
      </c>
      <c r="HT11">
        <v>7</v>
      </c>
      <c r="HU11">
        <v>0</v>
      </c>
      <c r="HV11">
        <v>721</v>
      </c>
      <c r="HW11">
        <v>98</v>
      </c>
      <c r="HX11" t="s">
        <v>69</v>
      </c>
      <c r="HY11">
        <v>173</v>
      </c>
      <c r="HZ11">
        <v>0</v>
      </c>
      <c r="IA11" t="s">
        <v>69</v>
      </c>
      <c r="IB11" t="s">
        <v>69</v>
      </c>
      <c r="IC11">
        <v>2</v>
      </c>
      <c r="ID11" t="s">
        <v>69</v>
      </c>
      <c r="IE11">
        <v>448</v>
      </c>
      <c r="IG11">
        <v>58.144497000000001</v>
      </c>
    </row>
    <row r="12" spans="1:241" x14ac:dyDescent="0.25">
      <c r="A12" t="s">
        <v>39</v>
      </c>
      <c r="B12">
        <v>11.936936940000001</v>
      </c>
      <c r="C12">
        <v>22.147147149999999</v>
      </c>
      <c r="D12">
        <v>27.364864860000001</v>
      </c>
      <c r="E12">
        <v>21.058558560000002</v>
      </c>
      <c r="F12">
        <v>7.2822822819999997</v>
      </c>
      <c r="G12">
        <v>5.3303303299999998</v>
      </c>
      <c r="H12">
        <v>0.337837838</v>
      </c>
      <c r="I12">
        <v>3.4534534529999998</v>
      </c>
      <c r="J12">
        <v>0</v>
      </c>
      <c r="K12">
        <v>1.088588589</v>
      </c>
      <c r="L12">
        <v>92</v>
      </c>
      <c r="M12">
        <v>2664</v>
      </c>
      <c r="N12">
        <v>318</v>
      </c>
      <c r="O12">
        <v>590</v>
      </c>
      <c r="P12">
        <v>729</v>
      </c>
      <c r="Q12">
        <v>561</v>
      </c>
      <c r="R12">
        <v>194</v>
      </c>
      <c r="S12">
        <v>142</v>
      </c>
      <c r="T12">
        <v>9</v>
      </c>
      <c r="U12">
        <v>92</v>
      </c>
      <c r="V12">
        <v>0</v>
      </c>
      <c r="W12">
        <v>29</v>
      </c>
      <c r="X12">
        <v>1354</v>
      </c>
      <c r="Y12">
        <v>254</v>
      </c>
      <c r="Z12">
        <v>520</v>
      </c>
      <c r="AA12">
        <v>269</v>
      </c>
      <c r="AB12">
        <v>116</v>
      </c>
      <c r="AC12">
        <v>49</v>
      </c>
      <c r="AD12">
        <v>23</v>
      </c>
      <c r="AE12">
        <v>2</v>
      </c>
      <c r="AF12">
        <v>92</v>
      </c>
      <c r="AG12">
        <v>29</v>
      </c>
      <c r="AH12">
        <v>1310</v>
      </c>
      <c r="AI12">
        <v>445</v>
      </c>
      <c r="AJ12">
        <v>460</v>
      </c>
      <c r="AK12">
        <v>171</v>
      </c>
      <c r="AL12">
        <v>70</v>
      </c>
      <c r="AM12">
        <v>93</v>
      </c>
      <c r="AN12">
        <v>64</v>
      </c>
      <c r="AO12">
        <v>7</v>
      </c>
      <c r="AP12">
        <v>0</v>
      </c>
      <c r="AQ12">
        <v>0</v>
      </c>
      <c r="AR12">
        <v>32.552239491000002</v>
      </c>
      <c r="AS12">
        <v>28.686747539999999</v>
      </c>
      <c r="AT12">
        <v>3.2658332950000002</v>
      </c>
      <c r="AU12">
        <v>0.59965865600000001</v>
      </c>
      <c r="AV12">
        <v>33.50246782</v>
      </c>
      <c r="AW12">
        <v>22.7778034</v>
      </c>
      <c r="AX12">
        <v>10.72466442</v>
      </c>
      <c r="AY12">
        <v>9.6545043590000006</v>
      </c>
      <c r="AZ12">
        <v>9.6545043590000006</v>
      </c>
      <c r="BA12">
        <v>22.519488907000003</v>
      </c>
      <c r="BB12">
        <v>12.77272937</v>
      </c>
      <c r="BC12">
        <v>9.7467595370000009</v>
      </c>
      <c r="BD12">
        <v>0.39669726500000002</v>
      </c>
      <c r="BE12">
        <v>0.31366760500000002</v>
      </c>
      <c r="BF12">
        <v>0.31366760500000002</v>
      </c>
      <c r="BG12">
        <v>1.024032474</v>
      </c>
      <c r="BH12">
        <v>3.6902071000000002E-2</v>
      </c>
      <c r="BI12">
        <v>99.999999990999996</v>
      </c>
      <c r="BJ12">
        <v>31.326380441999998</v>
      </c>
      <c r="BK12">
        <v>27.992833829999999</v>
      </c>
      <c r="BL12">
        <v>3.3335466120000001</v>
      </c>
      <c r="BM12">
        <v>33.265084139999999</v>
      </c>
      <c r="BN12">
        <v>19.70055666</v>
      </c>
      <c r="BO12">
        <v>13.564527480000001</v>
      </c>
      <c r="BP12">
        <v>27.237827110000001</v>
      </c>
      <c r="BQ12">
        <v>15.061744190000001</v>
      </c>
      <c r="BR12">
        <v>12.176082920000001</v>
      </c>
      <c r="BS12">
        <v>8.1195214030000002</v>
      </c>
      <c r="BT12">
        <v>8.1195214030000002</v>
      </c>
      <c r="BU12">
        <v>5.1186896000000003E-2</v>
      </c>
      <c r="BV12">
        <v>99.999999989999992</v>
      </c>
      <c r="BW12">
        <v>38.932496072999996</v>
      </c>
      <c r="BX12">
        <v>29.14704343</v>
      </c>
      <c r="BY12">
        <v>9.7854526429999993</v>
      </c>
      <c r="BZ12">
        <v>25.53636839</v>
      </c>
      <c r="CA12">
        <v>14.80900052</v>
      </c>
      <c r="CB12">
        <v>10.72736787</v>
      </c>
      <c r="CC12">
        <v>26.687598112000003</v>
      </c>
      <c r="CD12">
        <v>17.739403450000001</v>
      </c>
      <c r="CE12">
        <v>8.9481946620000006</v>
      </c>
      <c r="CF12">
        <v>8.8435374150000001</v>
      </c>
      <c r="CG12">
        <v>8.8435374150000001</v>
      </c>
      <c r="CH12">
        <v>99.999999994000007</v>
      </c>
      <c r="CI12">
        <v>38.076830149999999</v>
      </c>
      <c r="CJ12">
        <v>38.076830149999999</v>
      </c>
      <c r="CK12">
        <v>15.82507852</v>
      </c>
      <c r="CL12">
        <v>15.82507852</v>
      </c>
      <c r="CM12">
        <v>34.235322538999995</v>
      </c>
      <c r="CN12">
        <v>31.094467259999998</v>
      </c>
      <c r="CO12">
        <v>3.1408552790000002</v>
      </c>
      <c r="CP12">
        <v>2.778448901</v>
      </c>
      <c r="CQ12">
        <v>1.8361923170000001</v>
      </c>
      <c r="CR12">
        <v>0.94225658400000001</v>
      </c>
      <c r="CS12">
        <v>2.0777965690000002</v>
      </c>
      <c r="CT12">
        <v>1.642908915</v>
      </c>
      <c r="CU12">
        <v>1.642908915</v>
      </c>
      <c r="CV12">
        <v>5.3636144000000003</v>
      </c>
      <c r="CW12">
        <v>0</v>
      </c>
      <c r="CX12">
        <v>100.00000000099999</v>
      </c>
      <c r="CY12">
        <v>32.705962870999997</v>
      </c>
      <c r="CZ12">
        <v>29.00162546</v>
      </c>
      <c r="DA12">
        <v>3.704337411</v>
      </c>
      <c r="DB12">
        <v>18.162374880000002</v>
      </c>
      <c r="DC12">
        <v>13.756523226999999</v>
      </c>
      <c r="DD12">
        <v>7.2889040979999997</v>
      </c>
      <c r="DE12">
        <v>6.467619129</v>
      </c>
      <c r="DF12">
        <v>26.16990333</v>
      </c>
      <c r="DG12">
        <v>8.0759688599999997</v>
      </c>
      <c r="DH12">
        <v>0.35931217399999998</v>
      </c>
      <c r="DI12">
        <v>0.11977072499999999</v>
      </c>
      <c r="DJ12">
        <v>0.65018393399999996</v>
      </c>
      <c r="DK12">
        <v>0.65018393399999996</v>
      </c>
      <c r="DL12">
        <v>0</v>
      </c>
      <c r="DM12">
        <v>100.00000000200001</v>
      </c>
      <c r="DN12">
        <v>30.662321479999999</v>
      </c>
      <c r="DO12">
        <v>30.662321479999999</v>
      </c>
      <c r="DP12">
        <v>0</v>
      </c>
      <c r="DQ12">
        <v>18.182689539999998</v>
      </c>
      <c r="DR12">
        <v>18.182689539999998</v>
      </c>
      <c r="DS12">
        <v>14.856704687000001</v>
      </c>
      <c r="DT12">
        <v>7.8117511740000003</v>
      </c>
      <c r="DU12">
        <v>7.0449535130000003</v>
      </c>
      <c r="DV12">
        <v>29.224575869999999</v>
      </c>
      <c r="DW12">
        <v>7.0737084250000004</v>
      </c>
      <c r="DX12">
        <v>0</v>
      </c>
      <c r="DY12">
        <v>0</v>
      </c>
      <c r="DZ12">
        <v>99.999999998000007</v>
      </c>
      <c r="EA12">
        <v>31.833910029999998</v>
      </c>
      <c r="EB12">
        <v>31.833910029999998</v>
      </c>
      <c r="EC12">
        <v>17.301038066</v>
      </c>
      <c r="ED12">
        <v>10.034602080000001</v>
      </c>
      <c r="EE12">
        <v>7.2664359860000003</v>
      </c>
      <c r="EF12">
        <v>17.647058820000002</v>
      </c>
      <c r="EG12">
        <v>17.647058820000002</v>
      </c>
      <c r="EH12">
        <v>29.757785470000002</v>
      </c>
      <c r="EI12">
        <v>3.460207612</v>
      </c>
      <c r="EJ12">
        <v>0</v>
      </c>
      <c r="EK12">
        <v>99.999999998000007</v>
      </c>
      <c r="EL12">
        <v>59.255429159999998</v>
      </c>
      <c r="EM12">
        <v>14.47776629</v>
      </c>
      <c r="EN12">
        <v>44.77766287</v>
      </c>
      <c r="EO12">
        <v>13.85729059</v>
      </c>
      <c r="EP12">
        <v>13.85729059</v>
      </c>
      <c r="EQ12">
        <v>4.3433298860000003</v>
      </c>
      <c r="ER12">
        <v>12.40951396</v>
      </c>
      <c r="ES12">
        <v>1.447776629</v>
      </c>
      <c r="ET12">
        <v>0.82730093100000002</v>
      </c>
      <c r="EU12">
        <v>0.82730093100000002</v>
      </c>
      <c r="EV12">
        <v>7.8593588419999998</v>
      </c>
      <c r="EW12">
        <v>7.8593588419999998</v>
      </c>
      <c r="EX12">
        <v>0</v>
      </c>
      <c r="EY12">
        <v>21679</v>
      </c>
      <c r="EZ12">
        <v>6219</v>
      </c>
      <c r="FA12">
        <v>708</v>
      </c>
      <c r="FB12">
        <v>130</v>
      </c>
      <c r="FC12">
        <v>4938</v>
      </c>
      <c r="FD12">
        <v>2325</v>
      </c>
      <c r="FE12">
        <v>2093</v>
      </c>
      <c r="FF12">
        <v>2769</v>
      </c>
      <c r="FG12">
        <v>2113</v>
      </c>
      <c r="FH12">
        <v>86</v>
      </c>
      <c r="FI12">
        <v>68</v>
      </c>
      <c r="FJ12">
        <v>222</v>
      </c>
      <c r="FK12">
        <v>8</v>
      </c>
      <c r="FL12">
        <v>15629</v>
      </c>
      <c r="FM12">
        <v>4375</v>
      </c>
      <c r="FN12">
        <v>521</v>
      </c>
      <c r="FO12">
        <v>3079</v>
      </c>
      <c r="FP12">
        <v>2120</v>
      </c>
      <c r="FQ12">
        <v>2354</v>
      </c>
      <c r="FR12">
        <v>1903</v>
      </c>
      <c r="FS12">
        <v>1269</v>
      </c>
      <c r="FT12">
        <v>8</v>
      </c>
      <c r="FU12">
        <v>1911</v>
      </c>
      <c r="FV12">
        <v>557</v>
      </c>
      <c r="FW12">
        <v>187</v>
      </c>
      <c r="FX12" t="s">
        <v>69</v>
      </c>
      <c r="FY12">
        <v>283</v>
      </c>
      <c r="FZ12">
        <v>205</v>
      </c>
      <c r="GA12">
        <v>339</v>
      </c>
      <c r="GB12">
        <v>171</v>
      </c>
      <c r="GC12">
        <v>169</v>
      </c>
      <c r="GD12">
        <v>4139</v>
      </c>
      <c r="GE12">
        <v>1576</v>
      </c>
      <c r="GF12">
        <v>655</v>
      </c>
      <c r="GG12">
        <v>1287</v>
      </c>
      <c r="GH12">
        <v>130</v>
      </c>
      <c r="GI12">
        <v>76</v>
      </c>
      <c r="GJ12">
        <v>39</v>
      </c>
      <c r="GK12">
        <v>86</v>
      </c>
      <c r="GL12">
        <v>68</v>
      </c>
      <c r="GM12">
        <v>222</v>
      </c>
      <c r="GN12">
        <v>0</v>
      </c>
      <c r="GO12">
        <v>11689</v>
      </c>
      <c r="GP12">
        <v>3390</v>
      </c>
      <c r="GQ12">
        <v>433</v>
      </c>
      <c r="GR12">
        <v>2123</v>
      </c>
      <c r="GS12">
        <v>852</v>
      </c>
      <c r="GT12">
        <v>756</v>
      </c>
      <c r="GU12">
        <v>3059</v>
      </c>
      <c r="GV12">
        <v>944</v>
      </c>
      <c r="GW12">
        <v>738</v>
      </c>
      <c r="GX12">
        <v>86</v>
      </c>
      <c r="GY12">
        <v>120</v>
      </c>
      <c r="GZ12">
        <v>42</v>
      </c>
      <c r="HA12">
        <v>14</v>
      </c>
      <c r="HB12">
        <v>76</v>
      </c>
      <c r="HC12">
        <v>0</v>
      </c>
      <c r="HD12">
        <v>10433</v>
      </c>
      <c r="HE12">
        <v>3199</v>
      </c>
      <c r="HF12">
        <v>0</v>
      </c>
      <c r="HG12">
        <v>1897</v>
      </c>
      <c r="HH12">
        <v>815</v>
      </c>
      <c r="HI12">
        <v>735</v>
      </c>
      <c r="HJ12">
        <v>3049</v>
      </c>
      <c r="HK12">
        <v>738</v>
      </c>
      <c r="HL12">
        <v>0</v>
      </c>
      <c r="HM12">
        <v>0</v>
      </c>
      <c r="HN12">
        <v>289</v>
      </c>
      <c r="HO12">
        <v>92</v>
      </c>
      <c r="HP12">
        <v>29</v>
      </c>
      <c r="HQ12">
        <v>21</v>
      </c>
      <c r="HR12">
        <v>51</v>
      </c>
      <c r="HS12">
        <v>86</v>
      </c>
      <c r="HT12">
        <v>10</v>
      </c>
      <c r="HU12">
        <v>0</v>
      </c>
      <c r="HV12">
        <v>967</v>
      </c>
      <c r="HW12">
        <v>140</v>
      </c>
      <c r="HX12">
        <v>433</v>
      </c>
      <c r="HY12">
        <v>134</v>
      </c>
      <c r="HZ12">
        <v>42</v>
      </c>
      <c r="IA12">
        <v>120</v>
      </c>
      <c r="IB12">
        <v>14</v>
      </c>
      <c r="IC12">
        <v>8</v>
      </c>
      <c r="ID12">
        <v>76</v>
      </c>
      <c r="IE12">
        <v>0</v>
      </c>
      <c r="IG12">
        <v>60.179648999999998</v>
      </c>
    </row>
    <row r="13" spans="1:241" x14ac:dyDescent="0.25">
      <c r="A13" t="s">
        <v>40</v>
      </c>
      <c r="B13">
        <v>15.199637020000001</v>
      </c>
      <c r="C13">
        <v>17.967332119999998</v>
      </c>
      <c r="D13">
        <v>32.078039930000003</v>
      </c>
      <c r="E13">
        <v>20.871143379999999</v>
      </c>
      <c r="F13">
        <v>8.484573503</v>
      </c>
      <c r="G13">
        <v>2.404718693</v>
      </c>
      <c r="H13">
        <v>0.362976407</v>
      </c>
      <c r="I13">
        <v>2.1324863879999998</v>
      </c>
      <c r="J13">
        <v>0</v>
      </c>
      <c r="K13">
        <v>0.49909255899999999</v>
      </c>
      <c r="L13">
        <v>47</v>
      </c>
      <c r="M13">
        <v>2204</v>
      </c>
      <c r="N13">
        <v>335</v>
      </c>
      <c r="O13">
        <v>396</v>
      </c>
      <c r="P13">
        <v>707</v>
      </c>
      <c r="Q13">
        <v>460</v>
      </c>
      <c r="R13">
        <v>187</v>
      </c>
      <c r="S13">
        <v>53</v>
      </c>
      <c r="T13">
        <v>8</v>
      </c>
      <c r="U13">
        <v>47</v>
      </c>
      <c r="V13">
        <v>0</v>
      </c>
      <c r="W13">
        <v>11</v>
      </c>
      <c r="X13">
        <v>1139</v>
      </c>
      <c r="Y13">
        <v>278</v>
      </c>
      <c r="Z13">
        <v>324</v>
      </c>
      <c r="AA13">
        <v>318</v>
      </c>
      <c r="AB13">
        <v>100</v>
      </c>
      <c r="AC13">
        <v>24</v>
      </c>
      <c r="AD13">
        <v>35</v>
      </c>
      <c r="AE13">
        <v>2</v>
      </c>
      <c r="AF13">
        <v>47</v>
      </c>
      <c r="AG13">
        <v>11</v>
      </c>
      <c r="AH13">
        <v>1065</v>
      </c>
      <c r="AI13">
        <v>360</v>
      </c>
      <c r="AJ13">
        <v>389</v>
      </c>
      <c r="AK13">
        <v>152</v>
      </c>
      <c r="AL13">
        <v>72</v>
      </c>
      <c r="AM13">
        <v>29</v>
      </c>
      <c r="AN13">
        <v>57</v>
      </c>
      <c r="AO13">
        <v>6</v>
      </c>
      <c r="AP13">
        <v>0</v>
      </c>
      <c r="AQ13">
        <v>0</v>
      </c>
      <c r="AR13">
        <v>41.210886485000003</v>
      </c>
      <c r="AS13">
        <v>37.564645040000002</v>
      </c>
      <c r="AT13">
        <v>3.1395288090000002</v>
      </c>
      <c r="AU13">
        <v>0.50671263600000005</v>
      </c>
      <c r="AV13">
        <v>29.53037664</v>
      </c>
      <c r="AW13">
        <v>17.698375389999999</v>
      </c>
      <c r="AX13">
        <v>11.832001249999999</v>
      </c>
      <c r="AY13">
        <v>12.24468474</v>
      </c>
      <c r="AZ13">
        <v>12.24468474</v>
      </c>
      <c r="BA13">
        <v>15.499138066</v>
      </c>
      <c r="BB13">
        <v>9.1260512980000001</v>
      </c>
      <c r="BC13">
        <v>6.3730867680000003</v>
      </c>
      <c r="BD13">
        <v>0.334325863</v>
      </c>
      <c r="BE13">
        <v>0.26641592200000003</v>
      </c>
      <c r="BF13">
        <v>0.26641592200000003</v>
      </c>
      <c r="BG13">
        <v>0.86193386599999999</v>
      </c>
      <c r="BH13">
        <v>5.2238416000000003E-2</v>
      </c>
      <c r="BI13">
        <v>100.000000004</v>
      </c>
      <c r="BJ13">
        <v>42.609194578</v>
      </c>
      <c r="BK13">
        <v>39.718855339999998</v>
      </c>
      <c r="BL13">
        <v>2.8903392380000001</v>
      </c>
      <c r="BM13">
        <v>28.881876210000001</v>
      </c>
      <c r="BN13">
        <v>14.09309331</v>
      </c>
      <c r="BO13">
        <v>14.788782899999999</v>
      </c>
      <c r="BP13">
        <v>18.267230868999999</v>
      </c>
      <c r="BQ13">
        <v>10.406655669999999</v>
      </c>
      <c r="BR13">
        <v>7.8605751990000003</v>
      </c>
      <c r="BS13">
        <v>10.169977769999999</v>
      </c>
      <c r="BT13">
        <v>10.169977769999999</v>
      </c>
      <c r="BU13">
        <v>7.1720576999999994E-2</v>
      </c>
      <c r="BV13">
        <v>100.000000008</v>
      </c>
      <c r="BW13">
        <v>46.919431279999998</v>
      </c>
      <c r="BX13">
        <v>36.492891</v>
      </c>
      <c r="BY13">
        <v>10.426540279999999</v>
      </c>
      <c r="BZ13">
        <v>24.381253300000001</v>
      </c>
      <c r="CA13">
        <v>13.691416540000001</v>
      </c>
      <c r="CB13">
        <v>10.68983676</v>
      </c>
      <c r="CC13">
        <v>19.062664558999998</v>
      </c>
      <c r="CD13">
        <v>12.796208529999999</v>
      </c>
      <c r="CE13">
        <v>6.2664560290000004</v>
      </c>
      <c r="CF13">
        <v>9.6366508690000003</v>
      </c>
      <c r="CG13">
        <v>9.6366508690000003</v>
      </c>
      <c r="CH13">
        <v>100.00000000099999</v>
      </c>
      <c r="CI13">
        <v>35.23174796</v>
      </c>
      <c r="CJ13">
        <v>35.23174796</v>
      </c>
      <c r="CK13">
        <v>22.50833081</v>
      </c>
      <c r="CL13">
        <v>22.50833081</v>
      </c>
      <c r="CM13">
        <v>32.020599814000001</v>
      </c>
      <c r="CN13">
        <v>29.082096329999999</v>
      </c>
      <c r="CO13">
        <v>2.9385034839999999</v>
      </c>
      <c r="CP13">
        <v>1.75704332</v>
      </c>
      <c r="CQ13">
        <v>1.6055740679999999</v>
      </c>
      <c r="CR13">
        <v>0.151469252</v>
      </c>
      <c r="CS13">
        <v>1.9388064220000001</v>
      </c>
      <c r="CT13">
        <v>1.544986368</v>
      </c>
      <c r="CU13">
        <v>1.544986368</v>
      </c>
      <c r="CV13">
        <v>4.9984853070000002</v>
      </c>
      <c r="CW13">
        <v>0</v>
      </c>
      <c r="CX13">
        <v>99.999999997999993</v>
      </c>
      <c r="CY13">
        <v>40.272865086000003</v>
      </c>
      <c r="CZ13">
        <v>36.624557860000003</v>
      </c>
      <c r="DA13">
        <v>3.648307226</v>
      </c>
      <c r="DB13">
        <v>15.93734209</v>
      </c>
      <c r="DC13">
        <v>11.045982818999999</v>
      </c>
      <c r="DD13">
        <v>6.1546235469999999</v>
      </c>
      <c r="DE13">
        <v>4.8913592719999999</v>
      </c>
      <c r="DF13">
        <v>22.19302678</v>
      </c>
      <c r="DG13">
        <v>9.4896412330000004</v>
      </c>
      <c r="DH13">
        <v>0.363820111</v>
      </c>
      <c r="DI13">
        <v>0.12127337000000001</v>
      </c>
      <c r="DJ13">
        <v>0.57604850900000004</v>
      </c>
      <c r="DK13">
        <v>0.57604850900000004</v>
      </c>
      <c r="DL13">
        <v>0</v>
      </c>
      <c r="DM13">
        <v>100.000000005</v>
      </c>
      <c r="DN13">
        <v>39.191201739999997</v>
      </c>
      <c r="DO13">
        <v>39.191201739999997</v>
      </c>
      <c r="DP13">
        <v>0</v>
      </c>
      <c r="DQ13">
        <v>16.049948449999999</v>
      </c>
      <c r="DR13">
        <v>16.049948449999999</v>
      </c>
      <c r="DS13">
        <v>11.398785656999999</v>
      </c>
      <c r="DT13">
        <v>6.3122923589999997</v>
      </c>
      <c r="DU13">
        <v>5.0864932979999997</v>
      </c>
      <c r="DV13">
        <v>24.90548746</v>
      </c>
      <c r="DW13">
        <v>8.4545766980000003</v>
      </c>
      <c r="DX13">
        <v>0</v>
      </c>
      <c r="DY13">
        <v>0</v>
      </c>
      <c r="DZ13">
        <v>100.00000000099999</v>
      </c>
      <c r="EA13">
        <v>24.371859300000001</v>
      </c>
      <c r="EB13">
        <v>24.371859300000001</v>
      </c>
      <c r="EC13">
        <v>21.356783919999998</v>
      </c>
      <c r="ED13">
        <v>11.30653266</v>
      </c>
      <c r="EE13">
        <v>10.05025126</v>
      </c>
      <c r="EF13">
        <v>21.356783920000002</v>
      </c>
      <c r="EG13">
        <v>21.356783920000002</v>
      </c>
      <c r="EH13">
        <v>27.386934669999999</v>
      </c>
      <c r="EI13">
        <v>5.5276381910000003</v>
      </c>
      <c r="EJ13">
        <v>0</v>
      </c>
      <c r="EK13">
        <v>99.999999993000003</v>
      </c>
      <c r="EL13">
        <v>62.369791660000004</v>
      </c>
      <c r="EM13">
        <v>15.36458333</v>
      </c>
      <c r="EN13">
        <v>47.005208330000002</v>
      </c>
      <c r="EO13">
        <v>10.28645833</v>
      </c>
      <c r="EP13">
        <v>10.28645833</v>
      </c>
      <c r="EQ13">
        <v>4.6875</v>
      </c>
      <c r="ER13">
        <v>11.97916667</v>
      </c>
      <c r="ES13">
        <v>1.5625</v>
      </c>
      <c r="ET13">
        <v>1.6927083329999999</v>
      </c>
      <c r="EU13">
        <v>1.6927083329999999</v>
      </c>
      <c r="EV13">
        <v>7.421875</v>
      </c>
      <c r="EW13">
        <v>7.421875</v>
      </c>
      <c r="EX13">
        <v>0</v>
      </c>
      <c r="EY13">
        <v>19143</v>
      </c>
      <c r="EZ13">
        <v>7191</v>
      </c>
      <c r="FA13">
        <v>601</v>
      </c>
      <c r="FB13">
        <v>97</v>
      </c>
      <c r="FC13">
        <v>3388</v>
      </c>
      <c r="FD13">
        <v>2265</v>
      </c>
      <c r="FE13">
        <v>2344</v>
      </c>
      <c r="FF13">
        <v>1747</v>
      </c>
      <c r="FG13">
        <v>1220</v>
      </c>
      <c r="FH13">
        <v>64</v>
      </c>
      <c r="FI13">
        <v>51</v>
      </c>
      <c r="FJ13">
        <v>165</v>
      </c>
      <c r="FK13">
        <v>10</v>
      </c>
      <c r="FL13">
        <v>13943</v>
      </c>
      <c r="FM13">
        <v>5538</v>
      </c>
      <c r="FN13">
        <v>403</v>
      </c>
      <c r="FO13">
        <v>1965</v>
      </c>
      <c r="FP13">
        <v>2062</v>
      </c>
      <c r="FQ13">
        <v>1451</v>
      </c>
      <c r="FR13">
        <v>1096</v>
      </c>
      <c r="FS13">
        <v>1418</v>
      </c>
      <c r="FT13">
        <v>10</v>
      </c>
      <c r="FU13">
        <v>1899</v>
      </c>
      <c r="FV13">
        <v>693</v>
      </c>
      <c r="FW13">
        <v>198</v>
      </c>
      <c r="FX13" t="s">
        <v>69</v>
      </c>
      <c r="FY13">
        <v>260</v>
      </c>
      <c r="FZ13">
        <v>203</v>
      </c>
      <c r="GA13">
        <v>243</v>
      </c>
      <c r="GB13">
        <v>119</v>
      </c>
      <c r="GC13">
        <v>183</v>
      </c>
      <c r="GD13">
        <v>3301</v>
      </c>
      <c r="GE13">
        <v>1163</v>
      </c>
      <c r="GF13">
        <v>743</v>
      </c>
      <c r="GG13">
        <v>960</v>
      </c>
      <c r="GH13">
        <v>97</v>
      </c>
      <c r="GI13">
        <v>53</v>
      </c>
      <c r="GJ13">
        <v>5</v>
      </c>
      <c r="GK13">
        <v>64</v>
      </c>
      <c r="GL13">
        <v>51</v>
      </c>
      <c r="GM13">
        <v>165</v>
      </c>
      <c r="GN13">
        <v>0</v>
      </c>
      <c r="GO13">
        <v>9895</v>
      </c>
      <c r="GP13">
        <v>3624</v>
      </c>
      <c r="GQ13">
        <v>361</v>
      </c>
      <c r="GR13">
        <v>1577</v>
      </c>
      <c r="GS13">
        <v>609</v>
      </c>
      <c r="GT13">
        <v>484</v>
      </c>
      <c r="GU13">
        <v>2196</v>
      </c>
      <c r="GV13">
        <v>939</v>
      </c>
      <c r="GW13">
        <v>738</v>
      </c>
      <c r="GX13">
        <v>109</v>
      </c>
      <c r="GY13">
        <v>92</v>
      </c>
      <c r="GZ13">
        <v>36</v>
      </c>
      <c r="HA13">
        <v>12</v>
      </c>
      <c r="HB13">
        <v>57</v>
      </c>
      <c r="HC13">
        <v>0</v>
      </c>
      <c r="HD13">
        <v>8729</v>
      </c>
      <c r="HE13">
        <v>3421</v>
      </c>
      <c r="HF13">
        <v>0</v>
      </c>
      <c r="HG13">
        <v>1401</v>
      </c>
      <c r="HH13">
        <v>551</v>
      </c>
      <c r="HI13">
        <v>444</v>
      </c>
      <c r="HJ13">
        <v>2174</v>
      </c>
      <c r="HK13">
        <v>738</v>
      </c>
      <c r="HL13">
        <v>0</v>
      </c>
      <c r="HM13">
        <v>0</v>
      </c>
      <c r="HN13">
        <v>398</v>
      </c>
      <c r="HO13">
        <v>97</v>
      </c>
      <c r="HP13">
        <v>45</v>
      </c>
      <c r="HQ13">
        <v>40</v>
      </c>
      <c r="HR13">
        <v>85</v>
      </c>
      <c r="HS13">
        <v>109</v>
      </c>
      <c r="HT13">
        <v>22</v>
      </c>
      <c r="HU13">
        <v>0</v>
      </c>
      <c r="HV13">
        <v>768</v>
      </c>
      <c r="HW13">
        <v>118</v>
      </c>
      <c r="HX13">
        <v>361</v>
      </c>
      <c r="HY13">
        <v>79</v>
      </c>
      <c r="HZ13">
        <v>36</v>
      </c>
      <c r="IA13">
        <v>92</v>
      </c>
      <c r="IB13">
        <v>12</v>
      </c>
      <c r="IC13">
        <v>13</v>
      </c>
      <c r="ID13">
        <v>57</v>
      </c>
      <c r="IE13">
        <v>0</v>
      </c>
      <c r="IG13">
        <v>58.531269000000002</v>
      </c>
    </row>
    <row r="14" spans="1:241" x14ac:dyDescent="0.25">
      <c r="A14" t="s">
        <v>41</v>
      </c>
      <c r="B14">
        <v>17.163412130000001</v>
      </c>
      <c r="C14">
        <v>15.36485098</v>
      </c>
      <c r="D14">
        <v>28.520041110000001</v>
      </c>
      <c r="E14">
        <v>22.764645430000002</v>
      </c>
      <c r="F14">
        <v>8.0678314489999998</v>
      </c>
      <c r="G14">
        <v>4.6248715310000001</v>
      </c>
      <c r="H14">
        <v>0.71942446000000004</v>
      </c>
      <c r="I14">
        <v>2.1582733809999999</v>
      </c>
      <c r="J14">
        <v>0</v>
      </c>
      <c r="K14">
        <v>0.616649538</v>
      </c>
      <c r="L14">
        <v>42</v>
      </c>
      <c r="M14">
        <v>1946</v>
      </c>
      <c r="N14">
        <v>334</v>
      </c>
      <c r="O14">
        <v>299</v>
      </c>
      <c r="P14">
        <v>555</v>
      </c>
      <c r="Q14">
        <v>443</v>
      </c>
      <c r="R14">
        <v>157</v>
      </c>
      <c r="S14">
        <v>90</v>
      </c>
      <c r="T14">
        <v>14</v>
      </c>
      <c r="U14">
        <v>42</v>
      </c>
      <c r="V14">
        <v>0</v>
      </c>
      <c r="W14">
        <v>12</v>
      </c>
      <c r="X14">
        <v>853</v>
      </c>
      <c r="Y14">
        <v>264</v>
      </c>
      <c r="Z14">
        <v>207</v>
      </c>
      <c r="AA14">
        <v>206</v>
      </c>
      <c r="AB14">
        <v>79</v>
      </c>
      <c r="AC14">
        <v>25</v>
      </c>
      <c r="AD14">
        <v>12</v>
      </c>
      <c r="AE14">
        <v>7</v>
      </c>
      <c r="AF14">
        <v>42</v>
      </c>
      <c r="AG14">
        <v>11</v>
      </c>
      <c r="AH14">
        <v>1093</v>
      </c>
      <c r="AI14">
        <v>364</v>
      </c>
      <c r="AJ14">
        <v>349</v>
      </c>
      <c r="AK14">
        <v>145</v>
      </c>
      <c r="AL14">
        <v>92</v>
      </c>
      <c r="AM14">
        <v>65</v>
      </c>
      <c r="AN14">
        <v>70</v>
      </c>
      <c r="AO14">
        <v>7</v>
      </c>
      <c r="AP14">
        <v>0</v>
      </c>
      <c r="AQ14">
        <v>1</v>
      </c>
      <c r="AR14">
        <v>34.381267274999999</v>
      </c>
      <c r="AS14">
        <v>31.351292749999999</v>
      </c>
      <c r="AT14">
        <v>2.542143206</v>
      </c>
      <c r="AU14">
        <v>0.48783131899999999</v>
      </c>
      <c r="AV14">
        <v>30.24012141</v>
      </c>
      <c r="AW14">
        <v>17.72995826</v>
      </c>
      <c r="AX14">
        <v>12.51016315</v>
      </c>
      <c r="AY14">
        <v>17.816683829999999</v>
      </c>
      <c r="AZ14">
        <v>17.816683829999999</v>
      </c>
      <c r="BA14">
        <v>16.136375956000002</v>
      </c>
      <c r="BB14">
        <v>9.2471136650000005</v>
      </c>
      <c r="BC14">
        <v>6.8892622909999996</v>
      </c>
      <c r="BD14">
        <v>0.319800531</v>
      </c>
      <c r="BE14">
        <v>0.25475635499999999</v>
      </c>
      <c r="BF14">
        <v>0.25475635499999999</v>
      </c>
      <c r="BG14">
        <v>0.83473359000000003</v>
      </c>
      <c r="BH14">
        <v>1.6261043999999999E-2</v>
      </c>
      <c r="BI14">
        <v>99.999999999000011</v>
      </c>
      <c r="BJ14">
        <v>34.469085032999999</v>
      </c>
      <c r="BK14">
        <v>32.097224259999997</v>
      </c>
      <c r="BL14">
        <v>2.3718607729999999</v>
      </c>
      <c r="BM14">
        <v>30.672639150000002</v>
      </c>
      <c r="BN14">
        <v>15.47951241</v>
      </c>
      <c r="BO14">
        <v>15.19312674</v>
      </c>
      <c r="BP14">
        <v>18.769275958999998</v>
      </c>
      <c r="BQ14">
        <v>10.383316199999999</v>
      </c>
      <c r="BR14">
        <v>8.3859597590000003</v>
      </c>
      <c r="BS14">
        <v>16.066970189999999</v>
      </c>
      <c r="BT14">
        <v>16.066970189999999</v>
      </c>
      <c r="BU14">
        <v>2.2029666999999999E-2</v>
      </c>
      <c r="BV14">
        <v>99.999999992999989</v>
      </c>
      <c r="BW14">
        <v>33.906013135000002</v>
      </c>
      <c r="BX14">
        <v>26.528549770000001</v>
      </c>
      <c r="BY14">
        <v>7.3774633649999997</v>
      </c>
      <c r="BZ14">
        <v>27.03385548</v>
      </c>
      <c r="CA14">
        <v>14.95704901</v>
      </c>
      <c r="CB14">
        <v>12.076806469999999</v>
      </c>
      <c r="CC14">
        <v>18.393127837999998</v>
      </c>
      <c r="CD14">
        <v>12.379989889999999</v>
      </c>
      <c r="CE14">
        <v>6.0131379479999998</v>
      </c>
      <c r="CF14">
        <v>20.66700354</v>
      </c>
      <c r="CG14">
        <v>20.66700354</v>
      </c>
      <c r="CH14">
        <v>100.00000000599999</v>
      </c>
      <c r="CI14">
        <v>30.3997195</v>
      </c>
      <c r="CJ14">
        <v>30.3997195</v>
      </c>
      <c r="CK14">
        <v>24.19354839</v>
      </c>
      <c r="CL14">
        <v>24.19354839</v>
      </c>
      <c r="CM14">
        <v>34.291725104000001</v>
      </c>
      <c r="CN14">
        <v>31.13604488</v>
      </c>
      <c r="CO14">
        <v>3.1556802240000001</v>
      </c>
      <c r="CP14">
        <v>1.998597475</v>
      </c>
      <c r="CQ14">
        <v>1.6479663389999999</v>
      </c>
      <c r="CR14">
        <v>0.35063113600000001</v>
      </c>
      <c r="CS14">
        <v>2.0687237029999999</v>
      </c>
      <c r="CT14">
        <v>1.6479663389999999</v>
      </c>
      <c r="CU14">
        <v>1.6479663389999999</v>
      </c>
      <c r="CV14">
        <v>5.3997194950000003</v>
      </c>
      <c r="CW14">
        <v>0</v>
      </c>
      <c r="CX14">
        <v>100.00000000199999</v>
      </c>
      <c r="CY14">
        <v>40.607192897000004</v>
      </c>
      <c r="CZ14">
        <v>37.870154130000003</v>
      </c>
      <c r="DA14">
        <v>2.737038767</v>
      </c>
      <c r="DB14">
        <v>22.01774872</v>
      </c>
      <c r="DC14">
        <v>12.003736572000001</v>
      </c>
      <c r="DD14">
        <v>6.7164876229999999</v>
      </c>
      <c r="DE14">
        <v>5.2872489490000003</v>
      </c>
      <c r="DF14">
        <v>17.197571230000001</v>
      </c>
      <c r="DG14">
        <v>7.4170948159999996</v>
      </c>
      <c r="DH14">
        <v>0.17748715500000001</v>
      </c>
      <c r="DI14">
        <v>9.3414291999999996E-2</v>
      </c>
      <c r="DJ14">
        <v>0.48575432000000002</v>
      </c>
      <c r="DK14">
        <v>0.48575432000000002</v>
      </c>
      <c r="DL14">
        <v>0</v>
      </c>
      <c r="DM14">
        <v>100.00000000099999</v>
      </c>
      <c r="DN14">
        <v>40.701535909999997</v>
      </c>
      <c r="DO14">
        <v>40.701535909999997</v>
      </c>
      <c r="DP14">
        <v>0</v>
      </c>
      <c r="DQ14">
        <v>21.06683271</v>
      </c>
      <c r="DR14">
        <v>21.06683271</v>
      </c>
      <c r="DS14">
        <v>12.785388126999999</v>
      </c>
      <c r="DT14">
        <v>7.0464923199999996</v>
      </c>
      <c r="DU14">
        <v>5.7388958069999996</v>
      </c>
      <c r="DV14">
        <v>19.001660439999998</v>
      </c>
      <c r="DW14">
        <v>6.4445828140000003</v>
      </c>
      <c r="DX14">
        <v>0</v>
      </c>
      <c r="DY14">
        <v>0</v>
      </c>
      <c r="DZ14">
        <v>99.999999992999989</v>
      </c>
      <c r="EA14">
        <v>46.456692910000001</v>
      </c>
      <c r="EB14">
        <v>46.456692910000001</v>
      </c>
      <c r="EC14">
        <v>12.598425197000001</v>
      </c>
      <c r="ED14">
        <v>9.186351706</v>
      </c>
      <c r="EE14">
        <v>3.4120734910000001</v>
      </c>
      <c r="EF14">
        <v>13.38582677</v>
      </c>
      <c r="EG14">
        <v>13.38582677</v>
      </c>
      <c r="EH14">
        <v>24.934383199999999</v>
      </c>
      <c r="EI14">
        <v>2.624671916</v>
      </c>
      <c r="EJ14">
        <v>0</v>
      </c>
      <c r="EK14">
        <v>99.999999990000006</v>
      </c>
      <c r="EL14">
        <v>54.36046511</v>
      </c>
      <c r="EM14">
        <v>11.77325581</v>
      </c>
      <c r="EN14">
        <v>42.587209299999998</v>
      </c>
      <c r="EO14">
        <v>21.802325580000002</v>
      </c>
      <c r="EP14">
        <v>21.802325580000002</v>
      </c>
      <c r="EQ14">
        <v>2.7616279069999998</v>
      </c>
      <c r="ER14">
        <v>11.3372093</v>
      </c>
      <c r="ES14">
        <v>1.453488372</v>
      </c>
      <c r="ET14">
        <v>0.72674418600000001</v>
      </c>
      <c r="EU14">
        <v>0.72674418600000001</v>
      </c>
      <c r="EV14">
        <v>7.5581395349999996</v>
      </c>
      <c r="EW14">
        <v>7.5581395349999996</v>
      </c>
      <c r="EX14">
        <v>0</v>
      </c>
      <c r="EY14">
        <v>18449</v>
      </c>
      <c r="EZ14">
        <v>5784</v>
      </c>
      <c r="FA14">
        <v>469</v>
      </c>
      <c r="FB14">
        <v>90</v>
      </c>
      <c r="FC14">
        <v>3271</v>
      </c>
      <c r="FD14">
        <v>2308</v>
      </c>
      <c r="FE14">
        <v>3287</v>
      </c>
      <c r="FF14">
        <v>1706</v>
      </c>
      <c r="FG14">
        <v>1271</v>
      </c>
      <c r="FH14">
        <v>59</v>
      </c>
      <c r="FI14">
        <v>47</v>
      </c>
      <c r="FJ14">
        <v>154</v>
      </c>
      <c r="FK14">
        <v>3</v>
      </c>
      <c r="FL14">
        <v>13618</v>
      </c>
      <c r="FM14">
        <v>4371</v>
      </c>
      <c r="FN14">
        <v>323</v>
      </c>
      <c r="FO14">
        <v>2108</v>
      </c>
      <c r="FP14">
        <v>2069</v>
      </c>
      <c r="FQ14">
        <v>1414</v>
      </c>
      <c r="FR14">
        <v>1142</v>
      </c>
      <c r="FS14">
        <v>2188</v>
      </c>
      <c r="FT14">
        <v>3</v>
      </c>
      <c r="FU14">
        <v>1979</v>
      </c>
      <c r="FV14">
        <v>525</v>
      </c>
      <c r="FW14">
        <v>146</v>
      </c>
      <c r="FX14" t="s">
        <v>69</v>
      </c>
      <c r="FY14">
        <v>296</v>
      </c>
      <c r="FZ14">
        <v>239</v>
      </c>
      <c r="GA14">
        <v>245</v>
      </c>
      <c r="GB14">
        <v>119</v>
      </c>
      <c r="GC14">
        <v>409</v>
      </c>
      <c r="GD14">
        <v>2852</v>
      </c>
      <c r="GE14">
        <v>867</v>
      </c>
      <c r="GF14">
        <v>690</v>
      </c>
      <c r="GG14">
        <v>888</v>
      </c>
      <c r="GH14">
        <v>90</v>
      </c>
      <c r="GI14">
        <v>47</v>
      </c>
      <c r="GJ14">
        <v>10</v>
      </c>
      <c r="GK14">
        <v>59</v>
      </c>
      <c r="GL14">
        <v>47</v>
      </c>
      <c r="GM14">
        <v>154</v>
      </c>
      <c r="GN14">
        <v>0</v>
      </c>
      <c r="GO14">
        <v>10705</v>
      </c>
      <c r="GP14">
        <v>4054</v>
      </c>
      <c r="GQ14">
        <v>293</v>
      </c>
      <c r="GR14">
        <v>2357</v>
      </c>
      <c r="GS14">
        <v>719</v>
      </c>
      <c r="GT14">
        <v>566</v>
      </c>
      <c r="GU14">
        <v>1841</v>
      </c>
      <c r="GV14">
        <v>794</v>
      </c>
      <c r="GW14">
        <v>621</v>
      </c>
      <c r="GX14">
        <v>95</v>
      </c>
      <c r="GY14">
        <v>78</v>
      </c>
      <c r="GZ14">
        <v>19</v>
      </c>
      <c r="HA14">
        <v>10</v>
      </c>
      <c r="HB14">
        <v>52</v>
      </c>
      <c r="HC14">
        <v>0</v>
      </c>
      <c r="HD14">
        <v>9636</v>
      </c>
      <c r="HE14">
        <v>3922</v>
      </c>
      <c r="HF14">
        <v>0</v>
      </c>
      <c r="HG14">
        <v>2030</v>
      </c>
      <c r="HH14">
        <v>679</v>
      </c>
      <c r="HI14">
        <v>553</v>
      </c>
      <c r="HJ14">
        <v>1831</v>
      </c>
      <c r="HK14">
        <v>621</v>
      </c>
      <c r="HL14">
        <v>0</v>
      </c>
      <c r="HM14">
        <v>0</v>
      </c>
      <c r="HN14">
        <v>381</v>
      </c>
      <c r="HO14">
        <v>177</v>
      </c>
      <c r="HP14">
        <v>35</v>
      </c>
      <c r="HQ14">
        <v>13</v>
      </c>
      <c r="HR14">
        <v>51</v>
      </c>
      <c r="HS14">
        <v>95</v>
      </c>
      <c r="HT14">
        <v>10</v>
      </c>
      <c r="HU14">
        <v>0</v>
      </c>
      <c r="HV14">
        <v>688</v>
      </c>
      <c r="HW14">
        <v>81</v>
      </c>
      <c r="HX14">
        <v>293</v>
      </c>
      <c r="HY14">
        <v>150</v>
      </c>
      <c r="HZ14">
        <v>19</v>
      </c>
      <c r="IA14">
        <v>78</v>
      </c>
      <c r="IB14">
        <v>10</v>
      </c>
      <c r="IC14">
        <v>5</v>
      </c>
      <c r="ID14">
        <v>52</v>
      </c>
      <c r="IE14">
        <v>0</v>
      </c>
      <c r="IG14">
        <v>58.955596999999997</v>
      </c>
    </row>
    <row r="15" spans="1:241" x14ac:dyDescent="0.25">
      <c r="A15" t="s">
        <v>42</v>
      </c>
      <c r="B15">
        <v>15.40997116</v>
      </c>
      <c r="C15">
        <v>17.923362180000002</v>
      </c>
      <c r="D15">
        <v>30.037082819999998</v>
      </c>
      <c r="E15">
        <v>20.354346929999998</v>
      </c>
      <c r="F15">
        <v>9.4767202309999998</v>
      </c>
      <c r="G15">
        <v>3.4610630410000001</v>
      </c>
      <c r="H15">
        <v>0.24721878899999999</v>
      </c>
      <c r="I15">
        <v>2.3073753610000001</v>
      </c>
      <c r="J15">
        <v>0</v>
      </c>
      <c r="K15">
        <v>0.78285949700000002</v>
      </c>
      <c r="L15">
        <v>56</v>
      </c>
      <c r="M15">
        <v>2427</v>
      </c>
      <c r="N15">
        <v>374</v>
      </c>
      <c r="O15">
        <v>435</v>
      </c>
      <c r="P15">
        <v>729</v>
      </c>
      <c r="Q15">
        <v>494</v>
      </c>
      <c r="R15">
        <v>230</v>
      </c>
      <c r="S15">
        <v>84</v>
      </c>
      <c r="T15">
        <v>6</v>
      </c>
      <c r="U15">
        <v>56</v>
      </c>
      <c r="V15">
        <v>0</v>
      </c>
      <c r="W15">
        <v>19</v>
      </c>
      <c r="X15">
        <v>1125</v>
      </c>
      <c r="Y15">
        <v>308</v>
      </c>
      <c r="Z15">
        <v>330</v>
      </c>
      <c r="AA15">
        <v>254</v>
      </c>
      <c r="AB15">
        <v>114</v>
      </c>
      <c r="AC15">
        <v>26</v>
      </c>
      <c r="AD15">
        <v>13</v>
      </c>
      <c r="AE15">
        <v>5</v>
      </c>
      <c r="AF15">
        <v>56</v>
      </c>
      <c r="AG15">
        <v>19</v>
      </c>
      <c r="AH15">
        <v>1302</v>
      </c>
      <c r="AI15">
        <v>380</v>
      </c>
      <c r="AJ15">
        <v>475</v>
      </c>
      <c r="AK15">
        <v>217</v>
      </c>
      <c r="AL15">
        <v>105</v>
      </c>
      <c r="AM15">
        <v>58</v>
      </c>
      <c r="AN15">
        <v>66</v>
      </c>
      <c r="AO15">
        <v>1</v>
      </c>
      <c r="AP15">
        <v>0</v>
      </c>
      <c r="AQ15">
        <v>0</v>
      </c>
      <c r="AR15">
        <v>36.853807674999999</v>
      </c>
      <c r="AS15">
        <v>33.579261209999999</v>
      </c>
      <c r="AT15">
        <v>2.8450149069999999</v>
      </c>
      <c r="AU15">
        <v>0.42953155799999998</v>
      </c>
      <c r="AV15">
        <v>32.118853900000005</v>
      </c>
      <c r="AW15">
        <v>20.334529280000002</v>
      </c>
      <c r="AX15">
        <v>11.78432462</v>
      </c>
      <c r="AY15">
        <v>12.567588049999999</v>
      </c>
      <c r="AZ15">
        <v>12.567588049999999</v>
      </c>
      <c r="BA15">
        <v>17.090302694000002</v>
      </c>
      <c r="BB15">
        <v>9.3486280260000001</v>
      </c>
      <c r="BC15">
        <v>7.7416746679999999</v>
      </c>
      <c r="BD15">
        <v>0.28298549699999997</v>
      </c>
      <c r="BE15">
        <v>0.22739905999999999</v>
      </c>
      <c r="BF15">
        <v>0.22739905999999999</v>
      </c>
      <c r="BG15">
        <v>0.73778361699999995</v>
      </c>
      <c r="BH15">
        <v>0.121279499</v>
      </c>
      <c r="BI15">
        <v>100.00000000000001</v>
      </c>
      <c r="BJ15">
        <v>36.504543025000004</v>
      </c>
      <c r="BK15">
        <v>34.279796900000001</v>
      </c>
      <c r="BL15">
        <v>2.2247461249999998</v>
      </c>
      <c r="BM15">
        <v>33.023784070000005</v>
      </c>
      <c r="BN15">
        <v>18.646445750000002</v>
      </c>
      <c r="BO15">
        <v>14.37733832</v>
      </c>
      <c r="BP15">
        <v>19.568412611999999</v>
      </c>
      <c r="BQ15">
        <v>10.40219134</v>
      </c>
      <c r="BR15">
        <v>9.1662212719999996</v>
      </c>
      <c r="BS15">
        <v>10.742918230000001</v>
      </c>
      <c r="BT15">
        <v>10.742918230000001</v>
      </c>
      <c r="BU15">
        <v>0.16034206300000001</v>
      </c>
      <c r="BV15">
        <v>100.00000000600001</v>
      </c>
      <c r="BW15">
        <v>42.325800379999997</v>
      </c>
      <c r="BX15">
        <v>31.49717514</v>
      </c>
      <c r="BY15">
        <v>10.828625239999999</v>
      </c>
      <c r="BZ15">
        <v>23.634651601000002</v>
      </c>
      <c r="CA15">
        <v>15.16007533</v>
      </c>
      <c r="CB15">
        <v>8.4745762710000001</v>
      </c>
      <c r="CC15">
        <v>18.596986815000001</v>
      </c>
      <c r="CD15">
        <v>12.33521657</v>
      </c>
      <c r="CE15">
        <v>6.2617702450000001</v>
      </c>
      <c r="CF15">
        <v>15.442561209999999</v>
      </c>
      <c r="CG15">
        <v>15.442561209999999</v>
      </c>
      <c r="CH15">
        <v>99.999999997999993</v>
      </c>
      <c r="CI15">
        <v>33.778272149999999</v>
      </c>
      <c r="CJ15">
        <v>33.778272149999999</v>
      </c>
      <c r="CK15">
        <v>20.430107530000001</v>
      </c>
      <c r="CL15">
        <v>20.430107530000001</v>
      </c>
      <c r="CM15">
        <v>34.482758621000002</v>
      </c>
      <c r="CN15">
        <v>31.33110864</v>
      </c>
      <c r="CO15">
        <v>3.1516499809999998</v>
      </c>
      <c r="CP15">
        <v>2.150537634</v>
      </c>
      <c r="CQ15">
        <v>1.1494252869999999</v>
      </c>
      <c r="CR15">
        <v>1.0011123470000001</v>
      </c>
      <c r="CS15">
        <v>2.0763811639999998</v>
      </c>
      <c r="CT15">
        <v>1.6685205780000001</v>
      </c>
      <c r="CU15">
        <v>1.6685205780000001</v>
      </c>
      <c r="CV15">
        <v>5.4134223209999996</v>
      </c>
      <c r="CW15">
        <v>0</v>
      </c>
      <c r="CX15">
        <v>100.00000000400001</v>
      </c>
      <c r="CY15">
        <v>35.811951389000001</v>
      </c>
      <c r="CZ15">
        <v>33.127954090000003</v>
      </c>
      <c r="DA15">
        <v>2.6839972990000001</v>
      </c>
      <c r="DB15">
        <v>31.980081030000001</v>
      </c>
      <c r="DC15">
        <v>9.8244429440000012</v>
      </c>
      <c r="DD15">
        <v>5.1147873060000002</v>
      </c>
      <c r="DE15">
        <v>4.7096556380000001</v>
      </c>
      <c r="DF15">
        <v>14.34841323</v>
      </c>
      <c r="DG15">
        <v>7.2586090480000003</v>
      </c>
      <c r="DH15">
        <v>0.270087778</v>
      </c>
      <c r="DI15">
        <v>8.4402431E-2</v>
      </c>
      <c r="DJ15">
        <v>0.42201215399999997</v>
      </c>
      <c r="DK15">
        <v>0.42201215399999997</v>
      </c>
      <c r="DL15">
        <v>0</v>
      </c>
      <c r="DM15">
        <v>99.999999997000003</v>
      </c>
      <c r="DN15">
        <v>36.511492009999998</v>
      </c>
      <c r="DO15">
        <v>36.511492009999998</v>
      </c>
      <c r="DP15">
        <v>0</v>
      </c>
      <c r="DQ15">
        <v>30.015582389999999</v>
      </c>
      <c r="DR15">
        <v>30.015582389999999</v>
      </c>
      <c r="DS15">
        <v>10.761589404</v>
      </c>
      <c r="DT15">
        <v>5.5025321390000004</v>
      </c>
      <c r="DU15">
        <v>5.259057265</v>
      </c>
      <c r="DV15">
        <v>16.371250490000001</v>
      </c>
      <c r="DW15">
        <v>6.3400857029999997</v>
      </c>
      <c r="DX15">
        <v>0</v>
      </c>
      <c r="DY15">
        <v>0</v>
      </c>
      <c r="DZ15">
        <v>99.999999994000007</v>
      </c>
      <c r="EA15">
        <v>65.468549420000002</v>
      </c>
      <c r="EB15">
        <v>65.468549420000002</v>
      </c>
      <c r="EC15">
        <v>6.5468549419999995</v>
      </c>
      <c r="ED15">
        <v>4.2362002570000001</v>
      </c>
      <c r="EE15">
        <v>2.3106546849999998</v>
      </c>
      <c r="EF15">
        <v>9.2426187419999994</v>
      </c>
      <c r="EG15">
        <v>9.2426187419999994</v>
      </c>
      <c r="EH15">
        <v>16.3029525</v>
      </c>
      <c r="EI15">
        <v>2.4390243900000002</v>
      </c>
      <c r="EJ15">
        <v>0</v>
      </c>
      <c r="EK15">
        <v>100.00000000700001</v>
      </c>
      <c r="EL15">
        <v>52.68414482</v>
      </c>
      <c r="EM15">
        <v>12.983770290000001</v>
      </c>
      <c r="EN15">
        <v>39.700374529999998</v>
      </c>
      <c r="EO15">
        <v>24.59425718</v>
      </c>
      <c r="EP15">
        <v>24.59425718</v>
      </c>
      <c r="EQ15">
        <v>3.9950062420000001</v>
      </c>
      <c r="ER15">
        <v>10.2372035</v>
      </c>
      <c r="ES15">
        <v>1.2484394510000001</v>
      </c>
      <c r="ET15">
        <v>0.99875156099999995</v>
      </c>
      <c r="EU15">
        <v>0.99875156099999995</v>
      </c>
      <c r="EV15">
        <v>6.2421972529999996</v>
      </c>
      <c r="EW15">
        <v>6.2421972529999996</v>
      </c>
      <c r="EX15">
        <v>0</v>
      </c>
      <c r="EY15">
        <v>19789</v>
      </c>
      <c r="EZ15">
        <v>6645</v>
      </c>
      <c r="FA15">
        <v>563</v>
      </c>
      <c r="FB15">
        <v>85</v>
      </c>
      <c r="FC15">
        <v>4024</v>
      </c>
      <c r="FD15">
        <v>2332</v>
      </c>
      <c r="FE15">
        <v>2487</v>
      </c>
      <c r="FF15">
        <v>1850</v>
      </c>
      <c r="FG15">
        <v>1532</v>
      </c>
      <c r="FH15">
        <v>56</v>
      </c>
      <c r="FI15">
        <v>45</v>
      </c>
      <c r="FJ15">
        <v>146</v>
      </c>
      <c r="FK15">
        <v>24</v>
      </c>
      <c r="FL15">
        <v>14968</v>
      </c>
      <c r="FM15">
        <v>5131</v>
      </c>
      <c r="FN15">
        <v>333</v>
      </c>
      <c r="FO15">
        <v>2791</v>
      </c>
      <c r="FP15">
        <v>2152</v>
      </c>
      <c r="FQ15">
        <v>1557</v>
      </c>
      <c r="FR15">
        <v>1372</v>
      </c>
      <c r="FS15">
        <v>1608</v>
      </c>
      <c r="FT15">
        <v>24</v>
      </c>
      <c r="FU15">
        <v>2124</v>
      </c>
      <c r="FV15">
        <v>669</v>
      </c>
      <c r="FW15">
        <v>230</v>
      </c>
      <c r="FX15" t="s">
        <v>69</v>
      </c>
      <c r="FY15">
        <v>322</v>
      </c>
      <c r="FZ15">
        <v>180</v>
      </c>
      <c r="GA15">
        <v>262</v>
      </c>
      <c r="GB15">
        <v>133</v>
      </c>
      <c r="GC15">
        <v>328</v>
      </c>
      <c r="GD15">
        <v>2697</v>
      </c>
      <c r="GE15">
        <v>911</v>
      </c>
      <c r="GF15">
        <v>551</v>
      </c>
      <c r="GG15">
        <v>845</v>
      </c>
      <c r="GH15">
        <v>85</v>
      </c>
      <c r="GI15">
        <v>31</v>
      </c>
      <c r="GJ15">
        <v>27</v>
      </c>
      <c r="GK15">
        <v>56</v>
      </c>
      <c r="GL15">
        <v>45</v>
      </c>
      <c r="GM15">
        <v>146</v>
      </c>
      <c r="GN15">
        <v>0</v>
      </c>
      <c r="GO15">
        <v>11848</v>
      </c>
      <c r="GP15">
        <v>3925</v>
      </c>
      <c r="GQ15">
        <v>318</v>
      </c>
      <c r="GR15">
        <v>3789</v>
      </c>
      <c r="GS15">
        <v>606</v>
      </c>
      <c r="GT15">
        <v>558</v>
      </c>
      <c r="GU15">
        <v>1700</v>
      </c>
      <c r="GV15">
        <v>860</v>
      </c>
      <c r="GW15">
        <v>651</v>
      </c>
      <c r="GX15">
        <v>127</v>
      </c>
      <c r="GY15">
        <v>82</v>
      </c>
      <c r="GZ15">
        <v>32</v>
      </c>
      <c r="HA15">
        <v>10</v>
      </c>
      <c r="HB15">
        <v>50</v>
      </c>
      <c r="HC15">
        <v>0</v>
      </c>
      <c r="HD15">
        <v>10268</v>
      </c>
      <c r="HE15">
        <v>3749</v>
      </c>
      <c r="HF15">
        <v>0</v>
      </c>
      <c r="HG15">
        <v>3082</v>
      </c>
      <c r="HH15">
        <v>565</v>
      </c>
      <c r="HI15">
        <v>540</v>
      </c>
      <c r="HJ15">
        <v>1681</v>
      </c>
      <c r="HK15">
        <v>651</v>
      </c>
      <c r="HL15">
        <v>0</v>
      </c>
      <c r="HM15">
        <v>0</v>
      </c>
      <c r="HN15">
        <v>779</v>
      </c>
      <c r="HO15">
        <v>510</v>
      </c>
      <c r="HP15">
        <v>33</v>
      </c>
      <c r="HQ15">
        <v>18</v>
      </c>
      <c r="HR15">
        <v>72</v>
      </c>
      <c r="HS15">
        <v>127</v>
      </c>
      <c r="HT15">
        <v>19</v>
      </c>
      <c r="HU15">
        <v>0</v>
      </c>
      <c r="HV15">
        <v>801</v>
      </c>
      <c r="HW15">
        <v>104</v>
      </c>
      <c r="HX15">
        <v>318</v>
      </c>
      <c r="HY15">
        <v>197</v>
      </c>
      <c r="HZ15">
        <v>32</v>
      </c>
      <c r="IA15">
        <v>82</v>
      </c>
      <c r="IB15">
        <v>10</v>
      </c>
      <c r="IC15">
        <v>8</v>
      </c>
      <c r="ID15">
        <v>50</v>
      </c>
      <c r="IE15">
        <v>0</v>
      </c>
      <c r="IG15">
        <v>59.907238</v>
      </c>
    </row>
    <row r="16" spans="1:241" x14ac:dyDescent="0.25">
      <c r="A16" t="s">
        <v>43</v>
      </c>
      <c r="B16">
        <v>14.95401839</v>
      </c>
      <c r="C16">
        <v>20.591763289999999</v>
      </c>
      <c r="D16">
        <v>28.828468610000002</v>
      </c>
      <c r="E16">
        <v>19.19232307</v>
      </c>
      <c r="F16">
        <v>8.0367852860000006</v>
      </c>
      <c r="G16">
        <v>4.2782886849999997</v>
      </c>
      <c r="H16">
        <v>7.9968013000000004E-2</v>
      </c>
      <c r="I16">
        <v>2.6789284289999999</v>
      </c>
      <c r="J16">
        <v>0</v>
      </c>
      <c r="K16">
        <v>1.359456218</v>
      </c>
      <c r="L16">
        <v>67</v>
      </c>
      <c r="M16">
        <v>2501</v>
      </c>
      <c r="N16">
        <v>374</v>
      </c>
      <c r="O16">
        <v>515</v>
      </c>
      <c r="P16">
        <v>721</v>
      </c>
      <c r="Q16">
        <v>480</v>
      </c>
      <c r="R16">
        <v>201</v>
      </c>
      <c r="S16">
        <v>107</v>
      </c>
      <c r="T16">
        <v>2</v>
      </c>
      <c r="U16">
        <v>67</v>
      </c>
      <c r="V16">
        <v>0</v>
      </c>
      <c r="W16">
        <v>34</v>
      </c>
      <c r="X16">
        <v>1299</v>
      </c>
      <c r="Y16">
        <v>302</v>
      </c>
      <c r="Z16">
        <v>387</v>
      </c>
      <c r="AA16">
        <v>337</v>
      </c>
      <c r="AB16">
        <v>109</v>
      </c>
      <c r="AC16">
        <v>44</v>
      </c>
      <c r="AD16">
        <v>18</v>
      </c>
      <c r="AE16">
        <v>1</v>
      </c>
      <c r="AF16">
        <v>67</v>
      </c>
      <c r="AG16">
        <v>34</v>
      </c>
      <c r="AH16">
        <v>1202</v>
      </c>
      <c r="AI16">
        <v>371</v>
      </c>
      <c r="AJ16">
        <v>384</v>
      </c>
      <c r="AK16">
        <v>183</v>
      </c>
      <c r="AL16">
        <v>128</v>
      </c>
      <c r="AM16">
        <v>63</v>
      </c>
      <c r="AN16">
        <v>72</v>
      </c>
      <c r="AO16">
        <v>1</v>
      </c>
      <c r="AP16">
        <v>0</v>
      </c>
      <c r="AQ16">
        <v>0</v>
      </c>
      <c r="AR16">
        <v>39.170213806999996</v>
      </c>
      <c r="AS16">
        <v>36.063408189999997</v>
      </c>
      <c r="AT16">
        <v>2.7643231080000001</v>
      </c>
      <c r="AU16">
        <v>0.34248250899999999</v>
      </c>
      <c r="AV16">
        <v>30.094427320000001</v>
      </c>
      <c r="AW16">
        <v>17.877586969999999</v>
      </c>
      <c r="AX16">
        <v>12.21684035</v>
      </c>
      <c r="AY16">
        <v>12.975194480000001</v>
      </c>
      <c r="AZ16">
        <v>12.975194480000001</v>
      </c>
      <c r="BA16">
        <v>16.688683398999999</v>
      </c>
      <c r="BB16">
        <v>9.7901071480000006</v>
      </c>
      <c r="BC16">
        <v>6.8985762509999997</v>
      </c>
      <c r="BD16">
        <v>0.22505993399999999</v>
      </c>
      <c r="BE16">
        <v>0.176133862</v>
      </c>
      <c r="BF16">
        <v>0.176133862</v>
      </c>
      <c r="BG16">
        <v>0.58222026500000001</v>
      </c>
      <c r="BH16">
        <v>8.8066931000000001E-2</v>
      </c>
      <c r="BI16">
        <v>99.999999997999993</v>
      </c>
      <c r="BJ16">
        <v>40.050424300000003</v>
      </c>
      <c r="BK16">
        <v>37.676792519999999</v>
      </c>
      <c r="BL16">
        <v>2.3736317800000002</v>
      </c>
      <c r="BM16">
        <v>29.36908129</v>
      </c>
      <c r="BN16">
        <v>15.471651700000001</v>
      </c>
      <c r="BO16">
        <v>13.89742959</v>
      </c>
      <c r="BP16">
        <v>18.374123726000001</v>
      </c>
      <c r="BQ16">
        <v>10.429221500000001</v>
      </c>
      <c r="BR16">
        <v>7.944902226</v>
      </c>
      <c r="BS16">
        <v>12.095683190000001</v>
      </c>
      <c r="BT16">
        <v>12.095683190000001</v>
      </c>
      <c r="BU16">
        <v>0.110687492</v>
      </c>
      <c r="BV16">
        <v>99.999999999999986</v>
      </c>
      <c r="BW16">
        <v>40.662983421999996</v>
      </c>
      <c r="BX16">
        <v>30.773480660000001</v>
      </c>
      <c r="BY16">
        <v>9.8895027619999993</v>
      </c>
      <c r="BZ16">
        <v>28.950276240000001</v>
      </c>
      <c r="CA16">
        <v>15.856353589999999</v>
      </c>
      <c r="CB16">
        <v>13.09392265</v>
      </c>
      <c r="CC16">
        <v>18.950276248000002</v>
      </c>
      <c r="CD16">
        <v>12.48618785</v>
      </c>
      <c r="CE16">
        <v>6.4640883980000003</v>
      </c>
      <c r="CF16">
        <v>11.436464089999999</v>
      </c>
      <c r="CG16">
        <v>11.436464089999999</v>
      </c>
      <c r="CH16">
        <v>100.000000009</v>
      </c>
      <c r="CI16">
        <v>35.952682719999999</v>
      </c>
      <c r="CJ16">
        <v>35.952682719999999</v>
      </c>
      <c r="CK16">
        <v>20.19433883</v>
      </c>
      <c r="CL16">
        <v>20.19433883</v>
      </c>
      <c r="CM16">
        <v>31.981411074</v>
      </c>
      <c r="CN16">
        <v>29.024081120000002</v>
      </c>
      <c r="CO16">
        <v>2.957329954</v>
      </c>
      <c r="CP16">
        <v>3.3798056609999998</v>
      </c>
      <c r="CQ16">
        <v>3.3375580899999999</v>
      </c>
      <c r="CR16">
        <v>4.2247570999999998E-2</v>
      </c>
      <c r="CS16">
        <v>1.9433882549999999</v>
      </c>
      <c r="CT16">
        <v>1.5209125480000001</v>
      </c>
      <c r="CU16">
        <v>1.5209125480000001</v>
      </c>
      <c r="CV16">
        <v>5.0274609210000003</v>
      </c>
      <c r="CW16">
        <v>0</v>
      </c>
      <c r="CX16">
        <v>99.999999991999985</v>
      </c>
      <c r="CY16">
        <v>40.950846089999999</v>
      </c>
      <c r="CZ16">
        <v>37.58259468</v>
      </c>
      <c r="DA16">
        <v>3.3682514100000001</v>
      </c>
      <c r="DB16">
        <v>28.92022562</v>
      </c>
      <c r="DC16">
        <v>9.6535052379999993</v>
      </c>
      <c r="DD16">
        <v>5.5116841259999996</v>
      </c>
      <c r="DE16">
        <v>4.1418211119999997</v>
      </c>
      <c r="DF16">
        <v>13.32796132</v>
      </c>
      <c r="DG16">
        <v>6.4061240929999999</v>
      </c>
      <c r="DH16">
        <v>0.30620467400000001</v>
      </c>
      <c r="DI16">
        <v>0.112812248</v>
      </c>
      <c r="DJ16">
        <v>0.32232070899999998</v>
      </c>
      <c r="DK16">
        <v>0.32232070899999998</v>
      </c>
      <c r="DL16">
        <v>0</v>
      </c>
      <c r="DM16">
        <v>100.00000000399999</v>
      </c>
      <c r="DN16">
        <v>40.453720509999997</v>
      </c>
      <c r="DO16">
        <v>40.453720509999997</v>
      </c>
      <c r="DP16">
        <v>0</v>
      </c>
      <c r="DQ16">
        <v>28.77495463</v>
      </c>
      <c r="DR16">
        <v>28.77495463</v>
      </c>
      <c r="DS16">
        <v>10.090744100999999</v>
      </c>
      <c r="DT16">
        <v>5.7894736839999998</v>
      </c>
      <c r="DU16">
        <v>4.3012704169999996</v>
      </c>
      <c r="DV16">
        <v>14.963702359999999</v>
      </c>
      <c r="DW16">
        <v>5.7168784029999999</v>
      </c>
      <c r="DX16">
        <v>0</v>
      </c>
      <c r="DY16">
        <v>0</v>
      </c>
      <c r="DZ16">
        <v>99.999999996999989</v>
      </c>
      <c r="EA16">
        <v>51.960784310000001</v>
      </c>
      <c r="EB16">
        <v>51.960784310000001</v>
      </c>
      <c r="EC16">
        <v>14.313725489999999</v>
      </c>
      <c r="ED16">
        <v>6.4705882350000001</v>
      </c>
      <c r="EE16">
        <v>7.8431372550000003</v>
      </c>
      <c r="EF16">
        <v>14.70588235</v>
      </c>
      <c r="EG16">
        <v>14.70588235</v>
      </c>
      <c r="EH16">
        <v>18.039215689999999</v>
      </c>
      <c r="EI16">
        <v>0.98039215700000004</v>
      </c>
      <c r="EJ16">
        <v>0</v>
      </c>
      <c r="EK16">
        <v>100.00000000599999</v>
      </c>
      <c r="EL16">
        <v>62.386363639999999</v>
      </c>
      <c r="EM16">
        <v>14.886363640000001</v>
      </c>
      <c r="EN16">
        <v>47.5</v>
      </c>
      <c r="EO16">
        <v>17.386363639999999</v>
      </c>
      <c r="EP16">
        <v>17.386363639999999</v>
      </c>
      <c r="EQ16">
        <v>4.3181818180000002</v>
      </c>
      <c r="ER16">
        <v>8.2954545450000001</v>
      </c>
      <c r="ES16">
        <v>1.5909090910000001</v>
      </c>
      <c r="ET16">
        <v>1.4772727269999999</v>
      </c>
      <c r="EU16">
        <v>1.4772727269999999</v>
      </c>
      <c r="EV16">
        <v>4.5454545450000001</v>
      </c>
      <c r="EW16">
        <v>4.5454545450000001</v>
      </c>
      <c r="EX16">
        <v>0</v>
      </c>
      <c r="EY16">
        <v>20439</v>
      </c>
      <c r="EZ16">
        <v>7371</v>
      </c>
      <c r="FA16">
        <v>565</v>
      </c>
      <c r="FB16">
        <v>70</v>
      </c>
      <c r="FC16">
        <v>3654</v>
      </c>
      <c r="FD16">
        <v>2497</v>
      </c>
      <c r="FE16">
        <v>2652</v>
      </c>
      <c r="FF16">
        <v>2001</v>
      </c>
      <c r="FG16">
        <v>1410</v>
      </c>
      <c r="FH16">
        <v>46</v>
      </c>
      <c r="FI16">
        <v>36</v>
      </c>
      <c r="FJ16">
        <v>119</v>
      </c>
      <c r="FK16">
        <v>18</v>
      </c>
      <c r="FL16">
        <v>16262</v>
      </c>
      <c r="FM16">
        <v>6127</v>
      </c>
      <c r="FN16">
        <v>386</v>
      </c>
      <c r="FO16">
        <v>2516</v>
      </c>
      <c r="FP16">
        <v>2260</v>
      </c>
      <c r="FQ16">
        <v>1696</v>
      </c>
      <c r="FR16">
        <v>1292</v>
      </c>
      <c r="FS16">
        <v>1967</v>
      </c>
      <c r="FT16">
        <v>18</v>
      </c>
      <c r="FU16">
        <v>1810</v>
      </c>
      <c r="FV16">
        <v>557</v>
      </c>
      <c r="FW16">
        <v>179</v>
      </c>
      <c r="FX16" t="s">
        <v>69</v>
      </c>
      <c r="FY16">
        <v>287</v>
      </c>
      <c r="FZ16">
        <v>237</v>
      </c>
      <c r="GA16">
        <v>226</v>
      </c>
      <c r="GB16">
        <v>117</v>
      </c>
      <c r="GC16">
        <v>207</v>
      </c>
      <c r="GD16">
        <v>2367</v>
      </c>
      <c r="GE16">
        <v>851</v>
      </c>
      <c r="GF16">
        <v>478</v>
      </c>
      <c r="GG16">
        <v>687</v>
      </c>
      <c r="GH16">
        <v>70</v>
      </c>
      <c r="GI16">
        <v>79</v>
      </c>
      <c r="GJ16">
        <v>1</v>
      </c>
      <c r="GK16">
        <v>46</v>
      </c>
      <c r="GL16">
        <v>36</v>
      </c>
      <c r="GM16">
        <v>119</v>
      </c>
      <c r="GN16">
        <v>0</v>
      </c>
      <c r="GO16">
        <v>12410</v>
      </c>
      <c r="GP16">
        <v>4664</v>
      </c>
      <c r="GQ16">
        <v>418</v>
      </c>
      <c r="GR16">
        <v>3589</v>
      </c>
      <c r="GS16">
        <v>684</v>
      </c>
      <c r="GT16">
        <v>514</v>
      </c>
      <c r="GU16">
        <v>1654</v>
      </c>
      <c r="GV16">
        <v>795</v>
      </c>
      <c r="GW16">
        <v>630</v>
      </c>
      <c r="GX16">
        <v>92</v>
      </c>
      <c r="GY16">
        <v>73</v>
      </c>
      <c r="GZ16">
        <v>38</v>
      </c>
      <c r="HA16">
        <v>14</v>
      </c>
      <c r="HB16">
        <v>40</v>
      </c>
      <c r="HC16">
        <v>0</v>
      </c>
      <c r="HD16">
        <v>11020</v>
      </c>
      <c r="HE16">
        <v>4458</v>
      </c>
      <c r="HF16">
        <v>0</v>
      </c>
      <c r="HG16">
        <v>3171</v>
      </c>
      <c r="HH16">
        <v>638</v>
      </c>
      <c r="HI16">
        <v>474</v>
      </c>
      <c r="HJ16">
        <v>1649</v>
      </c>
      <c r="HK16">
        <v>630</v>
      </c>
      <c r="HL16">
        <v>0</v>
      </c>
      <c r="HM16">
        <v>0</v>
      </c>
      <c r="HN16">
        <v>510</v>
      </c>
      <c r="HO16">
        <v>265</v>
      </c>
      <c r="HP16">
        <v>33</v>
      </c>
      <c r="HQ16">
        <v>40</v>
      </c>
      <c r="HR16">
        <v>75</v>
      </c>
      <c r="HS16">
        <v>92</v>
      </c>
      <c r="HT16">
        <v>5</v>
      </c>
      <c r="HU16">
        <v>0</v>
      </c>
      <c r="HV16">
        <v>880</v>
      </c>
      <c r="HW16">
        <v>131</v>
      </c>
      <c r="HX16">
        <v>418</v>
      </c>
      <c r="HY16">
        <v>153</v>
      </c>
      <c r="HZ16">
        <v>38</v>
      </c>
      <c r="IA16">
        <v>73</v>
      </c>
      <c r="IB16">
        <v>14</v>
      </c>
      <c r="IC16">
        <v>13</v>
      </c>
      <c r="ID16">
        <v>40</v>
      </c>
      <c r="IE16">
        <v>0</v>
      </c>
      <c r="IG16">
        <v>54.483806999999999</v>
      </c>
    </row>
    <row r="17" spans="1:241" x14ac:dyDescent="0.25">
      <c r="A17" t="s">
        <v>44</v>
      </c>
      <c r="B17">
        <v>15.39553033</v>
      </c>
      <c r="C17">
        <v>16.885420360000001</v>
      </c>
      <c r="D17">
        <v>24.902447680000002</v>
      </c>
      <c r="E17">
        <v>26.179496279999999</v>
      </c>
      <c r="F17">
        <v>7.2011351540000001</v>
      </c>
      <c r="G17">
        <v>4.0794608019999998</v>
      </c>
      <c r="H17">
        <v>0.212841433</v>
      </c>
      <c r="I17">
        <v>3.263568641</v>
      </c>
      <c r="J17">
        <v>0</v>
      </c>
      <c r="K17">
        <v>1.8800993260000001</v>
      </c>
      <c r="L17">
        <v>92</v>
      </c>
      <c r="M17">
        <v>2819</v>
      </c>
      <c r="N17">
        <v>434</v>
      </c>
      <c r="O17">
        <v>476</v>
      </c>
      <c r="P17">
        <v>702</v>
      </c>
      <c r="Q17">
        <v>738</v>
      </c>
      <c r="R17">
        <v>203</v>
      </c>
      <c r="S17">
        <v>115</v>
      </c>
      <c r="T17">
        <v>6</v>
      </c>
      <c r="U17">
        <v>92</v>
      </c>
      <c r="V17">
        <v>0</v>
      </c>
      <c r="W17">
        <v>53</v>
      </c>
      <c r="X17">
        <v>1538</v>
      </c>
      <c r="Y17">
        <v>372</v>
      </c>
      <c r="Z17">
        <v>340</v>
      </c>
      <c r="AA17">
        <v>329</v>
      </c>
      <c r="AB17">
        <v>267</v>
      </c>
      <c r="AC17">
        <v>52</v>
      </c>
      <c r="AD17">
        <v>29</v>
      </c>
      <c r="AE17">
        <v>4</v>
      </c>
      <c r="AF17">
        <v>92</v>
      </c>
      <c r="AG17">
        <v>53</v>
      </c>
      <c r="AH17">
        <v>1281</v>
      </c>
      <c r="AI17">
        <v>471</v>
      </c>
      <c r="AJ17">
        <v>373</v>
      </c>
      <c r="AK17">
        <v>174</v>
      </c>
      <c r="AL17">
        <v>136</v>
      </c>
      <c r="AM17">
        <v>63</v>
      </c>
      <c r="AN17">
        <v>62</v>
      </c>
      <c r="AO17">
        <v>2</v>
      </c>
      <c r="AP17">
        <v>0</v>
      </c>
      <c r="AQ17">
        <v>0</v>
      </c>
      <c r="AR17">
        <v>37.927514040999995</v>
      </c>
      <c r="AS17">
        <v>34.416652489999997</v>
      </c>
      <c r="AT17">
        <v>3.1762236970000002</v>
      </c>
      <c r="AU17">
        <v>0.33463785400000001</v>
      </c>
      <c r="AV17">
        <v>31.881345359999997</v>
      </c>
      <c r="AW17">
        <v>18.06477228</v>
      </c>
      <c r="AX17">
        <v>13.81657308</v>
      </c>
      <c r="AY17">
        <v>10.65169304</v>
      </c>
      <c r="AZ17">
        <v>10.65169304</v>
      </c>
      <c r="BA17">
        <v>18.501503034000002</v>
      </c>
      <c r="BB17">
        <v>9.8122624920000003</v>
      </c>
      <c r="BC17">
        <v>8.6892405420000003</v>
      </c>
      <c r="BD17">
        <v>0.22120129299999999</v>
      </c>
      <c r="BE17">
        <v>0.17582666899999999</v>
      </c>
      <c r="BF17">
        <v>0.17582666899999999</v>
      </c>
      <c r="BG17">
        <v>0.57852645899999999</v>
      </c>
      <c r="BH17">
        <v>6.2390108E-2</v>
      </c>
      <c r="BI17">
        <v>100</v>
      </c>
      <c r="BJ17">
        <v>37.607383741</v>
      </c>
      <c r="BK17">
        <v>34.873979409999997</v>
      </c>
      <c r="BL17">
        <v>2.733404331</v>
      </c>
      <c r="BM17">
        <v>32.438764640000002</v>
      </c>
      <c r="BN17">
        <v>16.563720270000001</v>
      </c>
      <c r="BO17">
        <v>15.875044369999999</v>
      </c>
      <c r="BP17">
        <v>20.816471427</v>
      </c>
      <c r="BQ17">
        <v>11.089811859999999</v>
      </c>
      <c r="BR17">
        <v>9.7266595670000005</v>
      </c>
      <c r="BS17">
        <v>9.0592829249999998</v>
      </c>
      <c r="BT17">
        <v>9.0592829249999998</v>
      </c>
      <c r="BU17">
        <v>7.8097266999999998E-2</v>
      </c>
      <c r="BV17">
        <v>99.999999999000011</v>
      </c>
      <c r="BW17">
        <v>44.510739860000001</v>
      </c>
      <c r="BX17">
        <v>34.069212409999999</v>
      </c>
      <c r="BY17">
        <v>10.441527450000001</v>
      </c>
      <c r="BZ17">
        <v>27.863961809999999</v>
      </c>
      <c r="CA17">
        <v>15.93078759</v>
      </c>
      <c r="CB17">
        <v>11.93317422</v>
      </c>
      <c r="CC17">
        <v>17.004773269000001</v>
      </c>
      <c r="CD17">
        <v>8.0548926010000006</v>
      </c>
      <c r="CE17">
        <v>8.9498806680000005</v>
      </c>
      <c r="CF17">
        <v>10.62052506</v>
      </c>
      <c r="CG17">
        <v>10.62052506</v>
      </c>
      <c r="CH17">
        <v>99.999999998999996</v>
      </c>
      <c r="CI17">
        <v>31.283422460000001</v>
      </c>
      <c r="CJ17">
        <v>31.283422460000001</v>
      </c>
      <c r="CK17">
        <v>22.673796790000001</v>
      </c>
      <c r="CL17">
        <v>22.673796790000001</v>
      </c>
      <c r="CM17">
        <v>34.438502673999999</v>
      </c>
      <c r="CN17">
        <v>31.283422460000001</v>
      </c>
      <c r="CO17">
        <v>3.1550802139999998</v>
      </c>
      <c r="CP17">
        <v>2.4064171119999997</v>
      </c>
      <c r="CQ17">
        <v>1.7647058819999999</v>
      </c>
      <c r="CR17">
        <v>0.64171122999999997</v>
      </c>
      <c r="CS17">
        <v>2.085561497</v>
      </c>
      <c r="CT17">
        <v>1.657754011</v>
      </c>
      <c r="CU17">
        <v>1.657754011</v>
      </c>
      <c r="CV17">
        <v>5.4545454549999999</v>
      </c>
      <c r="CW17">
        <v>0</v>
      </c>
      <c r="CX17">
        <v>100.000000003</v>
      </c>
      <c r="CY17">
        <v>40.214233841999999</v>
      </c>
      <c r="CZ17">
        <v>36.882716049999999</v>
      </c>
      <c r="DA17">
        <v>3.3315177920000001</v>
      </c>
      <c r="DB17">
        <v>26.279956429999999</v>
      </c>
      <c r="DC17">
        <v>9.7312999270000002</v>
      </c>
      <c r="DD17">
        <v>4.956427015</v>
      </c>
      <c r="DE17">
        <v>4.7748729120000002</v>
      </c>
      <c r="DF17">
        <v>16.00399419</v>
      </c>
      <c r="DG17">
        <v>7.071532317</v>
      </c>
      <c r="DH17">
        <v>0.28140885999999998</v>
      </c>
      <c r="DI17">
        <v>0.10893246199999999</v>
      </c>
      <c r="DJ17">
        <v>0.30864197500000001</v>
      </c>
      <c r="DK17">
        <v>0.30864197500000001</v>
      </c>
      <c r="DL17">
        <v>0</v>
      </c>
      <c r="DM17">
        <v>100.00000000399999</v>
      </c>
      <c r="DN17">
        <v>39.740578079999999</v>
      </c>
      <c r="DO17">
        <v>39.740578079999999</v>
      </c>
      <c r="DP17">
        <v>0</v>
      </c>
      <c r="DQ17">
        <v>26.074966809999999</v>
      </c>
      <c r="DR17">
        <v>26.074966809999999</v>
      </c>
      <c r="DS17">
        <v>10.3564498</v>
      </c>
      <c r="DT17">
        <v>5.1169441320000004</v>
      </c>
      <c r="DU17">
        <v>5.2395056679999996</v>
      </c>
      <c r="DV17">
        <v>17.934838119999998</v>
      </c>
      <c r="DW17">
        <v>5.8931671940000001</v>
      </c>
      <c r="DX17">
        <v>0</v>
      </c>
      <c r="DY17">
        <v>0</v>
      </c>
      <c r="DZ17">
        <v>100</v>
      </c>
      <c r="EA17">
        <v>38.929440390000003</v>
      </c>
      <c r="EB17">
        <v>38.929440390000003</v>
      </c>
      <c r="EC17">
        <v>10.218978103</v>
      </c>
      <c r="ED17">
        <v>7.0559610709999996</v>
      </c>
      <c r="EE17">
        <v>3.163017032</v>
      </c>
      <c r="EF17">
        <v>14.84184915</v>
      </c>
      <c r="EG17">
        <v>14.84184915</v>
      </c>
      <c r="EH17">
        <v>34.306569340000003</v>
      </c>
      <c r="EI17">
        <v>1.7031630170000001</v>
      </c>
      <c r="EJ17">
        <v>0</v>
      </c>
      <c r="EK17">
        <v>100.00000000899999</v>
      </c>
      <c r="EL17">
        <v>58.722358729999996</v>
      </c>
      <c r="EM17">
        <v>13.636363640000001</v>
      </c>
      <c r="EN17">
        <v>45.085995089999997</v>
      </c>
      <c r="EO17">
        <v>22.358722360000002</v>
      </c>
      <c r="EP17">
        <v>22.358722360000002</v>
      </c>
      <c r="EQ17">
        <v>3.8083538080000001</v>
      </c>
      <c r="ER17">
        <v>7.4938574940000002</v>
      </c>
      <c r="ES17">
        <v>1.474201474</v>
      </c>
      <c r="ET17">
        <v>1.9656019659999999</v>
      </c>
      <c r="EU17">
        <v>1.9656019659999999</v>
      </c>
      <c r="EV17">
        <v>4.1769041769999999</v>
      </c>
      <c r="EW17">
        <v>4.1769041769999999</v>
      </c>
      <c r="EX17">
        <v>0</v>
      </c>
      <c r="EY17">
        <v>17631</v>
      </c>
      <c r="EZ17">
        <v>6068</v>
      </c>
      <c r="FA17">
        <v>560</v>
      </c>
      <c r="FB17">
        <v>59</v>
      </c>
      <c r="FC17">
        <v>3185</v>
      </c>
      <c r="FD17">
        <v>2436</v>
      </c>
      <c r="FE17">
        <v>1878</v>
      </c>
      <c r="FF17">
        <v>1730</v>
      </c>
      <c r="FG17">
        <v>1532</v>
      </c>
      <c r="FH17">
        <v>39</v>
      </c>
      <c r="FI17">
        <v>31</v>
      </c>
      <c r="FJ17">
        <v>102</v>
      </c>
      <c r="FK17">
        <v>11</v>
      </c>
      <c r="FL17">
        <v>14085</v>
      </c>
      <c r="FM17">
        <v>4912</v>
      </c>
      <c r="FN17">
        <v>385</v>
      </c>
      <c r="FO17">
        <v>2333</v>
      </c>
      <c r="FP17">
        <v>2236</v>
      </c>
      <c r="FQ17">
        <v>1562</v>
      </c>
      <c r="FR17">
        <v>1370</v>
      </c>
      <c r="FS17">
        <v>1276</v>
      </c>
      <c r="FT17">
        <v>11</v>
      </c>
      <c r="FU17">
        <v>1676</v>
      </c>
      <c r="FV17">
        <v>571</v>
      </c>
      <c r="FW17">
        <v>175</v>
      </c>
      <c r="FX17" t="s">
        <v>69</v>
      </c>
      <c r="FY17">
        <v>267</v>
      </c>
      <c r="FZ17">
        <v>200</v>
      </c>
      <c r="GA17">
        <v>135</v>
      </c>
      <c r="GB17">
        <v>150</v>
      </c>
      <c r="GC17">
        <v>178</v>
      </c>
      <c r="GD17">
        <v>1870</v>
      </c>
      <c r="GE17">
        <v>585</v>
      </c>
      <c r="GF17">
        <v>424</v>
      </c>
      <c r="GG17">
        <v>585</v>
      </c>
      <c r="GH17">
        <v>59</v>
      </c>
      <c r="GI17">
        <v>33</v>
      </c>
      <c r="GJ17">
        <v>12</v>
      </c>
      <c r="GK17">
        <v>39</v>
      </c>
      <c r="GL17">
        <v>31</v>
      </c>
      <c r="GM17">
        <v>102</v>
      </c>
      <c r="GN17">
        <v>0</v>
      </c>
      <c r="GO17">
        <v>11016</v>
      </c>
      <c r="GP17">
        <v>4063</v>
      </c>
      <c r="GQ17">
        <v>367</v>
      </c>
      <c r="GR17">
        <v>2895</v>
      </c>
      <c r="GS17">
        <v>546</v>
      </c>
      <c r="GT17">
        <v>526</v>
      </c>
      <c r="GU17">
        <v>1763</v>
      </c>
      <c r="GV17">
        <v>779</v>
      </c>
      <c r="GW17">
        <v>577</v>
      </c>
      <c r="GX17">
        <v>141</v>
      </c>
      <c r="GY17">
        <v>61</v>
      </c>
      <c r="GZ17">
        <v>31</v>
      </c>
      <c r="HA17">
        <v>12</v>
      </c>
      <c r="HB17">
        <v>34</v>
      </c>
      <c r="HC17">
        <v>0</v>
      </c>
      <c r="HD17">
        <v>9791</v>
      </c>
      <c r="HE17">
        <v>3891</v>
      </c>
      <c r="HF17">
        <v>0</v>
      </c>
      <c r="HG17">
        <v>2553</v>
      </c>
      <c r="HH17">
        <v>501</v>
      </c>
      <c r="HI17">
        <v>513</v>
      </c>
      <c r="HJ17">
        <v>1756</v>
      </c>
      <c r="HK17">
        <v>577</v>
      </c>
      <c r="HL17">
        <v>0</v>
      </c>
      <c r="HM17">
        <v>0</v>
      </c>
      <c r="HN17">
        <v>411</v>
      </c>
      <c r="HO17">
        <v>160</v>
      </c>
      <c r="HP17">
        <v>29</v>
      </c>
      <c r="HQ17">
        <v>13</v>
      </c>
      <c r="HR17">
        <v>61</v>
      </c>
      <c r="HS17">
        <v>141</v>
      </c>
      <c r="HT17">
        <v>7</v>
      </c>
      <c r="HU17">
        <v>0</v>
      </c>
      <c r="HV17">
        <v>814</v>
      </c>
      <c r="HW17">
        <v>111</v>
      </c>
      <c r="HX17">
        <v>367</v>
      </c>
      <c r="HY17">
        <v>182</v>
      </c>
      <c r="HZ17">
        <v>31</v>
      </c>
      <c r="IA17">
        <v>61</v>
      </c>
      <c r="IB17">
        <v>12</v>
      </c>
      <c r="IC17">
        <v>16</v>
      </c>
      <c r="ID17">
        <v>34</v>
      </c>
      <c r="IE17">
        <v>0</v>
      </c>
      <c r="IG17">
        <v>48.385471000000003</v>
      </c>
    </row>
    <row r="18" spans="1:241" x14ac:dyDescent="0.25">
      <c r="A18" t="s">
        <v>45</v>
      </c>
      <c r="B18">
        <v>18.059071729999999</v>
      </c>
      <c r="C18">
        <v>17.426160339999999</v>
      </c>
      <c r="D18">
        <v>25.527426160000001</v>
      </c>
      <c r="E18">
        <v>23.92405063</v>
      </c>
      <c r="F18">
        <v>7.9324894510000004</v>
      </c>
      <c r="G18">
        <v>4.7257383969999998</v>
      </c>
      <c r="H18">
        <v>0.12658227899999999</v>
      </c>
      <c r="I18">
        <v>1.6033755270000001</v>
      </c>
      <c r="J18">
        <v>0</v>
      </c>
      <c r="K18">
        <v>0.67510548500000001</v>
      </c>
      <c r="L18">
        <v>38</v>
      </c>
      <c r="M18">
        <v>2370</v>
      </c>
      <c r="N18">
        <v>428</v>
      </c>
      <c r="O18">
        <v>413</v>
      </c>
      <c r="P18">
        <v>605</v>
      </c>
      <c r="Q18">
        <v>567</v>
      </c>
      <c r="R18">
        <v>188</v>
      </c>
      <c r="S18">
        <v>112</v>
      </c>
      <c r="T18">
        <v>3</v>
      </c>
      <c r="U18">
        <v>38</v>
      </c>
      <c r="V18">
        <v>0</v>
      </c>
      <c r="W18">
        <v>16</v>
      </c>
      <c r="X18">
        <v>1146</v>
      </c>
      <c r="Y18">
        <v>364</v>
      </c>
      <c r="Z18">
        <v>295</v>
      </c>
      <c r="AA18">
        <v>244</v>
      </c>
      <c r="AB18">
        <v>123</v>
      </c>
      <c r="AC18">
        <v>42</v>
      </c>
      <c r="AD18">
        <v>21</v>
      </c>
      <c r="AE18">
        <v>3</v>
      </c>
      <c r="AF18">
        <v>38</v>
      </c>
      <c r="AG18">
        <v>16</v>
      </c>
      <c r="AH18">
        <v>1224</v>
      </c>
      <c r="AI18">
        <v>444</v>
      </c>
      <c r="AJ18">
        <v>361</v>
      </c>
      <c r="AK18">
        <v>167</v>
      </c>
      <c r="AL18">
        <v>118</v>
      </c>
      <c r="AM18">
        <v>70</v>
      </c>
      <c r="AN18">
        <v>64</v>
      </c>
      <c r="AO18">
        <v>0</v>
      </c>
      <c r="AP18">
        <v>0</v>
      </c>
      <c r="AQ18">
        <v>0</v>
      </c>
      <c r="AR18">
        <v>38.896502937999998</v>
      </c>
      <c r="AS18">
        <v>35.368495510000002</v>
      </c>
      <c r="AT18">
        <v>3.227375216</v>
      </c>
      <c r="AU18">
        <v>0.30063221200000001</v>
      </c>
      <c r="AV18">
        <v>28.330164910000001</v>
      </c>
      <c r="AW18">
        <v>16.910561919999999</v>
      </c>
      <c r="AX18">
        <v>11.41960299</v>
      </c>
      <c r="AY18">
        <v>10.026968480000001</v>
      </c>
      <c r="AZ18">
        <v>10.026968480000001</v>
      </c>
      <c r="BA18">
        <v>21.751624741999997</v>
      </c>
      <c r="BB18">
        <v>11.852867059999999</v>
      </c>
      <c r="BC18">
        <v>9.8987576819999994</v>
      </c>
      <c r="BD18">
        <v>0.19452672500000001</v>
      </c>
      <c r="BE18">
        <v>0.15473716800000001</v>
      </c>
      <c r="BF18">
        <v>0.15473716800000001</v>
      </c>
      <c r="BG18">
        <v>0.51284318500000003</v>
      </c>
      <c r="BH18">
        <v>0.13263185799999999</v>
      </c>
      <c r="BI18">
        <v>100.00000000300001</v>
      </c>
      <c r="BJ18">
        <v>39.108641169000002</v>
      </c>
      <c r="BK18">
        <v>36.640514330000002</v>
      </c>
      <c r="BL18">
        <v>2.468126839</v>
      </c>
      <c r="BM18">
        <v>27.645199959999999</v>
      </c>
      <c r="BN18">
        <v>14.934074320000001</v>
      </c>
      <c r="BO18">
        <v>12.711125640000001</v>
      </c>
      <c r="BP18">
        <v>24.626784350000001</v>
      </c>
      <c r="BQ18">
        <v>13.430314920000001</v>
      </c>
      <c r="BR18">
        <v>11.196469430000001</v>
      </c>
      <c r="BS18">
        <v>8.4559224149999999</v>
      </c>
      <c r="BT18">
        <v>8.4559224149999999</v>
      </c>
      <c r="BU18">
        <v>0.16345210900000001</v>
      </c>
      <c r="BV18">
        <v>99.99999999500001</v>
      </c>
      <c r="BW18">
        <v>43.849206350000003</v>
      </c>
      <c r="BX18">
        <v>30.109126979999999</v>
      </c>
      <c r="BY18">
        <v>13.74007937</v>
      </c>
      <c r="BZ18">
        <v>26.240079360000003</v>
      </c>
      <c r="CA18">
        <v>13.83928571</v>
      </c>
      <c r="CB18">
        <v>12.400793650000001</v>
      </c>
      <c r="CC18">
        <v>17.509920635</v>
      </c>
      <c r="CD18">
        <v>8.9781746029999994</v>
      </c>
      <c r="CE18">
        <v>8.5317460319999991</v>
      </c>
      <c r="CF18">
        <v>12.400793650000001</v>
      </c>
      <c r="CG18">
        <v>12.400793650000001</v>
      </c>
      <c r="CH18">
        <v>99.999999996999989</v>
      </c>
      <c r="CI18">
        <v>35.793686080000001</v>
      </c>
      <c r="CJ18">
        <v>35.793686080000001</v>
      </c>
      <c r="CK18">
        <v>20.720320139999998</v>
      </c>
      <c r="CL18">
        <v>20.720320139999998</v>
      </c>
      <c r="CM18">
        <v>32.725655848999999</v>
      </c>
      <c r="CN18">
        <v>29.702089820000001</v>
      </c>
      <c r="CO18">
        <v>3.0235660289999999</v>
      </c>
      <c r="CP18">
        <v>2.089817697</v>
      </c>
      <c r="CQ18">
        <v>1.556247221</v>
      </c>
      <c r="CR18">
        <v>0.53357047599999996</v>
      </c>
      <c r="CS18">
        <v>1.9564250780000001</v>
      </c>
      <c r="CT18">
        <v>1.556247221</v>
      </c>
      <c r="CU18">
        <v>1.556247221</v>
      </c>
      <c r="CV18">
        <v>5.1578479320000001</v>
      </c>
      <c r="CW18">
        <v>0</v>
      </c>
      <c r="CX18">
        <v>99.999999991999999</v>
      </c>
      <c r="CY18">
        <v>41.151276337000006</v>
      </c>
      <c r="CZ18">
        <v>37.262292270000003</v>
      </c>
      <c r="DA18">
        <v>3.888984067</v>
      </c>
      <c r="DB18">
        <v>23.76220661</v>
      </c>
      <c r="DC18">
        <v>11.067329106999999</v>
      </c>
      <c r="DD18">
        <v>5.9876648960000001</v>
      </c>
      <c r="DE18">
        <v>5.0796642109999999</v>
      </c>
      <c r="DF18">
        <v>15.418879560000001</v>
      </c>
      <c r="DG18">
        <v>7.9150248420000002</v>
      </c>
      <c r="DH18">
        <v>0.222717149</v>
      </c>
      <c r="DI18">
        <v>0.128490663</v>
      </c>
      <c r="DJ18">
        <v>0.33407572400000002</v>
      </c>
      <c r="DK18">
        <v>0.33407572400000002</v>
      </c>
      <c r="DL18">
        <v>0</v>
      </c>
      <c r="DM18">
        <v>99.999999997999993</v>
      </c>
      <c r="DN18">
        <v>40.096571699999998</v>
      </c>
      <c r="DO18">
        <v>40.096571699999998</v>
      </c>
      <c r="DP18">
        <v>0</v>
      </c>
      <c r="DQ18">
        <v>23.833896670000001</v>
      </c>
      <c r="DR18">
        <v>23.833896670000001</v>
      </c>
      <c r="DS18">
        <v>11.549975858</v>
      </c>
      <c r="DT18">
        <v>6.2481892810000002</v>
      </c>
      <c r="DU18">
        <v>5.3017865769999997</v>
      </c>
      <c r="DV18">
        <v>17.199420570000001</v>
      </c>
      <c r="DW18">
        <v>7.3201352000000002</v>
      </c>
      <c r="DX18">
        <v>0</v>
      </c>
      <c r="DY18">
        <v>0</v>
      </c>
      <c r="DZ18">
        <v>100.000000005</v>
      </c>
      <c r="EA18">
        <v>34.33179724</v>
      </c>
      <c r="EB18">
        <v>34.33179724</v>
      </c>
      <c r="EC18">
        <v>20.046082951000002</v>
      </c>
      <c r="ED18">
        <v>9.9078341010000006</v>
      </c>
      <c r="EE18">
        <v>10.13824885</v>
      </c>
      <c r="EF18">
        <v>17.741935479999999</v>
      </c>
      <c r="EG18">
        <v>17.741935479999999</v>
      </c>
      <c r="EH18">
        <v>23.502304150000001</v>
      </c>
      <c r="EI18">
        <v>4.3778801840000003</v>
      </c>
      <c r="EJ18">
        <v>0</v>
      </c>
      <c r="EK18">
        <v>99.999999992999989</v>
      </c>
      <c r="EL18">
        <v>64.971751409999996</v>
      </c>
      <c r="EM18">
        <v>13.67231638</v>
      </c>
      <c r="EN18">
        <v>51.299435029999998</v>
      </c>
      <c r="EO18">
        <v>17.74011299</v>
      </c>
      <c r="EP18">
        <v>17.74011299</v>
      </c>
      <c r="EQ18">
        <v>2.937853107</v>
      </c>
      <c r="ER18">
        <v>7.2316384180000002</v>
      </c>
      <c r="ES18">
        <v>1.6949152540000001</v>
      </c>
      <c r="ET18">
        <v>1.0169491530000001</v>
      </c>
      <c r="EU18">
        <v>1.0169491530000001</v>
      </c>
      <c r="EV18">
        <v>4.4067796609999998</v>
      </c>
      <c r="EW18">
        <v>4.4067796609999998</v>
      </c>
      <c r="EX18">
        <v>0</v>
      </c>
      <c r="EY18">
        <v>22619</v>
      </c>
      <c r="EZ18">
        <v>8000</v>
      </c>
      <c r="FA18">
        <v>730</v>
      </c>
      <c r="FB18">
        <v>68</v>
      </c>
      <c r="FC18">
        <v>3825</v>
      </c>
      <c r="FD18">
        <v>2583</v>
      </c>
      <c r="FE18">
        <v>2268</v>
      </c>
      <c r="FF18">
        <v>2681</v>
      </c>
      <c r="FG18">
        <v>2239</v>
      </c>
      <c r="FH18">
        <v>44</v>
      </c>
      <c r="FI18">
        <v>35</v>
      </c>
      <c r="FJ18">
        <v>116</v>
      </c>
      <c r="FK18">
        <v>30</v>
      </c>
      <c r="FL18">
        <v>18354</v>
      </c>
      <c r="FM18">
        <v>6725</v>
      </c>
      <c r="FN18">
        <v>453</v>
      </c>
      <c r="FO18">
        <v>2741</v>
      </c>
      <c r="FP18">
        <v>2333</v>
      </c>
      <c r="FQ18">
        <v>2465</v>
      </c>
      <c r="FR18">
        <v>2055</v>
      </c>
      <c r="FS18">
        <v>1552</v>
      </c>
      <c r="FT18">
        <v>30</v>
      </c>
      <c r="FU18">
        <v>2016</v>
      </c>
      <c r="FV18">
        <v>607</v>
      </c>
      <c r="FW18">
        <v>277</v>
      </c>
      <c r="FX18" t="s">
        <v>69</v>
      </c>
      <c r="FY18">
        <v>279</v>
      </c>
      <c r="FZ18">
        <v>250</v>
      </c>
      <c r="GA18">
        <v>181</v>
      </c>
      <c r="GB18">
        <v>172</v>
      </c>
      <c r="GC18">
        <v>250</v>
      </c>
      <c r="GD18">
        <v>2249</v>
      </c>
      <c r="GE18">
        <v>805</v>
      </c>
      <c r="GF18">
        <v>466</v>
      </c>
      <c r="GG18">
        <v>668</v>
      </c>
      <c r="GH18">
        <v>68</v>
      </c>
      <c r="GI18">
        <v>35</v>
      </c>
      <c r="GJ18">
        <v>12</v>
      </c>
      <c r="GK18">
        <v>44</v>
      </c>
      <c r="GL18">
        <v>35</v>
      </c>
      <c r="GM18">
        <v>116</v>
      </c>
      <c r="GN18">
        <v>0</v>
      </c>
      <c r="GO18">
        <v>11674</v>
      </c>
      <c r="GP18">
        <v>4350</v>
      </c>
      <c r="GQ18">
        <v>454</v>
      </c>
      <c r="GR18">
        <v>2774</v>
      </c>
      <c r="GS18">
        <v>699</v>
      </c>
      <c r="GT18">
        <v>593</v>
      </c>
      <c r="GU18">
        <v>1800</v>
      </c>
      <c r="GV18">
        <v>924</v>
      </c>
      <c r="GW18">
        <v>758</v>
      </c>
      <c r="GX18">
        <v>102</v>
      </c>
      <c r="GY18">
        <v>64</v>
      </c>
      <c r="GZ18">
        <v>26</v>
      </c>
      <c r="HA18">
        <v>15</v>
      </c>
      <c r="HB18">
        <v>39</v>
      </c>
      <c r="HC18">
        <v>0</v>
      </c>
      <c r="HD18">
        <v>10355</v>
      </c>
      <c r="HE18">
        <v>4152</v>
      </c>
      <c r="HF18">
        <v>0</v>
      </c>
      <c r="HG18">
        <v>2468</v>
      </c>
      <c r="HH18">
        <v>647</v>
      </c>
      <c r="HI18">
        <v>549</v>
      </c>
      <c r="HJ18">
        <v>1781</v>
      </c>
      <c r="HK18">
        <v>758</v>
      </c>
      <c r="HL18">
        <v>0</v>
      </c>
      <c r="HM18">
        <v>0</v>
      </c>
      <c r="HN18">
        <v>434</v>
      </c>
      <c r="HO18">
        <v>149</v>
      </c>
      <c r="HP18">
        <v>43</v>
      </c>
      <c r="HQ18">
        <v>44</v>
      </c>
      <c r="HR18">
        <v>77</v>
      </c>
      <c r="HS18">
        <v>102</v>
      </c>
      <c r="HT18">
        <v>19</v>
      </c>
      <c r="HU18">
        <v>0</v>
      </c>
      <c r="HV18">
        <v>885</v>
      </c>
      <c r="HW18">
        <v>121</v>
      </c>
      <c r="HX18">
        <v>454</v>
      </c>
      <c r="HY18">
        <v>157</v>
      </c>
      <c r="HZ18">
        <v>26</v>
      </c>
      <c r="IA18">
        <v>64</v>
      </c>
      <c r="IB18">
        <v>15</v>
      </c>
      <c r="IC18">
        <v>9</v>
      </c>
      <c r="ID18">
        <v>39</v>
      </c>
      <c r="IE18">
        <v>0</v>
      </c>
      <c r="IG18">
        <v>48.830658</v>
      </c>
    </row>
    <row r="19" spans="1:241" x14ac:dyDescent="0.25">
      <c r="A19" t="s">
        <v>46</v>
      </c>
      <c r="B19">
        <v>16.396242529999999</v>
      </c>
      <c r="C19">
        <v>18.061485909999998</v>
      </c>
      <c r="D19">
        <v>29.163108449999999</v>
      </c>
      <c r="E19">
        <v>21.391972670000001</v>
      </c>
      <c r="F19">
        <v>7.9846285229999996</v>
      </c>
      <c r="G19">
        <v>4.7395388560000002</v>
      </c>
      <c r="H19">
        <v>0.12809564500000001</v>
      </c>
      <c r="I19">
        <v>2.0495303159999998</v>
      </c>
      <c r="J19">
        <v>0</v>
      </c>
      <c r="K19">
        <v>8.5397096000000006E-2</v>
      </c>
      <c r="L19">
        <v>48</v>
      </c>
      <c r="M19">
        <v>2342</v>
      </c>
      <c r="N19">
        <v>384</v>
      </c>
      <c r="O19">
        <v>423</v>
      </c>
      <c r="P19">
        <v>683</v>
      </c>
      <c r="Q19">
        <v>501</v>
      </c>
      <c r="R19">
        <v>187</v>
      </c>
      <c r="S19">
        <v>111</v>
      </c>
      <c r="T19">
        <v>3</v>
      </c>
      <c r="U19">
        <v>48</v>
      </c>
      <c r="V19">
        <v>0</v>
      </c>
      <c r="W19">
        <v>2</v>
      </c>
      <c r="X19">
        <v>1228</v>
      </c>
      <c r="Y19">
        <v>319</v>
      </c>
      <c r="Z19">
        <v>315</v>
      </c>
      <c r="AA19">
        <v>333</v>
      </c>
      <c r="AB19">
        <v>143</v>
      </c>
      <c r="AC19">
        <v>40</v>
      </c>
      <c r="AD19">
        <v>26</v>
      </c>
      <c r="AE19">
        <v>2</v>
      </c>
      <c r="AF19">
        <v>48</v>
      </c>
      <c r="AG19">
        <v>2</v>
      </c>
      <c r="AH19">
        <v>1114</v>
      </c>
      <c r="AI19">
        <v>358</v>
      </c>
      <c r="AJ19">
        <v>350</v>
      </c>
      <c r="AK19">
        <v>161</v>
      </c>
      <c r="AL19">
        <v>108</v>
      </c>
      <c r="AM19">
        <v>71</v>
      </c>
      <c r="AN19">
        <v>65</v>
      </c>
      <c r="AO19">
        <v>1</v>
      </c>
      <c r="AP19">
        <v>0</v>
      </c>
      <c r="AQ19">
        <v>0</v>
      </c>
      <c r="AR19">
        <v>43.051995609000002</v>
      </c>
      <c r="AS19">
        <v>39.353716589999998</v>
      </c>
      <c r="AT19">
        <v>3.3366898570000001</v>
      </c>
      <c r="AU19">
        <v>0.36158916200000002</v>
      </c>
      <c r="AV19">
        <v>27.35261809</v>
      </c>
      <c r="AW19">
        <v>15.64902966</v>
      </c>
      <c r="AX19">
        <v>11.70358843</v>
      </c>
      <c r="AY19">
        <v>11.41980959</v>
      </c>
      <c r="AZ19">
        <v>11.41980959</v>
      </c>
      <c r="BA19">
        <v>17.095386305999998</v>
      </c>
      <c r="BB19">
        <v>9.9322592459999992</v>
      </c>
      <c r="BC19">
        <v>7.1631270599999999</v>
      </c>
      <c r="BD19">
        <v>0.238008056</v>
      </c>
      <c r="BE19">
        <v>0.187660198</v>
      </c>
      <c r="BF19">
        <v>0.187660198</v>
      </c>
      <c r="BG19">
        <v>0.613328451</v>
      </c>
      <c r="BH19">
        <v>4.1193701999999999E-2</v>
      </c>
      <c r="BI19">
        <v>100.000000005</v>
      </c>
      <c r="BJ19">
        <v>43.178142330999997</v>
      </c>
      <c r="BK19">
        <v>40.503696859999998</v>
      </c>
      <c r="BL19">
        <v>2.6744454709999999</v>
      </c>
      <c r="BM19">
        <v>28.500462110000001</v>
      </c>
      <c r="BN19">
        <v>14.943391869999999</v>
      </c>
      <c r="BO19">
        <v>13.55707024</v>
      </c>
      <c r="BP19">
        <v>18.201247692999999</v>
      </c>
      <c r="BQ19">
        <v>10.253003700000001</v>
      </c>
      <c r="BR19">
        <v>7.9482439930000002</v>
      </c>
      <c r="BS19">
        <v>10.06816081</v>
      </c>
      <c r="BT19">
        <v>10.06816081</v>
      </c>
      <c r="BU19">
        <v>5.1987061000000001E-2</v>
      </c>
      <c r="BV19">
        <v>100.00000000599999</v>
      </c>
      <c r="BW19">
        <v>45.858240819999999</v>
      </c>
      <c r="BX19">
        <v>34.500426990000001</v>
      </c>
      <c r="BY19">
        <v>11.35781383</v>
      </c>
      <c r="BZ19">
        <v>21.007685742</v>
      </c>
      <c r="CA19">
        <v>12.04099061</v>
      </c>
      <c r="CB19">
        <v>8.9666951319999999</v>
      </c>
      <c r="CC19">
        <v>21.648163963999998</v>
      </c>
      <c r="CD19">
        <v>14.43210931</v>
      </c>
      <c r="CE19">
        <v>7.2160546539999997</v>
      </c>
      <c r="CF19">
        <v>11.48590948</v>
      </c>
      <c r="CG19">
        <v>11.48590948</v>
      </c>
      <c r="CH19">
        <v>100.000000001</v>
      </c>
      <c r="CI19">
        <v>25.068368280000001</v>
      </c>
      <c r="CJ19">
        <v>25.068368280000001</v>
      </c>
      <c r="CK19">
        <v>22.014585230000002</v>
      </c>
      <c r="CL19">
        <v>22.014585230000002</v>
      </c>
      <c r="CM19">
        <v>39.061075662</v>
      </c>
      <c r="CN19">
        <v>35.460346399999999</v>
      </c>
      <c r="CO19">
        <v>3.6007292620000002</v>
      </c>
      <c r="CP19">
        <v>3.5095715589999998</v>
      </c>
      <c r="CQ19">
        <v>2.5979945309999999</v>
      </c>
      <c r="CR19">
        <v>0.91157702799999996</v>
      </c>
      <c r="CS19">
        <v>2.3701002729999998</v>
      </c>
      <c r="CT19">
        <v>1.8687329079999999</v>
      </c>
      <c r="CU19">
        <v>1.8687329079999999</v>
      </c>
      <c r="CV19">
        <v>6.1075660889999996</v>
      </c>
      <c r="CW19">
        <v>0</v>
      </c>
      <c r="CX19">
        <v>100.000000005</v>
      </c>
      <c r="CY19">
        <v>39.428362041999996</v>
      </c>
      <c r="CZ19">
        <v>36.744228659999997</v>
      </c>
      <c r="DA19">
        <v>2.6841333820000002</v>
      </c>
      <c r="DB19">
        <v>23.06705753</v>
      </c>
      <c r="DC19">
        <v>10.470868450000001</v>
      </c>
      <c r="DD19">
        <v>6.0278490290000004</v>
      </c>
      <c r="DE19">
        <v>4.4430194209999998</v>
      </c>
      <c r="DF19">
        <v>17.781238550000001</v>
      </c>
      <c r="DG19">
        <v>8.4554781969999997</v>
      </c>
      <c r="DH19">
        <v>0.28398680799999998</v>
      </c>
      <c r="DI19">
        <v>9.1608648000000001E-2</v>
      </c>
      <c r="DJ19">
        <v>0.42139978</v>
      </c>
      <c r="DK19">
        <v>0.42139978</v>
      </c>
      <c r="DL19">
        <v>0</v>
      </c>
      <c r="DM19">
        <v>99.999999996000014</v>
      </c>
      <c r="DN19">
        <v>39.000509940000001</v>
      </c>
      <c r="DO19">
        <v>39.000509940000001</v>
      </c>
      <c r="DP19">
        <v>0</v>
      </c>
      <c r="DQ19">
        <v>23.457419680000001</v>
      </c>
      <c r="DR19">
        <v>23.457419680000001</v>
      </c>
      <c r="DS19">
        <v>10.882202958000001</v>
      </c>
      <c r="DT19">
        <v>6.3539010710000001</v>
      </c>
      <c r="DU19">
        <v>4.5283018869999996</v>
      </c>
      <c r="DV19">
        <v>19.530851609999999</v>
      </c>
      <c r="DW19">
        <v>7.1290158080000001</v>
      </c>
      <c r="DX19">
        <v>0</v>
      </c>
      <c r="DY19">
        <v>0</v>
      </c>
      <c r="DZ19">
        <v>99.999999993999992</v>
      </c>
      <c r="EA19">
        <v>25.78475336</v>
      </c>
      <c r="EB19">
        <v>25.78475336</v>
      </c>
      <c r="EC19">
        <v>15.246636770999999</v>
      </c>
      <c r="ED19">
        <v>6.053811659</v>
      </c>
      <c r="EE19">
        <v>9.1928251119999995</v>
      </c>
      <c r="EF19">
        <v>19.955156949999999</v>
      </c>
      <c r="EG19">
        <v>19.955156949999999</v>
      </c>
      <c r="EH19">
        <v>33.183856499999997</v>
      </c>
      <c r="EI19">
        <v>5.829596413</v>
      </c>
      <c r="EJ19">
        <v>0</v>
      </c>
      <c r="EK19">
        <v>100.000000005</v>
      </c>
      <c r="EL19">
        <v>58.796992490000001</v>
      </c>
      <c r="EM19">
        <v>14.73684211</v>
      </c>
      <c r="EN19">
        <v>44.060150380000003</v>
      </c>
      <c r="EO19">
        <v>15.4887218</v>
      </c>
      <c r="EP19">
        <v>15.4887218</v>
      </c>
      <c r="EQ19">
        <v>4.661654135</v>
      </c>
      <c r="ER19">
        <v>11.42857143</v>
      </c>
      <c r="ES19">
        <v>1.5037593979999999</v>
      </c>
      <c r="ET19">
        <v>1.203007519</v>
      </c>
      <c r="EU19">
        <v>1.203007519</v>
      </c>
      <c r="EV19">
        <v>6.9172932329999997</v>
      </c>
      <c r="EW19">
        <v>6.9172932329999997</v>
      </c>
      <c r="EX19">
        <v>0</v>
      </c>
      <c r="EY19">
        <v>21848</v>
      </c>
      <c r="EZ19">
        <v>8598</v>
      </c>
      <c r="FA19">
        <v>729</v>
      </c>
      <c r="FB19">
        <v>79</v>
      </c>
      <c r="FC19">
        <v>3419</v>
      </c>
      <c r="FD19">
        <v>2557</v>
      </c>
      <c r="FE19">
        <v>2495</v>
      </c>
      <c r="FF19">
        <v>2170</v>
      </c>
      <c r="FG19">
        <v>1565</v>
      </c>
      <c r="FH19">
        <v>52</v>
      </c>
      <c r="FI19">
        <v>41</v>
      </c>
      <c r="FJ19">
        <v>134</v>
      </c>
      <c r="FK19">
        <v>9</v>
      </c>
      <c r="FL19">
        <v>17312</v>
      </c>
      <c r="FM19">
        <v>7012</v>
      </c>
      <c r="FN19">
        <v>463</v>
      </c>
      <c r="FO19">
        <v>2587</v>
      </c>
      <c r="FP19">
        <v>2347</v>
      </c>
      <c r="FQ19">
        <v>1775</v>
      </c>
      <c r="FR19">
        <v>1376</v>
      </c>
      <c r="FS19">
        <v>1743</v>
      </c>
      <c r="FT19">
        <v>9</v>
      </c>
      <c r="FU19">
        <v>2342</v>
      </c>
      <c r="FV19">
        <v>808</v>
      </c>
      <c r="FW19">
        <v>266</v>
      </c>
      <c r="FX19" t="s">
        <v>69</v>
      </c>
      <c r="FY19">
        <v>282</v>
      </c>
      <c r="FZ19">
        <v>210</v>
      </c>
      <c r="GA19">
        <v>338</v>
      </c>
      <c r="GB19">
        <v>169</v>
      </c>
      <c r="GC19">
        <v>269</v>
      </c>
      <c r="GD19">
        <v>2194</v>
      </c>
      <c r="GE19">
        <v>550</v>
      </c>
      <c r="GF19">
        <v>483</v>
      </c>
      <c r="GG19">
        <v>778</v>
      </c>
      <c r="GH19">
        <v>79</v>
      </c>
      <c r="GI19">
        <v>57</v>
      </c>
      <c r="GJ19">
        <v>20</v>
      </c>
      <c r="GK19">
        <v>52</v>
      </c>
      <c r="GL19">
        <v>41</v>
      </c>
      <c r="GM19">
        <v>134</v>
      </c>
      <c r="GN19">
        <v>0</v>
      </c>
      <c r="GO19">
        <v>10916</v>
      </c>
      <c r="GP19">
        <v>4011</v>
      </c>
      <c r="GQ19">
        <v>293</v>
      </c>
      <c r="GR19">
        <v>2518</v>
      </c>
      <c r="GS19">
        <v>658</v>
      </c>
      <c r="GT19">
        <v>485</v>
      </c>
      <c r="GU19">
        <v>1941</v>
      </c>
      <c r="GV19">
        <v>923</v>
      </c>
      <c r="GW19">
        <v>699</v>
      </c>
      <c r="GX19">
        <v>148</v>
      </c>
      <c r="GY19">
        <v>76</v>
      </c>
      <c r="GZ19">
        <v>31</v>
      </c>
      <c r="HA19">
        <v>10</v>
      </c>
      <c r="HB19">
        <v>46</v>
      </c>
      <c r="HC19">
        <v>0</v>
      </c>
      <c r="HD19">
        <v>9805</v>
      </c>
      <c r="HE19">
        <v>3824</v>
      </c>
      <c r="HF19">
        <v>0</v>
      </c>
      <c r="HG19">
        <v>2300</v>
      </c>
      <c r="HH19">
        <v>623</v>
      </c>
      <c r="HI19">
        <v>444</v>
      </c>
      <c r="HJ19">
        <v>1915</v>
      </c>
      <c r="HK19">
        <v>699</v>
      </c>
      <c r="HL19">
        <v>0</v>
      </c>
      <c r="HM19">
        <v>0</v>
      </c>
      <c r="HN19">
        <v>446</v>
      </c>
      <c r="HO19">
        <v>115</v>
      </c>
      <c r="HP19">
        <v>27</v>
      </c>
      <c r="HQ19">
        <v>41</v>
      </c>
      <c r="HR19">
        <v>89</v>
      </c>
      <c r="HS19">
        <v>148</v>
      </c>
      <c r="HT19">
        <v>26</v>
      </c>
      <c r="HU19">
        <v>0</v>
      </c>
      <c r="HV19">
        <v>665</v>
      </c>
      <c r="HW19">
        <v>98</v>
      </c>
      <c r="HX19">
        <v>293</v>
      </c>
      <c r="HY19">
        <v>103</v>
      </c>
      <c r="HZ19">
        <v>31</v>
      </c>
      <c r="IA19">
        <v>76</v>
      </c>
      <c r="IB19">
        <v>10</v>
      </c>
      <c r="IC19">
        <v>8</v>
      </c>
      <c r="ID19">
        <v>46</v>
      </c>
      <c r="IE19">
        <v>0</v>
      </c>
      <c r="IG19">
        <v>48.190716000000002</v>
      </c>
    </row>
    <row r="20" spans="1:241" x14ac:dyDescent="0.25">
      <c r="A20" t="s">
        <v>47</v>
      </c>
      <c r="B20">
        <v>11.274509800000001</v>
      </c>
      <c r="C20">
        <v>19.035947709999999</v>
      </c>
      <c r="D20">
        <v>30.473856210000001</v>
      </c>
      <c r="E20">
        <v>23.325163400000001</v>
      </c>
      <c r="F20">
        <v>7.3937908500000002</v>
      </c>
      <c r="G20">
        <v>5.6372549019999996</v>
      </c>
      <c r="H20">
        <v>0.40849673199999997</v>
      </c>
      <c r="I20">
        <v>2.4101307190000001</v>
      </c>
      <c r="J20">
        <v>0</v>
      </c>
      <c r="K20">
        <v>4.0849673000000003E-2</v>
      </c>
      <c r="L20">
        <v>59</v>
      </c>
      <c r="M20">
        <v>2448</v>
      </c>
      <c r="N20">
        <v>276</v>
      </c>
      <c r="O20">
        <v>466</v>
      </c>
      <c r="P20">
        <v>746</v>
      </c>
      <c r="Q20">
        <v>571</v>
      </c>
      <c r="R20">
        <v>181</v>
      </c>
      <c r="S20">
        <v>138</v>
      </c>
      <c r="T20">
        <v>10</v>
      </c>
      <c r="U20">
        <v>59</v>
      </c>
      <c r="V20">
        <v>0</v>
      </c>
      <c r="W20">
        <v>1</v>
      </c>
      <c r="X20">
        <v>1297</v>
      </c>
      <c r="Y20">
        <v>224</v>
      </c>
      <c r="Z20">
        <v>362</v>
      </c>
      <c r="AA20">
        <v>404</v>
      </c>
      <c r="AB20">
        <v>158</v>
      </c>
      <c r="AC20">
        <v>62</v>
      </c>
      <c r="AD20">
        <v>26</v>
      </c>
      <c r="AE20">
        <v>1</v>
      </c>
      <c r="AF20">
        <v>59</v>
      </c>
      <c r="AG20">
        <v>1</v>
      </c>
      <c r="AH20">
        <v>1151</v>
      </c>
      <c r="AI20">
        <v>413</v>
      </c>
      <c r="AJ20">
        <v>342</v>
      </c>
      <c r="AK20">
        <v>155</v>
      </c>
      <c r="AL20">
        <v>104</v>
      </c>
      <c r="AM20">
        <v>76</v>
      </c>
      <c r="AN20">
        <v>52</v>
      </c>
      <c r="AO20">
        <v>9</v>
      </c>
      <c r="AP20">
        <v>0</v>
      </c>
      <c r="AQ20">
        <v>0</v>
      </c>
      <c r="AR20">
        <v>40.640252658999998</v>
      </c>
      <c r="AS20">
        <v>36.974830130000001</v>
      </c>
      <c r="AT20">
        <v>3.3017513639999998</v>
      </c>
      <c r="AU20">
        <v>0.36367116500000002</v>
      </c>
      <c r="AV20">
        <v>28.4524835</v>
      </c>
      <c r="AW20">
        <v>16.436979619999999</v>
      </c>
      <c r="AX20">
        <v>12.015503880000001</v>
      </c>
      <c r="AY20">
        <v>12.98210355</v>
      </c>
      <c r="AZ20">
        <v>12.98210355</v>
      </c>
      <c r="BA20">
        <v>16.834146808</v>
      </c>
      <c r="BB20">
        <v>10.29285099</v>
      </c>
      <c r="BC20">
        <v>6.541295818</v>
      </c>
      <c r="BD20">
        <v>0.23925734500000001</v>
      </c>
      <c r="BE20">
        <v>0.191405876</v>
      </c>
      <c r="BF20">
        <v>0.191405876</v>
      </c>
      <c r="BG20">
        <v>0.626854244</v>
      </c>
      <c r="BH20">
        <v>3.3496027999999997E-2</v>
      </c>
      <c r="BI20">
        <v>99.999999991999999</v>
      </c>
      <c r="BJ20">
        <v>41.129080739000003</v>
      </c>
      <c r="BK20">
        <v>38.22521493</v>
      </c>
      <c r="BL20">
        <v>2.903865809</v>
      </c>
      <c r="BM20">
        <v>29.279143869999999</v>
      </c>
      <c r="BN20">
        <v>15.258822820000001</v>
      </c>
      <c r="BO20">
        <v>14.02032105</v>
      </c>
      <c r="BP20">
        <v>18.168700771000001</v>
      </c>
      <c r="BQ20">
        <v>10.9902002</v>
      </c>
      <c r="BR20">
        <v>7.1785005709999998</v>
      </c>
      <c r="BS20">
        <v>11.380989599999999</v>
      </c>
      <c r="BT20">
        <v>11.380989599999999</v>
      </c>
      <c r="BU20">
        <v>4.2085011999999998E-2</v>
      </c>
      <c r="BV20">
        <v>99.999999988000013</v>
      </c>
      <c r="BW20">
        <v>42.046035799999999</v>
      </c>
      <c r="BX20">
        <v>31.457800509999998</v>
      </c>
      <c r="BY20">
        <v>10.58823529</v>
      </c>
      <c r="BZ20">
        <v>21.739130429999999</v>
      </c>
      <c r="CA20">
        <v>12.5831202</v>
      </c>
      <c r="CB20">
        <v>9.1560102299999997</v>
      </c>
      <c r="CC20">
        <v>21.585677748000002</v>
      </c>
      <c r="CD20">
        <v>13.35038363</v>
      </c>
      <c r="CE20">
        <v>8.2352941180000006</v>
      </c>
      <c r="CF20">
        <v>14.629156010000001</v>
      </c>
      <c r="CG20">
        <v>14.629156010000001</v>
      </c>
      <c r="CH20">
        <v>100.00000000200001</v>
      </c>
      <c r="CI20">
        <v>28.18181818</v>
      </c>
      <c r="CJ20">
        <v>28.18181818</v>
      </c>
      <c r="CK20">
        <v>23.116883120000001</v>
      </c>
      <c r="CL20">
        <v>23.116883120000001</v>
      </c>
      <c r="CM20">
        <v>35.930735929999997</v>
      </c>
      <c r="CN20">
        <v>32.640692639999997</v>
      </c>
      <c r="CO20">
        <v>3.2900432899999998</v>
      </c>
      <c r="CP20">
        <v>3.2034632040000002</v>
      </c>
      <c r="CQ20">
        <v>2.6839826840000001</v>
      </c>
      <c r="CR20">
        <v>0.51948052</v>
      </c>
      <c r="CS20">
        <v>2.164502165</v>
      </c>
      <c r="CT20">
        <v>1.7316017319999999</v>
      </c>
      <c r="CU20">
        <v>1.7316017319999999</v>
      </c>
      <c r="CV20">
        <v>5.670995671</v>
      </c>
      <c r="CW20">
        <v>0</v>
      </c>
      <c r="CX20">
        <v>99.999999998999996</v>
      </c>
      <c r="CY20">
        <v>36.540502293999999</v>
      </c>
      <c r="CZ20">
        <v>34.13512557</v>
      </c>
      <c r="DA20">
        <v>2.4053767239999999</v>
      </c>
      <c r="DB20">
        <v>23.134064380000002</v>
      </c>
      <c r="DC20">
        <v>10.390873718</v>
      </c>
      <c r="DD20">
        <v>5.5712769719999997</v>
      </c>
      <c r="DE20">
        <v>4.8195967460000002</v>
      </c>
      <c r="DF20">
        <v>22.97488504</v>
      </c>
      <c r="DG20">
        <v>6.1991510439999997</v>
      </c>
      <c r="DH20">
        <v>0.291828794</v>
      </c>
      <c r="DI20">
        <v>7.9589671000000001E-2</v>
      </c>
      <c r="DJ20">
        <v>0.389105058</v>
      </c>
      <c r="DK20">
        <v>0.389105058</v>
      </c>
      <c r="DL20">
        <v>0</v>
      </c>
      <c r="DM20">
        <v>100.00000000999999</v>
      </c>
      <c r="DN20">
        <v>36.35556433</v>
      </c>
      <c r="DO20">
        <v>36.35556433</v>
      </c>
      <c r="DP20">
        <v>0</v>
      </c>
      <c r="DQ20">
        <v>22.49408051</v>
      </c>
      <c r="DR20">
        <v>22.49408051</v>
      </c>
      <c r="DS20">
        <v>10.68468824</v>
      </c>
      <c r="DT20">
        <v>5.712312549</v>
      </c>
      <c r="DU20">
        <v>4.9723756909999999</v>
      </c>
      <c r="DV20">
        <v>25.473559590000001</v>
      </c>
      <c r="DW20">
        <v>4.9921073399999996</v>
      </c>
      <c r="DX20">
        <v>0</v>
      </c>
      <c r="DY20">
        <v>0</v>
      </c>
      <c r="DZ20">
        <v>100</v>
      </c>
      <c r="EA20">
        <v>41.666666669999998</v>
      </c>
      <c r="EB20">
        <v>41.666666669999998</v>
      </c>
      <c r="EC20">
        <v>16.860465116</v>
      </c>
      <c r="ED20">
        <v>8.9147286819999998</v>
      </c>
      <c r="EE20">
        <v>7.9457364339999996</v>
      </c>
      <c r="EF20">
        <v>15.116279069999999</v>
      </c>
      <c r="EG20">
        <v>15.116279069999999</v>
      </c>
      <c r="EH20">
        <v>23.25581395</v>
      </c>
      <c r="EI20">
        <v>3.1007751940000001</v>
      </c>
      <c r="EJ20">
        <v>0</v>
      </c>
      <c r="EK20">
        <v>99.999999999999986</v>
      </c>
      <c r="EL20">
        <v>56.25</v>
      </c>
      <c r="EM20">
        <v>14.786585369999999</v>
      </c>
      <c r="EN20">
        <v>41.463414630000003</v>
      </c>
      <c r="EO20">
        <v>18.445121950000001</v>
      </c>
      <c r="EP20">
        <v>18.445121950000001</v>
      </c>
      <c r="EQ20">
        <v>5.0304878049999999</v>
      </c>
      <c r="ER20">
        <v>11.43292683</v>
      </c>
      <c r="ES20">
        <v>1.3719512199999999</v>
      </c>
      <c r="ET20">
        <v>0.76219512199999995</v>
      </c>
      <c r="EU20">
        <v>0.76219512199999995</v>
      </c>
      <c r="EV20">
        <v>6.7073170729999996</v>
      </c>
      <c r="EW20">
        <v>6.7073170729999996</v>
      </c>
      <c r="EX20">
        <v>0</v>
      </c>
      <c r="EY20">
        <v>20898</v>
      </c>
      <c r="EZ20">
        <v>7727</v>
      </c>
      <c r="FA20">
        <v>690</v>
      </c>
      <c r="FB20">
        <v>76</v>
      </c>
      <c r="FC20">
        <v>3435</v>
      </c>
      <c r="FD20">
        <v>2511</v>
      </c>
      <c r="FE20">
        <v>2713</v>
      </c>
      <c r="FF20">
        <v>2151</v>
      </c>
      <c r="FG20">
        <v>1367</v>
      </c>
      <c r="FH20">
        <v>50</v>
      </c>
      <c r="FI20">
        <v>40</v>
      </c>
      <c r="FJ20">
        <v>131</v>
      </c>
      <c r="FK20">
        <v>7</v>
      </c>
      <c r="FL20">
        <v>16633</v>
      </c>
      <c r="FM20">
        <v>6358</v>
      </c>
      <c r="FN20">
        <v>483</v>
      </c>
      <c r="FO20">
        <v>2538</v>
      </c>
      <c r="FP20">
        <v>2332</v>
      </c>
      <c r="FQ20">
        <v>1828</v>
      </c>
      <c r="FR20">
        <v>1194</v>
      </c>
      <c r="FS20">
        <v>1893</v>
      </c>
      <c r="FT20">
        <v>7</v>
      </c>
      <c r="FU20">
        <v>1955</v>
      </c>
      <c r="FV20">
        <v>615</v>
      </c>
      <c r="FW20">
        <v>207</v>
      </c>
      <c r="FX20" t="s">
        <v>69</v>
      </c>
      <c r="FY20">
        <v>246</v>
      </c>
      <c r="FZ20">
        <v>179</v>
      </c>
      <c r="GA20">
        <v>261</v>
      </c>
      <c r="GB20">
        <v>161</v>
      </c>
      <c r="GC20">
        <v>286</v>
      </c>
      <c r="GD20">
        <v>2310</v>
      </c>
      <c r="GE20">
        <v>651</v>
      </c>
      <c r="GF20">
        <v>534</v>
      </c>
      <c r="GG20">
        <v>754</v>
      </c>
      <c r="GH20">
        <v>76</v>
      </c>
      <c r="GI20">
        <v>62</v>
      </c>
      <c r="GJ20">
        <v>12</v>
      </c>
      <c r="GK20">
        <v>50</v>
      </c>
      <c r="GL20">
        <v>40</v>
      </c>
      <c r="GM20">
        <v>131</v>
      </c>
      <c r="GN20">
        <v>0</v>
      </c>
      <c r="GO20">
        <v>11308</v>
      </c>
      <c r="GP20">
        <v>3860</v>
      </c>
      <c r="GQ20">
        <v>272</v>
      </c>
      <c r="GR20">
        <v>2616</v>
      </c>
      <c r="GS20">
        <v>630</v>
      </c>
      <c r="GT20">
        <v>545</v>
      </c>
      <c r="GU20">
        <v>2598</v>
      </c>
      <c r="GV20">
        <v>701</v>
      </c>
      <c r="GW20">
        <v>506</v>
      </c>
      <c r="GX20">
        <v>120</v>
      </c>
      <c r="GY20">
        <v>75</v>
      </c>
      <c r="GZ20">
        <v>33</v>
      </c>
      <c r="HA20">
        <v>9</v>
      </c>
      <c r="HB20">
        <v>44</v>
      </c>
      <c r="HC20">
        <v>0</v>
      </c>
      <c r="HD20">
        <v>10136</v>
      </c>
      <c r="HE20">
        <v>3685</v>
      </c>
      <c r="HF20">
        <v>0</v>
      </c>
      <c r="HG20">
        <v>2280</v>
      </c>
      <c r="HH20">
        <v>579</v>
      </c>
      <c r="HI20">
        <v>504</v>
      </c>
      <c r="HJ20">
        <v>2582</v>
      </c>
      <c r="HK20">
        <v>506</v>
      </c>
      <c r="HL20">
        <v>0</v>
      </c>
      <c r="HM20">
        <v>0</v>
      </c>
      <c r="HN20">
        <v>516</v>
      </c>
      <c r="HO20">
        <v>215</v>
      </c>
      <c r="HP20">
        <v>46</v>
      </c>
      <c r="HQ20">
        <v>41</v>
      </c>
      <c r="HR20">
        <v>78</v>
      </c>
      <c r="HS20">
        <v>120</v>
      </c>
      <c r="HT20">
        <v>16</v>
      </c>
      <c r="HU20">
        <v>0</v>
      </c>
      <c r="HV20">
        <v>656</v>
      </c>
      <c r="HW20">
        <v>97</v>
      </c>
      <c r="HX20">
        <v>272</v>
      </c>
      <c r="HY20">
        <v>121</v>
      </c>
      <c r="HZ20">
        <v>33</v>
      </c>
      <c r="IA20">
        <v>75</v>
      </c>
      <c r="IB20">
        <v>9</v>
      </c>
      <c r="IC20">
        <v>5</v>
      </c>
      <c r="ID20">
        <v>44</v>
      </c>
      <c r="IE20">
        <v>0</v>
      </c>
      <c r="IG20">
        <v>44.165073</v>
      </c>
    </row>
    <row r="21" spans="1:241" x14ac:dyDescent="0.25">
      <c r="A21" t="s">
        <v>48</v>
      </c>
      <c r="B21">
        <v>14.069192749999999</v>
      </c>
      <c r="C21">
        <v>17.693574959999999</v>
      </c>
      <c r="D21">
        <v>33.574958809999998</v>
      </c>
      <c r="E21">
        <v>21.614497530000001</v>
      </c>
      <c r="F21">
        <v>6.65568369</v>
      </c>
      <c r="G21">
        <v>4.382207578</v>
      </c>
      <c r="H21">
        <v>0.230642504</v>
      </c>
      <c r="I21">
        <v>1.6144975290000001</v>
      </c>
      <c r="J21">
        <v>3.2948929000000002E-2</v>
      </c>
      <c r="K21">
        <v>0.13179571700000001</v>
      </c>
      <c r="L21">
        <v>49</v>
      </c>
      <c r="M21">
        <v>3035</v>
      </c>
      <c r="N21">
        <v>427</v>
      </c>
      <c r="O21">
        <v>537</v>
      </c>
      <c r="P21">
        <v>1019</v>
      </c>
      <c r="Q21">
        <v>656</v>
      </c>
      <c r="R21">
        <v>202</v>
      </c>
      <c r="S21">
        <v>133</v>
      </c>
      <c r="T21">
        <v>7</v>
      </c>
      <c r="U21">
        <v>49</v>
      </c>
      <c r="V21">
        <v>1</v>
      </c>
      <c r="W21">
        <v>4</v>
      </c>
      <c r="X21">
        <v>1650</v>
      </c>
      <c r="Y21">
        <v>381</v>
      </c>
      <c r="Z21">
        <v>369</v>
      </c>
      <c r="AA21">
        <v>629</v>
      </c>
      <c r="AB21">
        <v>125</v>
      </c>
      <c r="AC21">
        <v>61</v>
      </c>
      <c r="AD21">
        <v>30</v>
      </c>
      <c r="AE21">
        <v>2</v>
      </c>
      <c r="AF21">
        <v>49</v>
      </c>
      <c r="AG21">
        <v>4</v>
      </c>
      <c r="AH21">
        <v>1385</v>
      </c>
      <c r="AI21">
        <v>531</v>
      </c>
      <c r="AJ21">
        <v>390</v>
      </c>
      <c r="AK21">
        <v>172</v>
      </c>
      <c r="AL21">
        <v>168</v>
      </c>
      <c r="AM21">
        <v>72</v>
      </c>
      <c r="AN21">
        <v>46</v>
      </c>
      <c r="AO21">
        <v>5</v>
      </c>
      <c r="AP21">
        <v>1</v>
      </c>
      <c r="AQ21">
        <v>0</v>
      </c>
      <c r="AR21">
        <v>44.358719092000001</v>
      </c>
      <c r="AS21">
        <v>41.405342619999999</v>
      </c>
      <c r="AT21">
        <v>2.6713124270000002</v>
      </c>
      <c r="AU21">
        <v>0.28206404499999999</v>
      </c>
      <c r="AV21">
        <v>26.609424260000004</v>
      </c>
      <c r="AW21">
        <v>16.222830600000002</v>
      </c>
      <c r="AX21">
        <v>10.386593660000001</v>
      </c>
      <c r="AY21">
        <v>12.207565949999999</v>
      </c>
      <c r="AZ21">
        <v>12.207565949999999</v>
      </c>
      <c r="BA21">
        <v>15.994690559</v>
      </c>
      <c r="BB21">
        <v>7.2382611580000003</v>
      </c>
      <c r="BC21">
        <v>8.7564294010000001</v>
      </c>
      <c r="BD21">
        <v>0.18666003</v>
      </c>
      <c r="BE21">
        <v>0.14518002299999999</v>
      </c>
      <c r="BF21">
        <v>0.14518002299999999</v>
      </c>
      <c r="BG21">
        <v>0.48116807700000003</v>
      </c>
      <c r="BH21">
        <v>1.6592003000000001E-2</v>
      </c>
      <c r="BI21">
        <v>100.00000000500002</v>
      </c>
      <c r="BJ21">
        <v>45.108315862000005</v>
      </c>
      <c r="BK21">
        <v>42.737346510000002</v>
      </c>
      <c r="BL21">
        <v>2.3709693519999999</v>
      </c>
      <c r="BM21">
        <v>26.220425280000001</v>
      </c>
      <c r="BN21">
        <v>14.60517121</v>
      </c>
      <c r="BO21">
        <v>11.615254070000001</v>
      </c>
      <c r="BP21">
        <v>16.901267845</v>
      </c>
      <c r="BQ21">
        <v>7.3275431769999999</v>
      </c>
      <c r="BR21">
        <v>9.5737246680000005</v>
      </c>
      <c r="BS21">
        <v>11.750024959999999</v>
      </c>
      <c r="BT21">
        <v>11.750024959999999</v>
      </c>
      <c r="BU21">
        <v>1.9966057999999998E-2</v>
      </c>
      <c r="BV21">
        <v>100.000000001</v>
      </c>
      <c r="BW21">
        <v>48.093994773999995</v>
      </c>
      <c r="BX21">
        <v>39.268929499999999</v>
      </c>
      <c r="BY21">
        <v>8.825065274</v>
      </c>
      <c r="BZ21">
        <v>22.297650132999998</v>
      </c>
      <c r="CA21">
        <v>13.05483029</v>
      </c>
      <c r="CB21">
        <v>9.2428198429999995</v>
      </c>
      <c r="CC21">
        <v>18.328981724000002</v>
      </c>
      <c r="CD21">
        <v>9.3472584859999994</v>
      </c>
      <c r="CE21">
        <v>8.9817232380000007</v>
      </c>
      <c r="CF21">
        <v>11.27937337</v>
      </c>
      <c r="CG21">
        <v>11.27937337</v>
      </c>
      <c r="CH21">
        <v>100.00000001299999</v>
      </c>
      <c r="CI21">
        <v>34.043538679999997</v>
      </c>
      <c r="CJ21">
        <v>34.043538679999997</v>
      </c>
      <c r="CK21">
        <v>17.276516910000002</v>
      </c>
      <c r="CL21">
        <v>17.276516910000002</v>
      </c>
      <c r="CM21">
        <v>34.089856419</v>
      </c>
      <c r="CN21">
        <v>30.940250120000002</v>
      </c>
      <c r="CO21">
        <v>3.1496062990000002</v>
      </c>
      <c r="CP21">
        <v>5.511811024</v>
      </c>
      <c r="CQ21">
        <v>4.53913849</v>
      </c>
      <c r="CR21">
        <v>0.97267253399999998</v>
      </c>
      <c r="CS21">
        <v>2.0842982860000001</v>
      </c>
      <c r="CT21">
        <v>1.621120889</v>
      </c>
      <c r="CU21">
        <v>1.621120889</v>
      </c>
      <c r="CV21">
        <v>5.3728578049999998</v>
      </c>
      <c r="CW21">
        <v>0</v>
      </c>
      <c r="CX21">
        <v>100.00000000199999</v>
      </c>
      <c r="CY21">
        <v>36.534796862</v>
      </c>
      <c r="CZ21">
        <v>33.729705010000004</v>
      </c>
      <c r="DA21">
        <v>2.8050918519999999</v>
      </c>
      <c r="DB21">
        <v>20.817135449999999</v>
      </c>
      <c r="DC21">
        <v>9.3299794190000007</v>
      </c>
      <c r="DD21">
        <v>4.939400869</v>
      </c>
      <c r="DE21">
        <v>4.3905785499999999</v>
      </c>
      <c r="DF21">
        <v>21.388825369999999</v>
      </c>
      <c r="DG21">
        <v>11.372818049999999</v>
      </c>
      <c r="DH21">
        <v>0.16007317600000001</v>
      </c>
      <c r="DI21">
        <v>9.9092919000000002E-2</v>
      </c>
      <c r="DJ21">
        <v>0.29727875599999998</v>
      </c>
      <c r="DK21">
        <v>0.29727875599999998</v>
      </c>
      <c r="DL21">
        <v>0</v>
      </c>
      <c r="DM21">
        <v>100</v>
      </c>
      <c r="DN21">
        <v>35.592651619999998</v>
      </c>
      <c r="DO21">
        <v>35.592651619999998</v>
      </c>
      <c r="DP21">
        <v>0</v>
      </c>
      <c r="DQ21">
        <v>20.283533259999999</v>
      </c>
      <c r="DR21">
        <v>20.283533259999999</v>
      </c>
      <c r="DS21">
        <v>9.5545675699999997</v>
      </c>
      <c r="DT21">
        <v>5.0750775939999997</v>
      </c>
      <c r="DU21">
        <v>4.479489976</v>
      </c>
      <c r="DV21">
        <v>23.412465399999999</v>
      </c>
      <c r="DW21">
        <v>11.15678215</v>
      </c>
      <c r="DX21">
        <v>0</v>
      </c>
      <c r="DY21">
        <v>0</v>
      </c>
      <c r="DZ21">
        <v>99.999999994000007</v>
      </c>
      <c r="EA21">
        <v>38.356164380000003</v>
      </c>
      <c r="EB21">
        <v>38.356164380000003</v>
      </c>
      <c r="EC21">
        <v>15.981735159999999</v>
      </c>
      <c r="ED21">
        <v>6.3926940639999996</v>
      </c>
      <c r="EE21">
        <v>9.5890410960000008</v>
      </c>
      <c r="EF21">
        <v>19.178082190000001</v>
      </c>
      <c r="EG21">
        <v>19.178082190000001</v>
      </c>
      <c r="EH21">
        <v>23.059360730000002</v>
      </c>
      <c r="EI21">
        <v>3.4246575340000001</v>
      </c>
      <c r="EJ21">
        <v>0</v>
      </c>
      <c r="EK21">
        <v>99.999999998000007</v>
      </c>
      <c r="EL21">
        <v>61.315789469999999</v>
      </c>
      <c r="EM21">
        <v>12.89473684</v>
      </c>
      <c r="EN21">
        <v>48.421052629999998</v>
      </c>
      <c r="EO21">
        <v>19.078947370000002</v>
      </c>
      <c r="EP21">
        <v>19.078947370000002</v>
      </c>
      <c r="EQ21">
        <v>2.763157895</v>
      </c>
      <c r="ER21">
        <v>8.0263157889999999</v>
      </c>
      <c r="ES21">
        <v>1.7105263159999999</v>
      </c>
      <c r="ET21">
        <v>1.9736842109999999</v>
      </c>
      <c r="EU21">
        <v>1.9736842109999999</v>
      </c>
      <c r="EV21">
        <v>5.1315789470000004</v>
      </c>
      <c r="EW21">
        <v>5.1315789470000004</v>
      </c>
      <c r="EX21">
        <v>0</v>
      </c>
      <c r="EY21">
        <v>24108</v>
      </c>
      <c r="EZ21">
        <v>9982</v>
      </c>
      <c r="FA21">
        <v>644</v>
      </c>
      <c r="FB21">
        <v>68</v>
      </c>
      <c r="FC21">
        <v>3911</v>
      </c>
      <c r="FD21">
        <v>2504</v>
      </c>
      <c r="FE21">
        <v>2943</v>
      </c>
      <c r="FF21">
        <v>1745</v>
      </c>
      <c r="FG21">
        <v>2111</v>
      </c>
      <c r="FH21">
        <v>45</v>
      </c>
      <c r="FI21">
        <v>35</v>
      </c>
      <c r="FJ21">
        <v>116</v>
      </c>
      <c r="FK21">
        <v>4</v>
      </c>
      <c r="FL21">
        <v>20034</v>
      </c>
      <c r="FM21">
        <v>8562</v>
      </c>
      <c r="FN21">
        <v>475</v>
      </c>
      <c r="FO21">
        <v>2926</v>
      </c>
      <c r="FP21">
        <v>2327</v>
      </c>
      <c r="FQ21">
        <v>1468</v>
      </c>
      <c r="FR21">
        <v>1918</v>
      </c>
      <c r="FS21">
        <v>2354</v>
      </c>
      <c r="FT21">
        <v>4</v>
      </c>
      <c r="FU21">
        <v>1915</v>
      </c>
      <c r="FV21">
        <v>752</v>
      </c>
      <c r="FW21">
        <v>169</v>
      </c>
      <c r="FX21" t="s">
        <v>69</v>
      </c>
      <c r="FY21">
        <v>250</v>
      </c>
      <c r="FZ21">
        <v>177</v>
      </c>
      <c r="GA21">
        <v>179</v>
      </c>
      <c r="GB21">
        <v>172</v>
      </c>
      <c r="GC21">
        <v>216</v>
      </c>
      <c r="GD21">
        <v>2159</v>
      </c>
      <c r="GE21">
        <v>735</v>
      </c>
      <c r="GF21">
        <v>373</v>
      </c>
      <c r="GG21">
        <v>668</v>
      </c>
      <c r="GH21">
        <v>68</v>
      </c>
      <c r="GI21">
        <v>98</v>
      </c>
      <c r="GJ21">
        <v>21</v>
      </c>
      <c r="GK21">
        <v>45</v>
      </c>
      <c r="GL21">
        <v>35</v>
      </c>
      <c r="GM21">
        <v>116</v>
      </c>
      <c r="GN21">
        <v>0</v>
      </c>
      <c r="GO21">
        <v>13119</v>
      </c>
      <c r="GP21">
        <v>4425</v>
      </c>
      <c r="GQ21">
        <v>368</v>
      </c>
      <c r="GR21">
        <v>2731</v>
      </c>
      <c r="GS21">
        <v>648</v>
      </c>
      <c r="GT21">
        <v>576</v>
      </c>
      <c r="GU21">
        <v>2806</v>
      </c>
      <c r="GV21">
        <v>1492</v>
      </c>
      <c r="GW21">
        <v>1330</v>
      </c>
      <c r="GX21">
        <v>101</v>
      </c>
      <c r="GY21">
        <v>61</v>
      </c>
      <c r="GZ21">
        <v>21</v>
      </c>
      <c r="HA21">
        <v>13</v>
      </c>
      <c r="HB21">
        <v>39</v>
      </c>
      <c r="HC21">
        <v>0</v>
      </c>
      <c r="HD21">
        <v>11921</v>
      </c>
      <c r="HE21">
        <v>4243</v>
      </c>
      <c r="HF21">
        <v>0</v>
      </c>
      <c r="HG21">
        <v>2418</v>
      </c>
      <c r="HH21">
        <v>605</v>
      </c>
      <c r="HI21">
        <v>534</v>
      </c>
      <c r="HJ21">
        <v>2791</v>
      </c>
      <c r="HK21">
        <v>1330</v>
      </c>
      <c r="HL21">
        <v>0</v>
      </c>
      <c r="HM21">
        <v>0</v>
      </c>
      <c r="HN21">
        <v>438</v>
      </c>
      <c r="HO21">
        <v>168</v>
      </c>
      <c r="HP21">
        <v>28</v>
      </c>
      <c r="HQ21">
        <v>42</v>
      </c>
      <c r="HR21">
        <v>84</v>
      </c>
      <c r="HS21">
        <v>101</v>
      </c>
      <c r="HT21">
        <v>15</v>
      </c>
      <c r="HU21">
        <v>0</v>
      </c>
      <c r="HV21">
        <v>760</v>
      </c>
      <c r="HW21">
        <v>98</v>
      </c>
      <c r="HX21">
        <v>368</v>
      </c>
      <c r="HY21">
        <v>145</v>
      </c>
      <c r="HZ21">
        <v>21</v>
      </c>
      <c r="IA21">
        <v>61</v>
      </c>
      <c r="IB21">
        <v>13</v>
      </c>
      <c r="IC21">
        <v>15</v>
      </c>
      <c r="ID21">
        <v>39</v>
      </c>
      <c r="IE21">
        <v>0</v>
      </c>
      <c r="IG21">
        <v>47.098232000000003</v>
      </c>
    </row>
    <row r="22" spans="1:241" x14ac:dyDescent="0.25">
      <c r="A22" t="s">
        <v>49</v>
      </c>
      <c r="B22">
        <v>10.10498688</v>
      </c>
      <c r="C22">
        <v>21.828521429999999</v>
      </c>
      <c r="D22">
        <v>30.35870516</v>
      </c>
      <c r="E22">
        <v>22.04724409</v>
      </c>
      <c r="F22">
        <v>8.8801399829999994</v>
      </c>
      <c r="G22">
        <v>5.1181102359999997</v>
      </c>
      <c r="H22">
        <v>8.7489064000000005E-2</v>
      </c>
      <c r="I22">
        <v>1.3998250219999999</v>
      </c>
      <c r="J22">
        <v>4.3744532000000003E-2</v>
      </c>
      <c r="K22">
        <v>0.13123359600000001</v>
      </c>
      <c r="L22">
        <v>32</v>
      </c>
      <c r="M22">
        <v>2286</v>
      </c>
      <c r="N22">
        <v>231</v>
      </c>
      <c r="O22">
        <v>499</v>
      </c>
      <c r="P22">
        <v>694</v>
      </c>
      <c r="Q22">
        <v>504</v>
      </c>
      <c r="R22">
        <v>203</v>
      </c>
      <c r="S22">
        <v>117</v>
      </c>
      <c r="T22">
        <v>2</v>
      </c>
      <c r="U22">
        <v>32</v>
      </c>
      <c r="V22">
        <v>1</v>
      </c>
      <c r="W22">
        <v>3</v>
      </c>
      <c r="X22">
        <v>1176</v>
      </c>
      <c r="Y22">
        <v>199</v>
      </c>
      <c r="Z22">
        <v>382</v>
      </c>
      <c r="AA22">
        <v>355</v>
      </c>
      <c r="AB22">
        <v>134</v>
      </c>
      <c r="AC22">
        <v>51</v>
      </c>
      <c r="AD22">
        <v>20</v>
      </c>
      <c r="AE22">
        <v>0</v>
      </c>
      <c r="AF22">
        <v>32</v>
      </c>
      <c r="AG22">
        <v>3</v>
      </c>
      <c r="AH22">
        <v>1110</v>
      </c>
      <c r="AI22">
        <v>370</v>
      </c>
      <c r="AJ22">
        <v>339</v>
      </c>
      <c r="AK22">
        <v>183</v>
      </c>
      <c r="AL22">
        <v>117</v>
      </c>
      <c r="AM22">
        <v>66</v>
      </c>
      <c r="AN22">
        <v>32</v>
      </c>
      <c r="AO22">
        <v>2</v>
      </c>
      <c r="AP22">
        <v>1</v>
      </c>
      <c r="AQ22">
        <v>0</v>
      </c>
      <c r="AR22">
        <v>42.438404874999996</v>
      </c>
      <c r="AS22">
        <v>39.405638809999999</v>
      </c>
      <c r="AT22">
        <v>2.768605537</v>
      </c>
      <c r="AU22">
        <v>0.26416052800000001</v>
      </c>
      <c r="AV22">
        <v>27.919735840000001</v>
      </c>
      <c r="AW22">
        <v>16.2001524</v>
      </c>
      <c r="AX22">
        <v>11.719583439999999</v>
      </c>
      <c r="AY22">
        <v>10.61722123</v>
      </c>
      <c r="AZ22">
        <v>10.61722123</v>
      </c>
      <c r="BA22">
        <v>18.262636523000001</v>
      </c>
      <c r="BB22">
        <v>11.17602235</v>
      </c>
      <c r="BC22">
        <v>7.0866141730000001</v>
      </c>
      <c r="BD22">
        <v>0.172720345</v>
      </c>
      <c r="BE22">
        <v>0.137160274</v>
      </c>
      <c r="BF22">
        <v>0.137160274</v>
      </c>
      <c r="BG22">
        <v>0.45212090399999999</v>
      </c>
      <c r="BH22">
        <v>0</v>
      </c>
      <c r="BI22">
        <v>100</v>
      </c>
      <c r="BJ22">
        <v>43.197278910000001</v>
      </c>
      <c r="BK22">
        <v>40.860418240000001</v>
      </c>
      <c r="BL22">
        <v>2.3368606700000001</v>
      </c>
      <c r="BM22">
        <v>27.569916859999999</v>
      </c>
      <c r="BN22">
        <v>13.90778534</v>
      </c>
      <c r="BO22">
        <v>13.662131520000001</v>
      </c>
      <c r="BP22">
        <v>19.790879312000001</v>
      </c>
      <c r="BQ22">
        <v>11.89216427</v>
      </c>
      <c r="BR22">
        <v>7.8987150420000001</v>
      </c>
      <c r="BS22">
        <v>9.4419249179999998</v>
      </c>
      <c r="BT22">
        <v>9.4419249179999998</v>
      </c>
      <c r="BU22">
        <v>0</v>
      </c>
      <c r="BV22">
        <v>99.999999999999986</v>
      </c>
      <c r="BW22">
        <v>50.161463943999998</v>
      </c>
      <c r="BX22">
        <v>40.796555439999999</v>
      </c>
      <c r="BY22">
        <v>9.3649085040000006</v>
      </c>
      <c r="BZ22">
        <v>17.384284176000001</v>
      </c>
      <c r="CA22">
        <v>9.9569429490000001</v>
      </c>
      <c r="CB22">
        <v>7.4273412270000003</v>
      </c>
      <c r="CC22">
        <v>22.551130243999999</v>
      </c>
      <c r="CD22">
        <v>15.17761033</v>
      </c>
      <c r="CE22">
        <v>7.3735199140000001</v>
      </c>
      <c r="CF22">
        <v>9.9031216359999998</v>
      </c>
      <c r="CG22">
        <v>9.9031216359999998</v>
      </c>
      <c r="CH22">
        <v>99.999999989000003</v>
      </c>
      <c r="CI22">
        <v>40.799589949999998</v>
      </c>
      <c r="CJ22">
        <v>40.799589949999998</v>
      </c>
      <c r="CK22">
        <v>20.861096870000001</v>
      </c>
      <c r="CL22">
        <v>20.861096870000001</v>
      </c>
      <c r="CM22">
        <v>28.908252176000001</v>
      </c>
      <c r="CN22">
        <v>26.242952330000001</v>
      </c>
      <c r="CO22">
        <v>2.6652998459999999</v>
      </c>
      <c r="CP22">
        <v>1.742696053</v>
      </c>
      <c r="CQ22">
        <v>1.537672988</v>
      </c>
      <c r="CR22">
        <v>0.205023065</v>
      </c>
      <c r="CS22">
        <v>1.742696053</v>
      </c>
      <c r="CT22">
        <v>1.3839056890000001</v>
      </c>
      <c r="CU22">
        <v>1.3839056890000001</v>
      </c>
      <c r="CV22">
        <v>4.5617631980000004</v>
      </c>
      <c r="CW22">
        <v>0</v>
      </c>
      <c r="CX22">
        <v>100.00000000599999</v>
      </c>
      <c r="CY22">
        <v>42.037418316999997</v>
      </c>
      <c r="CZ22">
        <v>39.709963299999998</v>
      </c>
      <c r="DA22">
        <v>2.3274550170000001</v>
      </c>
      <c r="DB22">
        <v>24.733685439999999</v>
      </c>
      <c r="DC22">
        <v>8.6652940650000012</v>
      </c>
      <c r="DD22">
        <v>4.090949781</v>
      </c>
      <c r="DE22">
        <v>4.5743442840000004</v>
      </c>
      <c r="DF22">
        <v>16.068391370000001</v>
      </c>
      <c r="DG22">
        <v>7.9043953089999999</v>
      </c>
      <c r="DH22">
        <v>0.25064900200000001</v>
      </c>
      <c r="DI22">
        <v>7.1614000999999997E-2</v>
      </c>
      <c r="DJ22">
        <v>0.26855250200000003</v>
      </c>
      <c r="DK22">
        <v>0.26855250200000003</v>
      </c>
      <c r="DL22">
        <v>0</v>
      </c>
      <c r="DM22">
        <v>100.00000000700003</v>
      </c>
      <c r="DN22">
        <v>42.167360700000003</v>
      </c>
      <c r="DO22">
        <v>42.167360700000003</v>
      </c>
      <c r="DP22">
        <v>0</v>
      </c>
      <c r="DQ22">
        <v>24.499305970000002</v>
      </c>
      <c r="DR22">
        <v>24.499305970000002</v>
      </c>
      <c r="DS22">
        <v>8.6456474320000005</v>
      </c>
      <c r="DT22">
        <v>4.0650406500000003</v>
      </c>
      <c r="DU22">
        <v>4.5806067820000003</v>
      </c>
      <c r="DV22">
        <v>17.65814</v>
      </c>
      <c r="DW22">
        <v>7.029545905</v>
      </c>
      <c r="DX22">
        <v>0</v>
      </c>
      <c r="DY22">
        <v>0</v>
      </c>
      <c r="DZ22">
        <v>100.00000000200001</v>
      </c>
      <c r="EA22">
        <v>34.575569360000003</v>
      </c>
      <c r="EB22">
        <v>34.575569360000003</v>
      </c>
      <c r="EC22">
        <v>17.805383026999998</v>
      </c>
      <c r="ED22">
        <v>7.6604554870000001</v>
      </c>
      <c r="EE22">
        <v>10.144927539999999</v>
      </c>
      <c r="EF22">
        <v>19.668737060000002</v>
      </c>
      <c r="EG22">
        <v>19.668737060000002</v>
      </c>
      <c r="EH22">
        <v>25.051759830000002</v>
      </c>
      <c r="EI22">
        <v>2.8985507250000002</v>
      </c>
      <c r="EJ22">
        <v>0</v>
      </c>
      <c r="EK22">
        <v>99.999999998000021</v>
      </c>
      <c r="EL22">
        <v>57.807308970000001</v>
      </c>
      <c r="EM22">
        <v>14.6179402</v>
      </c>
      <c r="EN22">
        <v>43.189368770000002</v>
      </c>
      <c r="EO22">
        <v>20.764119600000001</v>
      </c>
      <c r="EP22">
        <v>20.764119600000001</v>
      </c>
      <c r="EQ22">
        <v>4.651162791</v>
      </c>
      <c r="ER22">
        <v>8.8039867110000003</v>
      </c>
      <c r="ES22">
        <v>1.3289036540000001</v>
      </c>
      <c r="ET22">
        <v>1.661129568</v>
      </c>
      <c r="EU22">
        <v>1.661129568</v>
      </c>
      <c r="EV22">
        <v>4.9833887040000002</v>
      </c>
      <c r="EW22">
        <v>4.9833887040000002</v>
      </c>
      <c r="EX22">
        <v>0</v>
      </c>
      <c r="EY22">
        <v>19685</v>
      </c>
      <c r="EZ22">
        <v>7757</v>
      </c>
      <c r="FA22">
        <v>545</v>
      </c>
      <c r="FB22">
        <v>52</v>
      </c>
      <c r="FC22">
        <v>3189</v>
      </c>
      <c r="FD22">
        <v>2307</v>
      </c>
      <c r="FE22">
        <v>2090</v>
      </c>
      <c r="FF22">
        <v>2200</v>
      </c>
      <c r="FG22">
        <v>1395</v>
      </c>
      <c r="FH22">
        <v>34</v>
      </c>
      <c r="FI22">
        <v>27</v>
      </c>
      <c r="FJ22">
        <v>89</v>
      </c>
      <c r="FK22">
        <v>0</v>
      </c>
      <c r="FL22">
        <v>15876</v>
      </c>
      <c r="FM22">
        <v>6487</v>
      </c>
      <c r="FN22">
        <v>371</v>
      </c>
      <c r="FO22">
        <v>2208</v>
      </c>
      <c r="FP22">
        <v>2169</v>
      </c>
      <c r="FQ22">
        <v>1888</v>
      </c>
      <c r="FR22">
        <v>1254</v>
      </c>
      <c r="FS22">
        <v>1499</v>
      </c>
      <c r="FT22">
        <v>0</v>
      </c>
      <c r="FU22">
        <v>1858</v>
      </c>
      <c r="FV22">
        <v>758</v>
      </c>
      <c r="FW22">
        <v>174</v>
      </c>
      <c r="FX22" t="s">
        <v>69</v>
      </c>
      <c r="FY22">
        <v>185</v>
      </c>
      <c r="FZ22">
        <v>138</v>
      </c>
      <c r="GA22">
        <v>282</v>
      </c>
      <c r="GB22">
        <v>137</v>
      </c>
      <c r="GC22">
        <v>184</v>
      </c>
      <c r="GD22">
        <v>1951</v>
      </c>
      <c r="GE22">
        <v>796</v>
      </c>
      <c r="GF22">
        <v>407</v>
      </c>
      <c r="GG22">
        <v>512</v>
      </c>
      <c r="GH22">
        <v>52</v>
      </c>
      <c r="GI22">
        <v>30</v>
      </c>
      <c r="GJ22">
        <v>4</v>
      </c>
      <c r="GK22">
        <v>34</v>
      </c>
      <c r="GL22">
        <v>27</v>
      </c>
      <c r="GM22">
        <v>89</v>
      </c>
      <c r="GN22">
        <v>0</v>
      </c>
      <c r="GO22">
        <v>11171</v>
      </c>
      <c r="GP22">
        <v>4436</v>
      </c>
      <c r="GQ22">
        <v>260</v>
      </c>
      <c r="GR22">
        <v>2763</v>
      </c>
      <c r="GS22">
        <v>457</v>
      </c>
      <c r="GT22">
        <v>511</v>
      </c>
      <c r="GU22">
        <v>1795</v>
      </c>
      <c r="GV22">
        <v>883</v>
      </c>
      <c r="GW22">
        <v>709</v>
      </c>
      <c r="GX22">
        <v>121</v>
      </c>
      <c r="GY22">
        <v>53</v>
      </c>
      <c r="GZ22">
        <v>28</v>
      </c>
      <c r="HA22">
        <v>8</v>
      </c>
      <c r="HB22">
        <v>30</v>
      </c>
      <c r="HC22">
        <v>0</v>
      </c>
      <c r="HD22">
        <v>10086</v>
      </c>
      <c r="HE22">
        <v>4253</v>
      </c>
      <c r="HF22">
        <v>0</v>
      </c>
      <c r="HG22">
        <v>2471</v>
      </c>
      <c r="HH22">
        <v>410</v>
      </c>
      <c r="HI22">
        <v>462</v>
      </c>
      <c r="HJ22">
        <v>1781</v>
      </c>
      <c r="HK22">
        <v>709</v>
      </c>
      <c r="HL22">
        <v>0</v>
      </c>
      <c r="HM22">
        <v>0</v>
      </c>
      <c r="HN22">
        <v>483</v>
      </c>
      <c r="HO22">
        <v>167</v>
      </c>
      <c r="HP22">
        <v>37</v>
      </c>
      <c r="HQ22">
        <v>49</v>
      </c>
      <c r="HR22">
        <v>95</v>
      </c>
      <c r="HS22">
        <v>121</v>
      </c>
      <c r="HT22">
        <v>14</v>
      </c>
      <c r="HU22">
        <v>0</v>
      </c>
      <c r="HV22">
        <v>602</v>
      </c>
      <c r="HW22">
        <v>88</v>
      </c>
      <c r="HX22">
        <v>260</v>
      </c>
      <c r="HY22">
        <v>125</v>
      </c>
      <c r="HZ22">
        <v>28</v>
      </c>
      <c r="IA22">
        <v>53</v>
      </c>
      <c r="IB22">
        <v>8</v>
      </c>
      <c r="IC22">
        <v>10</v>
      </c>
      <c r="ID22">
        <v>30</v>
      </c>
      <c r="IE22">
        <v>0</v>
      </c>
      <c r="IG22">
        <v>49.430588</v>
      </c>
    </row>
    <row r="23" spans="1:241" x14ac:dyDescent="0.25">
      <c r="A23" t="s">
        <v>50</v>
      </c>
      <c r="B23">
        <v>12.58581236</v>
      </c>
      <c r="C23">
        <v>21.54843631</v>
      </c>
      <c r="D23">
        <v>27.23112128</v>
      </c>
      <c r="E23">
        <v>22.959572850000001</v>
      </c>
      <c r="F23">
        <v>8.2379862700000004</v>
      </c>
      <c r="G23">
        <v>5.3012967199999999</v>
      </c>
      <c r="H23">
        <v>0.114416476</v>
      </c>
      <c r="I23">
        <v>1.945080092</v>
      </c>
      <c r="J23">
        <v>7.6277651000000002E-2</v>
      </c>
      <c r="K23">
        <v>0</v>
      </c>
      <c r="L23">
        <v>51</v>
      </c>
      <c r="M23">
        <v>2622</v>
      </c>
      <c r="N23">
        <v>330</v>
      </c>
      <c r="O23">
        <v>565</v>
      </c>
      <c r="P23">
        <v>714</v>
      </c>
      <c r="Q23">
        <v>602</v>
      </c>
      <c r="R23">
        <v>216</v>
      </c>
      <c r="S23">
        <v>139</v>
      </c>
      <c r="T23">
        <v>3</v>
      </c>
      <c r="U23">
        <v>51</v>
      </c>
      <c r="V23">
        <v>2</v>
      </c>
      <c r="W23">
        <v>0</v>
      </c>
      <c r="X23">
        <v>1397</v>
      </c>
      <c r="Y23">
        <v>277</v>
      </c>
      <c r="Z23">
        <v>412</v>
      </c>
      <c r="AA23">
        <v>308</v>
      </c>
      <c r="AB23">
        <v>239</v>
      </c>
      <c r="AC23">
        <v>62</v>
      </c>
      <c r="AD23">
        <v>48</v>
      </c>
      <c r="AE23">
        <v>0</v>
      </c>
      <c r="AF23">
        <v>51</v>
      </c>
      <c r="AG23">
        <v>0</v>
      </c>
      <c r="AH23">
        <v>1225</v>
      </c>
      <c r="AI23">
        <v>363</v>
      </c>
      <c r="AJ23">
        <v>406</v>
      </c>
      <c r="AK23">
        <v>168</v>
      </c>
      <c r="AL23">
        <v>153</v>
      </c>
      <c r="AM23">
        <v>77</v>
      </c>
      <c r="AN23">
        <v>53</v>
      </c>
      <c r="AO23">
        <v>3</v>
      </c>
      <c r="AP23">
        <v>2</v>
      </c>
      <c r="AQ23">
        <v>0</v>
      </c>
      <c r="AR23">
        <v>45.346738852000001</v>
      </c>
      <c r="AS23">
        <v>42.284093839999997</v>
      </c>
      <c r="AT23">
        <v>2.6759474089999999</v>
      </c>
      <c r="AU23">
        <v>0.386697603</v>
      </c>
      <c r="AV23">
        <v>22.8564063</v>
      </c>
      <c r="AW23">
        <v>11.126579019999999</v>
      </c>
      <c r="AX23">
        <v>11.72982728</v>
      </c>
      <c r="AY23">
        <v>17.050786290000001</v>
      </c>
      <c r="AZ23">
        <v>17.050786290000001</v>
      </c>
      <c r="BA23">
        <v>13.616911576</v>
      </c>
      <c r="BB23">
        <v>6.8007218360000001</v>
      </c>
      <c r="BC23">
        <v>6.8161897400000004</v>
      </c>
      <c r="BD23">
        <v>0.25264243400000003</v>
      </c>
      <c r="BE23">
        <v>0.201082753</v>
      </c>
      <c r="BF23">
        <v>0.201082753</v>
      </c>
      <c r="BG23">
        <v>0.65480793999999998</v>
      </c>
      <c r="BH23">
        <v>2.0623872000000001E-2</v>
      </c>
      <c r="BI23">
        <v>99.999999993000003</v>
      </c>
      <c r="BJ23">
        <v>45.570255189000001</v>
      </c>
      <c r="BK23">
        <v>43.35695028</v>
      </c>
      <c r="BL23">
        <v>2.2133049090000001</v>
      </c>
      <c r="BM23">
        <v>23.86356511</v>
      </c>
      <c r="BN23">
        <v>10.546115739999999</v>
      </c>
      <c r="BO23">
        <v>13.31744937</v>
      </c>
      <c r="BP23">
        <v>14.207787322000001</v>
      </c>
      <c r="BQ23">
        <v>6.8029343530000004</v>
      </c>
      <c r="BR23">
        <v>7.4048529690000002</v>
      </c>
      <c r="BS23">
        <v>16.333312429999999</v>
      </c>
      <c r="BT23">
        <v>16.333312429999999</v>
      </c>
      <c r="BU23">
        <v>2.5079942000000001E-2</v>
      </c>
      <c r="BV23">
        <v>100.000000001</v>
      </c>
      <c r="BW23">
        <v>46.005154640000001</v>
      </c>
      <c r="BX23">
        <v>35.30927835</v>
      </c>
      <c r="BY23">
        <v>10.695876289999999</v>
      </c>
      <c r="BZ23">
        <v>18.75</v>
      </c>
      <c r="CA23">
        <v>9.0206185570000006</v>
      </c>
      <c r="CB23">
        <v>9.7293814429999994</v>
      </c>
      <c r="CC23">
        <v>21.907216491</v>
      </c>
      <c r="CD23">
        <v>13.7242268</v>
      </c>
      <c r="CE23">
        <v>8.1829896909999995</v>
      </c>
      <c r="CF23">
        <v>13.33762887</v>
      </c>
      <c r="CG23">
        <v>13.33762887</v>
      </c>
      <c r="CH23">
        <v>99.999999997999993</v>
      </c>
      <c r="CI23">
        <v>17.74023231</v>
      </c>
      <c r="CJ23">
        <v>17.74023231</v>
      </c>
      <c r="CK23">
        <v>26.135163670000001</v>
      </c>
      <c r="CL23">
        <v>26.135163670000001</v>
      </c>
      <c r="CM23">
        <v>42.925026403999993</v>
      </c>
      <c r="CN23">
        <v>38.965153119999997</v>
      </c>
      <c r="CO23">
        <v>3.9598732839999999</v>
      </c>
      <c r="CP23">
        <v>1.8479408660000001</v>
      </c>
      <c r="CQ23">
        <v>1.10876452</v>
      </c>
      <c r="CR23">
        <v>0.73917634600000004</v>
      </c>
      <c r="CS23">
        <v>2.5871172119999999</v>
      </c>
      <c r="CT23">
        <v>2.0591341079999999</v>
      </c>
      <c r="CU23">
        <v>2.0591341079999999</v>
      </c>
      <c r="CV23">
        <v>6.7053854279999996</v>
      </c>
      <c r="CW23">
        <v>0</v>
      </c>
      <c r="CX23">
        <v>99.999999996999989</v>
      </c>
      <c r="CY23">
        <v>42.832469773</v>
      </c>
      <c r="CZ23">
        <v>40.922482979999998</v>
      </c>
      <c r="DA23">
        <v>1.9099867930000001</v>
      </c>
      <c r="DB23">
        <v>21.4568729</v>
      </c>
      <c r="DC23">
        <v>9.1740323070000009</v>
      </c>
      <c r="DD23">
        <v>4.3177892919999996</v>
      </c>
      <c r="DE23">
        <v>4.8562430150000004</v>
      </c>
      <c r="DF23">
        <v>18.398862139999999</v>
      </c>
      <c r="DG23">
        <v>7.396119069</v>
      </c>
      <c r="DH23">
        <v>0.23366859700000001</v>
      </c>
      <c r="DI23">
        <v>6.0957024999999998E-2</v>
      </c>
      <c r="DJ23">
        <v>0.44701818599999998</v>
      </c>
      <c r="DK23">
        <v>0.44701818599999998</v>
      </c>
      <c r="DL23">
        <v>0</v>
      </c>
      <c r="DM23">
        <v>100.000000009</v>
      </c>
      <c r="DN23">
        <v>43.00932091</v>
      </c>
      <c r="DO23">
        <v>43.00932091</v>
      </c>
      <c r="DP23">
        <v>0</v>
      </c>
      <c r="DQ23">
        <v>21.515756769999999</v>
      </c>
      <c r="DR23">
        <v>21.515756769999999</v>
      </c>
      <c r="DS23">
        <v>9.3652907240000012</v>
      </c>
      <c r="DT23">
        <v>4.3164669330000001</v>
      </c>
      <c r="DU23">
        <v>5.0488237910000002</v>
      </c>
      <c r="DV23">
        <v>19.984465159999999</v>
      </c>
      <c r="DW23">
        <v>6.1251664449999996</v>
      </c>
      <c r="DX23">
        <v>0</v>
      </c>
      <c r="DY23">
        <v>0</v>
      </c>
      <c r="DZ23">
        <v>99.999999994000007</v>
      </c>
      <c r="EA23">
        <v>27.47875354</v>
      </c>
      <c r="EB23">
        <v>27.47875354</v>
      </c>
      <c r="EC23">
        <v>15.580736544000001</v>
      </c>
      <c r="ED23">
        <v>9.065155807</v>
      </c>
      <c r="EE23">
        <v>6.5155807369999996</v>
      </c>
      <c r="EF23">
        <v>23.796033990000002</v>
      </c>
      <c r="EG23">
        <v>23.796033990000002</v>
      </c>
      <c r="EH23">
        <v>30.311614729999999</v>
      </c>
      <c r="EI23">
        <v>2.83286119</v>
      </c>
      <c r="EJ23">
        <v>0</v>
      </c>
      <c r="EK23">
        <v>99.999999991999985</v>
      </c>
      <c r="EL23">
        <v>53.556485349999996</v>
      </c>
      <c r="EM23">
        <v>14.22594142</v>
      </c>
      <c r="EN23">
        <v>39.330543929999997</v>
      </c>
      <c r="EO23">
        <v>15.89958159</v>
      </c>
      <c r="EP23">
        <v>15.89958159</v>
      </c>
      <c r="EQ23">
        <v>4.8117154810000002</v>
      </c>
      <c r="ER23">
        <v>14.43514644</v>
      </c>
      <c r="ES23">
        <v>1.2552301260000001</v>
      </c>
      <c r="ET23">
        <v>0.83682008399999996</v>
      </c>
      <c r="EU23">
        <v>0.83682008399999996</v>
      </c>
      <c r="EV23">
        <v>9.2050209209999991</v>
      </c>
      <c r="EW23">
        <v>9.2050209209999991</v>
      </c>
      <c r="EX23">
        <v>0</v>
      </c>
      <c r="EY23">
        <v>19395</v>
      </c>
      <c r="EZ23">
        <v>8201</v>
      </c>
      <c r="FA23">
        <v>519</v>
      </c>
      <c r="FB23">
        <v>75</v>
      </c>
      <c r="FC23">
        <v>2158</v>
      </c>
      <c r="FD23">
        <v>2275</v>
      </c>
      <c r="FE23">
        <v>3307</v>
      </c>
      <c r="FF23">
        <v>1319</v>
      </c>
      <c r="FG23">
        <v>1322</v>
      </c>
      <c r="FH23">
        <v>49</v>
      </c>
      <c r="FI23">
        <v>39</v>
      </c>
      <c r="FJ23">
        <v>127</v>
      </c>
      <c r="FK23">
        <v>4</v>
      </c>
      <c r="FL23">
        <v>15949</v>
      </c>
      <c r="FM23">
        <v>6915</v>
      </c>
      <c r="FN23">
        <v>353</v>
      </c>
      <c r="FO23">
        <v>1682</v>
      </c>
      <c r="FP23">
        <v>2124</v>
      </c>
      <c r="FQ23">
        <v>1085</v>
      </c>
      <c r="FR23">
        <v>1181</v>
      </c>
      <c r="FS23">
        <v>2605</v>
      </c>
      <c r="FT23">
        <v>4</v>
      </c>
      <c r="FU23">
        <v>1552</v>
      </c>
      <c r="FV23">
        <v>548</v>
      </c>
      <c r="FW23">
        <v>166</v>
      </c>
      <c r="FX23" t="s">
        <v>69</v>
      </c>
      <c r="FY23">
        <v>140</v>
      </c>
      <c r="FZ23">
        <v>151</v>
      </c>
      <c r="GA23">
        <v>213</v>
      </c>
      <c r="GB23">
        <v>127</v>
      </c>
      <c r="GC23">
        <v>207</v>
      </c>
      <c r="GD23">
        <v>1894</v>
      </c>
      <c r="GE23">
        <v>336</v>
      </c>
      <c r="GF23">
        <v>495</v>
      </c>
      <c r="GG23">
        <v>738</v>
      </c>
      <c r="GH23">
        <v>75</v>
      </c>
      <c r="GI23">
        <v>21</v>
      </c>
      <c r="GJ23">
        <v>14</v>
      </c>
      <c r="GK23">
        <v>49</v>
      </c>
      <c r="GL23">
        <v>39</v>
      </c>
      <c r="GM23">
        <v>127</v>
      </c>
      <c r="GN23">
        <v>0</v>
      </c>
      <c r="GO23">
        <v>9843</v>
      </c>
      <c r="GP23">
        <v>4028</v>
      </c>
      <c r="GQ23">
        <v>188</v>
      </c>
      <c r="GR23">
        <v>2112</v>
      </c>
      <c r="GS23">
        <v>425</v>
      </c>
      <c r="GT23">
        <v>478</v>
      </c>
      <c r="GU23">
        <v>1811</v>
      </c>
      <c r="GV23">
        <v>728</v>
      </c>
      <c r="GW23">
        <v>552</v>
      </c>
      <c r="GX23">
        <v>107</v>
      </c>
      <c r="GY23">
        <v>69</v>
      </c>
      <c r="GZ23">
        <v>23</v>
      </c>
      <c r="HA23">
        <v>6</v>
      </c>
      <c r="HB23">
        <v>44</v>
      </c>
      <c r="HC23">
        <v>0</v>
      </c>
      <c r="HD23">
        <v>9012</v>
      </c>
      <c r="HE23">
        <v>3876</v>
      </c>
      <c r="HF23">
        <v>0</v>
      </c>
      <c r="HG23">
        <v>1939</v>
      </c>
      <c r="HH23">
        <v>389</v>
      </c>
      <c r="HI23">
        <v>455</v>
      </c>
      <c r="HJ23">
        <v>1801</v>
      </c>
      <c r="HK23">
        <v>552</v>
      </c>
      <c r="HL23">
        <v>0</v>
      </c>
      <c r="HM23">
        <v>0</v>
      </c>
      <c r="HN23">
        <v>353</v>
      </c>
      <c r="HO23">
        <v>97</v>
      </c>
      <c r="HP23">
        <v>32</v>
      </c>
      <c r="HQ23">
        <v>23</v>
      </c>
      <c r="HR23">
        <v>84</v>
      </c>
      <c r="HS23">
        <v>107</v>
      </c>
      <c r="HT23">
        <v>10</v>
      </c>
      <c r="HU23">
        <v>0</v>
      </c>
      <c r="HV23">
        <v>478</v>
      </c>
      <c r="HW23">
        <v>68</v>
      </c>
      <c r="HX23">
        <v>188</v>
      </c>
      <c r="HY23">
        <v>76</v>
      </c>
      <c r="HZ23">
        <v>23</v>
      </c>
      <c r="IA23">
        <v>69</v>
      </c>
      <c r="IB23">
        <v>6</v>
      </c>
      <c r="IC23">
        <v>4</v>
      </c>
      <c r="ID23">
        <v>44</v>
      </c>
      <c r="IE23">
        <v>0</v>
      </c>
      <c r="IG23">
        <v>52.746398999999997</v>
      </c>
    </row>
    <row r="24" spans="1:241" x14ac:dyDescent="0.25">
      <c r="A24" t="s">
        <v>51</v>
      </c>
      <c r="B24">
        <v>13.72956909</v>
      </c>
      <c r="C24">
        <v>19.286775630000001</v>
      </c>
      <c r="D24">
        <v>25.58692422</v>
      </c>
      <c r="E24">
        <v>23.744427930000001</v>
      </c>
      <c r="F24">
        <v>6.9242199109999998</v>
      </c>
      <c r="G24">
        <v>8.7667161960000008</v>
      </c>
      <c r="H24">
        <v>0.11887072799999999</v>
      </c>
      <c r="I24">
        <v>1.7236255570000001</v>
      </c>
      <c r="J24">
        <v>5.9435363999999997E-2</v>
      </c>
      <c r="K24">
        <v>5.9435363999999997E-2</v>
      </c>
      <c r="L24">
        <v>58</v>
      </c>
      <c r="M24">
        <v>3365</v>
      </c>
      <c r="N24">
        <v>462</v>
      </c>
      <c r="O24">
        <v>649</v>
      </c>
      <c r="P24">
        <v>861</v>
      </c>
      <c r="Q24">
        <v>799</v>
      </c>
      <c r="R24">
        <v>233</v>
      </c>
      <c r="S24">
        <v>295</v>
      </c>
      <c r="T24">
        <v>4</v>
      </c>
      <c r="U24">
        <v>58</v>
      </c>
      <c r="V24">
        <v>2</v>
      </c>
      <c r="W24">
        <v>2</v>
      </c>
      <c r="X24">
        <v>1709</v>
      </c>
      <c r="Y24">
        <v>409</v>
      </c>
      <c r="Z24">
        <v>438</v>
      </c>
      <c r="AA24">
        <v>350</v>
      </c>
      <c r="AB24">
        <v>307</v>
      </c>
      <c r="AC24">
        <v>111</v>
      </c>
      <c r="AD24">
        <v>35</v>
      </c>
      <c r="AE24">
        <v>0</v>
      </c>
      <c r="AF24">
        <v>58</v>
      </c>
      <c r="AG24">
        <v>1</v>
      </c>
      <c r="AH24">
        <v>1656</v>
      </c>
      <c r="AI24">
        <v>492</v>
      </c>
      <c r="AJ24">
        <v>511</v>
      </c>
      <c r="AK24">
        <v>198</v>
      </c>
      <c r="AL24">
        <v>211</v>
      </c>
      <c r="AM24">
        <v>184</v>
      </c>
      <c r="AN24">
        <v>53</v>
      </c>
      <c r="AO24">
        <v>4</v>
      </c>
      <c r="AP24">
        <v>2</v>
      </c>
      <c r="AQ24">
        <v>1</v>
      </c>
      <c r="AR24">
        <v>35.304847285999998</v>
      </c>
      <c r="AS24">
        <v>31.489890169999999</v>
      </c>
      <c r="AT24">
        <v>3.1513175769999999</v>
      </c>
      <c r="AU24">
        <v>0.66363953899999995</v>
      </c>
      <c r="AV24">
        <v>27.35281561</v>
      </c>
      <c r="AW24">
        <v>17.165366550000002</v>
      </c>
      <c r="AX24">
        <v>10.187449060000001</v>
      </c>
      <c r="AY24">
        <v>10.563899559999999</v>
      </c>
      <c r="AZ24">
        <v>10.563899559999999</v>
      </c>
      <c r="BA24">
        <v>25.905227619999998</v>
      </c>
      <c r="BB24">
        <v>15.830325609999999</v>
      </c>
      <c r="BC24">
        <v>10.074902010000001</v>
      </c>
      <c r="BD24">
        <v>0.26002250900000001</v>
      </c>
      <c r="BE24">
        <v>0.14359452</v>
      </c>
      <c r="BF24">
        <v>0.14359452</v>
      </c>
      <c r="BG24">
        <v>0.457950091</v>
      </c>
      <c r="BH24">
        <v>1.1642799000000001E-2</v>
      </c>
      <c r="BI24">
        <v>99.999999990000006</v>
      </c>
      <c r="BJ24">
        <v>35.729071386000001</v>
      </c>
      <c r="BK24">
        <v>32.95624127</v>
      </c>
      <c r="BL24">
        <v>2.7728301160000002</v>
      </c>
      <c r="BM24">
        <v>26.1782121</v>
      </c>
      <c r="BN24">
        <v>14.5332884</v>
      </c>
      <c r="BO24">
        <v>11.6449237</v>
      </c>
      <c r="BP24">
        <v>27.651278100000003</v>
      </c>
      <c r="BQ24">
        <v>16.338516340000002</v>
      </c>
      <c r="BR24">
        <v>11.312761760000001</v>
      </c>
      <c r="BS24">
        <v>10.426996580000001</v>
      </c>
      <c r="BT24">
        <v>10.426996580000001</v>
      </c>
      <c r="BU24">
        <v>1.4441824000000001E-2</v>
      </c>
      <c r="BV24">
        <v>100.00000000000001</v>
      </c>
      <c r="BW24">
        <v>41.039965620000004</v>
      </c>
      <c r="BX24">
        <v>30.89815213</v>
      </c>
      <c r="BY24">
        <v>10.141813490000001</v>
      </c>
      <c r="BZ24">
        <v>20.928233773999999</v>
      </c>
      <c r="CA24">
        <v>12.07563386</v>
      </c>
      <c r="CB24">
        <v>8.8525999140000007</v>
      </c>
      <c r="CC24">
        <v>29.480017194000002</v>
      </c>
      <c r="CD24">
        <v>20.412548350000002</v>
      </c>
      <c r="CE24">
        <v>9.0674688440000004</v>
      </c>
      <c r="CF24">
        <v>8.5517834120000007</v>
      </c>
      <c r="CG24">
        <v>8.5517834120000007</v>
      </c>
      <c r="CH24">
        <v>99.999999998999982</v>
      </c>
      <c r="CI24">
        <v>42.1072366</v>
      </c>
      <c r="CJ24">
        <v>42.1072366</v>
      </c>
      <c r="CK24">
        <v>13.38582677</v>
      </c>
      <c r="CL24">
        <v>13.38582677</v>
      </c>
      <c r="CM24">
        <v>26.996625418000001</v>
      </c>
      <c r="CN24">
        <v>20.584926880000001</v>
      </c>
      <c r="CO24">
        <v>6.4116985379999996</v>
      </c>
      <c r="CP24">
        <v>9.186351706</v>
      </c>
      <c r="CQ24">
        <v>7.8740157479999997</v>
      </c>
      <c r="CR24">
        <v>1.312335958</v>
      </c>
      <c r="CS24">
        <v>2.5121859770000001</v>
      </c>
      <c r="CT24">
        <v>1.387326584</v>
      </c>
      <c r="CU24">
        <v>1.387326584</v>
      </c>
      <c r="CV24">
        <v>4.4244469439999996</v>
      </c>
      <c r="CW24">
        <v>0</v>
      </c>
      <c r="CX24">
        <v>99.18951543899999</v>
      </c>
      <c r="CY24">
        <v>33.617865152999997</v>
      </c>
      <c r="CZ24">
        <v>30.669080879999999</v>
      </c>
      <c r="DA24">
        <v>2.9487842729999998</v>
      </c>
      <c r="DB24">
        <v>18.563545439999999</v>
      </c>
      <c r="DC24">
        <v>13.51957234</v>
      </c>
      <c r="DD24">
        <v>7.3633385069999999</v>
      </c>
      <c r="DE24">
        <v>6.1562338329999999</v>
      </c>
      <c r="DF24">
        <v>21.538196240000001</v>
      </c>
      <c r="DG24">
        <v>10.863942059999999</v>
      </c>
      <c r="DH24" t="s">
        <v>69</v>
      </c>
      <c r="DI24">
        <v>0.44835316400000003</v>
      </c>
      <c r="DJ24">
        <v>0.638041042</v>
      </c>
      <c r="DK24">
        <v>0.638041042</v>
      </c>
      <c r="DL24">
        <v>0</v>
      </c>
      <c r="DM24">
        <v>99.999999993000003</v>
      </c>
      <c r="DN24">
        <v>32.436632029999998</v>
      </c>
      <c r="DO24">
        <v>32.436632029999998</v>
      </c>
      <c r="DP24">
        <v>0</v>
      </c>
      <c r="DQ24">
        <v>18.75303486</v>
      </c>
      <c r="DR24">
        <v>18.75303486</v>
      </c>
      <c r="DS24">
        <v>14.266291153000001</v>
      </c>
      <c r="DT24">
        <v>7.7692531809999998</v>
      </c>
      <c r="DU24">
        <v>6.4970379720000002</v>
      </c>
      <c r="DV24">
        <v>24.104107989999999</v>
      </c>
      <c r="DW24">
        <v>10.439933959999999</v>
      </c>
      <c r="DX24" t="s">
        <v>69</v>
      </c>
      <c r="DY24">
        <v>0</v>
      </c>
      <c r="DZ24">
        <v>100</v>
      </c>
      <c r="EA24">
        <v>20.466321239999999</v>
      </c>
      <c r="EB24">
        <v>20.466321239999999</v>
      </c>
      <c r="EC24">
        <v>22.538860110000002</v>
      </c>
      <c r="ED24">
        <v>10.88082902</v>
      </c>
      <c r="EE24">
        <v>11.65803109</v>
      </c>
      <c r="EF24">
        <v>22.79792746</v>
      </c>
      <c r="EG24">
        <v>22.79792746</v>
      </c>
      <c r="EH24">
        <v>30.051813469999999</v>
      </c>
      <c r="EI24">
        <v>4.1450777199999997</v>
      </c>
      <c r="EJ24" t="s">
        <v>69</v>
      </c>
      <c r="EK24">
        <v>100</v>
      </c>
      <c r="EL24">
        <v>51.475409839999998</v>
      </c>
      <c r="EM24">
        <v>14.098360660000001</v>
      </c>
      <c r="EN24">
        <v>37.37704918</v>
      </c>
      <c r="EO24">
        <v>15.6284153</v>
      </c>
      <c r="EP24">
        <v>15.6284153</v>
      </c>
      <c r="EQ24">
        <v>10.273224040000001</v>
      </c>
      <c r="ER24">
        <v>7.5409836070000003</v>
      </c>
      <c r="ES24">
        <v>5.6830601090000004</v>
      </c>
      <c r="ET24">
        <v>1.3114754099999999</v>
      </c>
      <c r="EU24">
        <v>1.3114754099999999</v>
      </c>
      <c r="EV24">
        <v>8.0874316939999993</v>
      </c>
      <c r="EW24">
        <v>8.0874316939999993</v>
      </c>
      <c r="EX24">
        <v>0</v>
      </c>
      <c r="EY24">
        <v>25767</v>
      </c>
      <c r="EZ24">
        <v>8114</v>
      </c>
      <c r="FA24">
        <v>812</v>
      </c>
      <c r="FB24">
        <v>171</v>
      </c>
      <c r="FC24">
        <v>4423</v>
      </c>
      <c r="FD24">
        <v>2625</v>
      </c>
      <c r="FE24">
        <v>2722</v>
      </c>
      <c r="FF24">
        <v>4079</v>
      </c>
      <c r="FG24">
        <v>2596</v>
      </c>
      <c r="FH24">
        <v>67</v>
      </c>
      <c r="FI24">
        <v>37</v>
      </c>
      <c r="FJ24">
        <v>118</v>
      </c>
      <c r="FK24">
        <v>3</v>
      </c>
      <c r="FL24">
        <v>20773</v>
      </c>
      <c r="FM24">
        <v>6846</v>
      </c>
      <c r="FN24">
        <v>576</v>
      </c>
      <c r="FO24">
        <v>3019</v>
      </c>
      <c r="FP24">
        <v>2419</v>
      </c>
      <c r="FQ24">
        <v>3394</v>
      </c>
      <c r="FR24">
        <v>2350</v>
      </c>
      <c r="FS24">
        <v>2166</v>
      </c>
      <c r="FT24">
        <v>3</v>
      </c>
      <c r="FU24">
        <v>2327</v>
      </c>
      <c r="FV24">
        <v>719</v>
      </c>
      <c r="FW24">
        <v>236</v>
      </c>
      <c r="FX24" t="s">
        <v>69</v>
      </c>
      <c r="FY24">
        <v>281</v>
      </c>
      <c r="FZ24">
        <v>206</v>
      </c>
      <c r="GA24">
        <v>475</v>
      </c>
      <c r="GB24">
        <v>211</v>
      </c>
      <c r="GC24">
        <v>199</v>
      </c>
      <c r="GD24">
        <v>2667</v>
      </c>
      <c r="GE24">
        <v>1123</v>
      </c>
      <c r="GF24">
        <v>357</v>
      </c>
      <c r="GG24">
        <v>549</v>
      </c>
      <c r="GH24">
        <v>171</v>
      </c>
      <c r="GI24">
        <v>210</v>
      </c>
      <c r="GJ24">
        <v>35</v>
      </c>
      <c r="GK24">
        <v>67</v>
      </c>
      <c r="GL24">
        <v>37</v>
      </c>
      <c r="GM24">
        <v>118</v>
      </c>
      <c r="GN24">
        <v>0</v>
      </c>
      <c r="GO24">
        <v>11598</v>
      </c>
      <c r="GP24">
        <v>3557</v>
      </c>
      <c r="GQ24">
        <v>342</v>
      </c>
      <c r="GR24">
        <v>2153</v>
      </c>
      <c r="GS24">
        <v>854</v>
      </c>
      <c r="GT24">
        <v>714</v>
      </c>
      <c r="GU24">
        <v>2498</v>
      </c>
      <c r="GV24">
        <v>1260</v>
      </c>
      <c r="GW24">
        <v>1075</v>
      </c>
      <c r="GX24">
        <v>116</v>
      </c>
      <c r="GY24">
        <v>69</v>
      </c>
      <c r="GZ24" t="s">
        <v>69</v>
      </c>
      <c r="HA24">
        <v>52</v>
      </c>
      <c r="HB24">
        <v>74</v>
      </c>
      <c r="HC24">
        <v>0</v>
      </c>
      <c r="HD24">
        <v>10297</v>
      </c>
      <c r="HE24">
        <v>3340</v>
      </c>
      <c r="HF24">
        <v>0</v>
      </c>
      <c r="HG24">
        <v>1931</v>
      </c>
      <c r="HH24">
        <v>800</v>
      </c>
      <c r="HI24">
        <v>669</v>
      </c>
      <c r="HJ24">
        <v>2482</v>
      </c>
      <c r="HK24">
        <v>1075</v>
      </c>
      <c r="HL24" t="s">
        <v>69</v>
      </c>
      <c r="HM24">
        <v>0</v>
      </c>
      <c r="HN24">
        <v>386</v>
      </c>
      <c r="HO24">
        <v>79</v>
      </c>
      <c r="HP24">
        <v>42</v>
      </c>
      <c r="HQ24">
        <v>45</v>
      </c>
      <c r="HR24">
        <v>88</v>
      </c>
      <c r="HS24">
        <v>116</v>
      </c>
      <c r="HT24">
        <v>16</v>
      </c>
      <c r="HU24" t="s">
        <v>69</v>
      </c>
      <c r="HV24">
        <v>915</v>
      </c>
      <c r="HW24">
        <v>129</v>
      </c>
      <c r="HX24">
        <v>342</v>
      </c>
      <c r="HY24">
        <v>143</v>
      </c>
      <c r="HZ24">
        <v>94</v>
      </c>
      <c r="IA24">
        <v>69</v>
      </c>
      <c r="IB24">
        <v>52</v>
      </c>
      <c r="IC24">
        <v>12</v>
      </c>
      <c r="ID24">
        <v>74</v>
      </c>
      <c r="IE24">
        <v>0</v>
      </c>
      <c r="IG24">
        <v>56.816425000000002</v>
      </c>
    </row>
    <row r="25" spans="1:241" x14ac:dyDescent="0.25">
      <c r="A25" t="s">
        <v>52</v>
      </c>
      <c r="B25">
        <v>14.54956653</v>
      </c>
      <c r="C25">
        <v>21.070486240000001</v>
      </c>
      <c r="D25">
        <v>26.385224269999998</v>
      </c>
      <c r="E25">
        <v>24.764417640000001</v>
      </c>
      <c r="F25">
        <v>6.9732378439999998</v>
      </c>
      <c r="G25">
        <v>4.6739540140000004</v>
      </c>
      <c r="H25">
        <v>0.188465888</v>
      </c>
      <c r="I25">
        <v>1.319261214</v>
      </c>
      <c r="J25">
        <v>0</v>
      </c>
      <c r="K25">
        <v>7.5386355000000002E-2</v>
      </c>
      <c r="L25">
        <v>35</v>
      </c>
      <c r="M25">
        <v>2653</v>
      </c>
      <c r="N25">
        <v>386</v>
      </c>
      <c r="O25">
        <v>559</v>
      </c>
      <c r="P25">
        <v>700</v>
      </c>
      <c r="Q25">
        <v>657</v>
      </c>
      <c r="R25">
        <v>185</v>
      </c>
      <c r="S25">
        <v>124</v>
      </c>
      <c r="T25">
        <v>5</v>
      </c>
      <c r="U25">
        <v>35</v>
      </c>
      <c r="V25">
        <v>0</v>
      </c>
      <c r="W25">
        <v>2</v>
      </c>
      <c r="X25">
        <v>1257</v>
      </c>
      <c r="Y25">
        <v>312</v>
      </c>
      <c r="Z25">
        <v>368</v>
      </c>
      <c r="AA25">
        <v>282</v>
      </c>
      <c r="AB25">
        <v>175</v>
      </c>
      <c r="AC25">
        <v>67</v>
      </c>
      <c r="AD25">
        <v>13</v>
      </c>
      <c r="AE25">
        <v>3</v>
      </c>
      <c r="AF25">
        <v>35</v>
      </c>
      <c r="AG25">
        <v>2</v>
      </c>
      <c r="AH25">
        <v>1396</v>
      </c>
      <c r="AI25">
        <v>482</v>
      </c>
      <c r="AJ25">
        <v>418</v>
      </c>
      <c r="AK25">
        <v>172</v>
      </c>
      <c r="AL25">
        <v>191</v>
      </c>
      <c r="AM25">
        <v>57</v>
      </c>
      <c r="AN25">
        <v>74</v>
      </c>
      <c r="AO25">
        <v>2</v>
      </c>
      <c r="AP25">
        <v>0</v>
      </c>
      <c r="AQ25">
        <v>0</v>
      </c>
      <c r="AR25">
        <v>47.474531286000001</v>
      </c>
      <c r="AS25">
        <v>44.306994260000003</v>
      </c>
      <c r="AT25">
        <v>2.5811146310000002</v>
      </c>
      <c r="AU25">
        <v>0.58642239500000004</v>
      </c>
      <c r="AV25">
        <v>24.539851036000002</v>
      </c>
      <c r="AW25">
        <v>15.68358873</v>
      </c>
      <c r="AX25">
        <v>8.8562623059999996</v>
      </c>
      <c r="AY25">
        <v>8.4367776729999999</v>
      </c>
      <c r="AZ25">
        <v>8.4367776729999999</v>
      </c>
      <c r="BA25">
        <v>18.774077566999999</v>
      </c>
      <c r="BB25">
        <v>11.37317011</v>
      </c>
      <c r="BC25">
        <v>7.4009074569999997</v>
      </c>
      <c r="BD25">
        <v>0.23114459400000001</v>
      </c>
      <c r="BE25">
        <v>0.12841366300000001</v>
      </c>
      <c r="BF25">
        <v>0.12841366300000001</v>
      </c>
      <c r="BG25">
        <v>0.40664326699999997</v>
      </c>
      <c r="BH25">
        <v>8.5609109999999992E-3</v>
      </c>
      <c r="BI25">
        <v>100.00000000099999</v>
      </c>
      <c r="BJ25">
        <v>49.937513013</v>
      </c>
      <c r="BK25">
        <v>47.948344089999999</v>
      </c>
      <c r="BL25">
        <v>1.989168923</v>
      </c>
      <c r="BM25">
        <v>23.583628416</v>
      </c>
      <c r="BN25">
        <v>13.91376797</v>
      </c>
      <c r="BO25">
        <v>9.6698604459999995</v>
      </c>
      <c r="BP25">
        <v>19.074151219000001</v>
      </c>
      <c r="BQ25">
        <v>11.414288689999999</v>
      </c>
      <c r="BR25">
        <v>7.6598625289999998</v>
      </c>
      <c r="BS25">
        <v>7.3942928559999999</v>
      </c>
      <c r="BT25">
        <v>7.3942928559999999</v>
      </c>
      <c r="BU25">
        <v>1.0414497E-2</v>
      </c>
      <c r="BV25">
        <v>99.999999997000003</v>
      </c>
      <c r="BW25">
        <v>41.94280526</v>
      </c>
      <c r="BX25">
        <v>31.911030409999999</v>
      </c>
      <c r="BY25">
        <v>10.03177485</v>
      </c>
      <c r="BZ25">
        <v>22.968679074999997</v>
      </c>
      <c r="CA25">
        <v>13.345438039999999</v>
      </c>
      <c r="CB25">
        <v>9.6232410349999995</v>
      </c>
      <c r="CC25">
        <v>26.554698139999999</v>
      </c>
      <c r="CD25">
        <v>16.341352700000002</v>
      </c>
      <c r="CE25">
        <v>10.213345439999999</v>
      </c>
      <c r="CF25">
        <v>8.5338175219999997</v>
      </c>
      <c r="CG25">
        <v>8.5338175219999997</v>
      </c>
      <c r="CH25">
        <v>100.000000004</v>
      </c>
      <c r="CI25">
        <v>35.703324809999998</v>
      </c>
      <c r="CJ25">
        <v>35.703324809999998</v>
      </c>
      <c r="CK25">
        <v>18.56777494</v>
      </c>
      <c r="CL25">
        <v>18.56777494</v>
      </c>
      <c r="CM25">
        <v>29.514066493999998</v>
      </c>
      <c r="CN25">
        <v>22.506393859999999</v>
      </c>
      <c r="CO25">
        <v>7.0076726340000004</v>
      </c>
      <c r="CP25">
        <v>7.0588235299999997</v>
      </c>
      <c r="CQ25">
        <v>5.37084399</v>
      </c>
      <c r="CR25">
        <v>1.6879795399999999</v>
      </c>
      <c r="CS25">
        <v>2.7621483379999998</v>
      </c>
      <c r="CT25">
        <v>1.5345268540000001</v>
      </c>
      <c r="CU25">
        <v>1.5345268540000001</v>
      </c>
      <c r="CV25">
        <v>4.8593350380000002</v>
      </c>
      <c r="CW25">
        <v>0</v>
      </c>
      <c r="CX25">
        <v>99.288897310999985</v>
      </c>
      <c r="CY25">
        <v>46.107897975999997</v>
      </c>
      <c r="CZ25">
        <v>43.510002839999999</v>
      </c>
      <c r="DA25">
        <v>2.597895136</v>
      </c>
      <c r="DB25">
        <v>16.829430169999998</v>
      </c>
      <c r="DC25">
        <v>11.462975254</v>
      </c>
      <c r="DD25">
        <v>6.5611074240000002</v>
      </c>
      <c r="DE25">
        <v>4.9018678299999996</v>
      </c>
      <c r="DF25">
        <v>15.62529629</v>
      </c>
      <c r="DG25">
        <v>8.3056793399999993</v>
      </c>
      <c r="DH25" t="s">
        <v>69</v>
      </c>
      <c r="DI25">
        <v>0.39821750299999997</v>
      </c>
      <c r="DJ25">
        <v>0.55940077799999999</v>
      </c>
      <c r="DK25">
        <v>0.55940077799999999</v>
      </c>
      <c r="DL25">
        <v>0</v>
      </c>
      <c r="DM25">
        <v>99.999999998000021</v>
      </c>
      <c r="DN25">
        <v>46.131233600000002</v>
      </c>
      <c r="DO25">
        <v>46.131233600000002</v>
      </c>
      <c r="DP25">
        <v>0</v>
      </c>
      <c r="DQ25">
        <v>17.0183727</v>
      </c>
      <c r="DR25">
        <v>17.0183727</v>
      </c>
      <c r="DS25">
        <v>11.926509187000001</v>
      </c>
      <c r="DT25">
        <v>6.8556430449999999</v>
      </c>
      <c r="DU25">
        <v>5.0708661419999999</v>
      </c>
      <c r="DV25">
        <v>17.196850390000002</v>
      </c>
      <c r="DW25">
        <v>7.727034121</v>
      </c>
      <c r="DX25" t="s">
        <v>69</v>
      </c>
      <c r="DY25">
        <v>0</v>
      </c>
      <c r="DZ25">
        <v>99.999999998000007</v>
      </c>
      <c r="EA25">
        <v>13.89830508</v>
      </c>
      <c r="EB25">
        <v>13.89830508</v>
      </c>
      <c r="EC25">
        <v>22.71186441</v>
      </c>
      <c r="ED25">
        <v>11.18644068</v>
      </c>
      <c r="EE25">
        <v>11.52542373</v>
      </c>
      <c r="EF25">
        <v>31.18644068</v>
      </c>
      <c r="EG25">
        <v>31.18644068</v>
      </c>
      <c r="EH25">
        <v>28.81355932</v>
      </c>
      <c r="EI25">
        <v>3.3898305080000002</v>
      </c>
      <c r="EJ25" t="s">
        <v>69</v>
      </c>
      <c r="EK25">
        <v>100.00000000800001</v>
      </c>
      <c r="EL25">
        <v>51.856946359999995</v>
      </c>
      <c r="EM25">
        <v>14.16781293</v>
      </c>
      <c r="EN25">
        <v>37.689133429999998</v>
      </c>
      <c r="EO25">
        <v>15.543328750000001</v>
      </c>
      <c r="EP25">
        <v>15.543328750000001</v>
      </c>
      <c r="EQ25">
        <v>10.31636864</v>
      </c>
      <c r="ER25">
        <v>7.5653370009999996</v>
      </c>
      <c r="ES25">
        <v>5.777166437</v>
      </c>
      <c r="ET25">
        <v>0.82530949099999995</v>
      </c>
      <c r="EU25">
        <v>0.82530949099999995</v>
      </c>
      <c r="EV25">
        <v>8.1155433289999994</v>
      </c>
      <c r="EW25">
        <v>8.1155433289999994</v>
      </c>
      <c r="EX25">
        <v>0</v>
      </c>
      <c r="EY25">
        <v>23362</v>
      </c>
      <c r="EZ25">
        <v>10351</v>
      </c>
      <c r="FA25">
        <v>603</v>
      </c>
      <c r="FB25">
        <v>137</v>
      </c>
      <c r="FC25">
        <v>3664</v>
      </c>
      <c r="FD25">
        <v>2069</v>
      </c>
      <c r="FE25">
        <v>1971</v>
      </c>
      <c r="FF25">
        <v>2657</v>
      </c>
      <c r="FG25">
        <v>1729</v>
      </c>
      <c r="FH25">
        <v>54</v>
      </c>
      <c r="FI25">
        <v>30</v>
      </c>
      <c r="FJ25">
        <v>95</v>
      </c>
      <c r="FK25">
        <v>2</v>
      </c>
      <c r="FL25">
        <v>19204</v>
      </c>
      <c r="FM25">
        <v>9208</v>
      </c>
      <c r="FN25">
        <v>382</v>
      </c>
      <c r="FO25">
        <v>2672</v>
      </c>
      <c r="FP25">
        <v>1857</v>
      </c>
      <c r="FQ25">
        <v>2192</v>
      </c>
      <c r="FR25">
        <v>1471</v>
      </c>
      <c r="FS25">
        <v>1420</v>
      </c>
      <c r="FT25">
        <v>2</v>
      </c>
      <c r="FU25">
        <v>2203</v>
      </c>
      <c r="FV25">
        <v>703</v>
      </c>
      <c r="FW25">
        <v>221</v>
      </c>
      <c r="FX25" t="s">
        <v>69</v>
      </c>
      <c r="FY25">
        <v>294</v>
      </c>
      <c r="FZ25">
        <v>212</v>
      </c>
      <c r="GA25">
        <v>360</v>
      </c>
      <c r="GB25">
        <v>225</v>
      </c>
      <c r="GC25">
        <v>188</v>
      </c>
      <c r="GD25">
        <v>1955</v>
      </c>
      <c r="GE25">
        <v>698</v>
      </c>
      <c r="GF25">
        <v>363</v>
      </c>
      <c r="GG25">
        <v>440</v>
      </c>
      <c r="GH25">
        <v>137</v>
      </c>
      <c r="GI25">
        <v>105</v>
      </c>
      <c r="GJ25">
        <v>33</v>
      </c>
      <c r="GK25">
        <v>54</v>
      </c>
      <c r="GL25">
        <v>30</v>
      </c>
      <c r="GM25">
        <v>95</v>
      </c>
      <c r="GN25">
        <v>0</v>
      </c>
      <c r="GO25">
        <v>10547</v>
      </c>
      <c r="GP25">
        <v>4589</v>
      </c>
      <c r="GQ25">
        <v>274</v>
      </c>
      <c r="GR25">
        <v>1775</v>
      </c>
      <c r="GS25">
        <v>692</v>
      </c>
      <c r="GT25">
        <v>517</v>
      </c>
      <c r="GU25">
        <v>1648</v>
      </c>
      <c r="GV25">
        <v>876</v>
      </c>
      <c r="GW25">
        <v>736</v>
      </c>
      <c r="GX25">
        <v>85</v>
      </c>
      <c r="GY25">
        <v>55</v>
      </c>
      <c r="GZ25" t="s">
        <v>69</v>
      </c>
      <c r="HA25">
        <v>42</v>
      </c>
      <c r="HB25">
        <v>59</v>
      </c>
      <c r="HC25">
        <v>0</v>
      </c>
      <c r="HD25">
        <v>9525</v>
      </c>
      <c r="HE25">
        <v>4394</v>
      </c>
      <c r="HF25">
        <v>0</v>
      </c>
      <c r="HG25">
        <v>1621</v>
      </c>
      <c r="HH25">
        <v>653</v>
      </c>
      <c r="HI25">
        <v>483</v>
      </c>
      <c r="HJ25">
        <v>1638</v>
      </c>
      <c r="HK25">
        <v>736</v>
      </c>
      <c r="HL25" t="s">
        <v>69</v>
      </c>
      <c r="HM25">
        <v>0</v>
      </c>
      <c r="HN25">
        <v>295</v>
      </c>
      <c r="HO25">
        <v>41</v>
      </c>
      <c r="HP25">
        <v>33</v>
      </c>
      <c r="HQ25">
        <v>34</v>
      </c>
      <c r="HR25">
        <v>92</v>
      </c>
      <c r="HS25">
        <v>85</v>
      </c>
      <c r="HT25">
        <v>10</v>
      </c>
      <c r="HU25" t="s">
        <v>69</v>
      </c>
      <c r="HV25">
        <v>727</v>
      </c>
      <c r="HW25">
        <v>103</v>
      </c>
      <c r="HX25">
        <v>274</v>
      </c>
      <c r="HY25">
        <v>113</v>
      </c>
      <c r="HZ25">
        <v>75</v>
      </c>
      <c r="IA25">
        <v>55</v>
      </c>
      <c r="IB25">
        <v>42</v>
      </c>
      <c r="IC25">
        <v>6</v>
      </c>
      <c r="ID25">
        <v>59</v>
      </c>
      <c r="IE25">
        <v>0</v>
      </c>
      <c r="IG25">
        <v>53.768734000000002</v>
      </c>
    </row>
    <row r="26" spans="1:241" x14ac:dyDescent="0.25">
      <c r="A26" t="s">
        <v>53</v>
      </c>
      <c r="B26">
        <v>14.109396909999999</v>
      </c>
      <c r="C26">
        <v>20.84151473</v>
      </c>
      <c r="D26">
        <v>27.208976159999999</v>
      </c>
      <c r="E26">
        <v>22.524544179999999</v>
      </c>
      <c r="F26">
        <v>8.1907433380000008</v>
      </c>
      <c r="G26">
        <v>5.9467040669999998</v>
      </c>
      <c r="H26">
        <v>2.8050491E-2</v>
      </c>
      <c r="I26">
        <v>1.0659186540000001</v>
      </c>
      <c r="J26">
        <v>0</v>
      </c>
      <c r="K26">
        <v>8.4151473000000004E-2</v>
      </c>
      <c r="L26">
        <v>38</v>
      </c>
      <c r="M26">
        <v>3565</v>
      </c>
      <c r="N26">
        <v>503</v>
      </c>
      <c r="O26">
        <v>743</v>
      </c>
      <c r="P26">
        <v>970</v>
      </c>
      <c r="Q26">
        <v>803</v>
      </c>
      <c r="R26">
        <v>292</v>
      </c>
      <c r="S26">
        <v>212</v>
      </c>
      <c r="T26">
        <v>1</v>
      </c>
      <c r="U26">
        <v>38</v>
      </c>
      <c r="V26">
        <v>0</v>
      </c>
      <c r="W26">
        <v>3</v>
      </c>
      <c r="X26">
        <v>1788</v>
      </c>
      <c r="Y26">
        <v>395</v>
      </c>
      <c r="Z26">
        <v>542</v>
      </c>
      <c r="AA26">
        <v>375</v>
      </c>
      <c r="AB26">
        <v>309</v>
      </c>
      <c r="AC26">
        <v>106</v>
      </c>
      <c r="AD26">
        <v>20</v>
      </c>
      <c r="AE26">
        <v>0</v>
      </c>
      <c r="AF26">
        <v>38</v>
      </c>
      <c r="AG26">
        <v>3</v>
      </c>
      <c r="AH26">
        <v>1777</v>
      </c>
      <c r="AI26">
        <v>494</v>
      </c>
      <c r="AJ26">
        <v>595</v>
      </c>
      <c r="AK26">
        <v>272</v>
      </c>
      <c r="AL26">
        <v>201</v>
      </c>
      <c r="AM26">
        <v>106</v>
      </c>
      <c r="AN26">
        <v>108</v>
      </c>
      <c r="AO26">
        <v>1</v>
      </c>
      <c r="AP26">
        <v>0</v>
      </c>
      <c r="AQ26">
        <v>0</v>
      </c>
      <c r="AR26">
        <v>41.866755439999999</v>
      </c>
      <c r="AS26">
        <v>38.7915609</v>
      </c>
      <c r="AT26">
        <v>2.542549207</v>
      </c>
      <c r="AU26">
        <v>0.53264533300000005</v>
      </c>
      <c r="AV26">
        <v>26.906911900000001</v>
      </c>
      <c r="AW26">
        <v>16.78248928</v>
      </c>
      <c r="AX26">
        <v>10.124422620000001</v>
      </c>
      <c r="AY26">
        <v>13.15800424</v>
      </c>
      <c r="AZ26">
        <v>13.15800424</v>
      </c>
      <c r="BA26">
        <v>17.352586246000001</v>
      </c>
      <c r="BB26">
        <v>11.489326289999999</v>
      </c>
      <c r="BC26">
        <v>5.8632599560000003</v>
      </c>
      <c r="BD26">
        <v>0.208064583</v>
      </c>
      <c r="BE26">
        <v>0.116516167</v>
      </c>
      <c r="BF26">
        <v>0.116516167</v>
      </c>
      <c r="BG26">
        <v>0.37035495800000001</v>
      </c>
      <c r="BH26">
        <v>2.0806458E-2</v>
      </c>
      <c r="BI26">
        <v>99.999999994000007</v>
      </c>
      <c r="BJ26">
        <v>43.752596593</v>
      </c>
      <c r="BK26">
        <v>41.716867469999997</v>
      </c>
      <c r="BL26">
        <v>2.0357291229999999</v>
      </c>
      <c r="BM26">
        <v>26.661819690000002</v>
      </c>
      <c r="BN26">
        <v>15.17449107</v>
      </c>
      <c r="BO26">
        <v>11.48732862</v>
      </c>
      <c r="BP26">
        <v>18.368300787999999</v>
      </c>
      <c r="BQ26">
        <v>12.032613209999999</v>
      </c>
      <c r="BR26">
        <v>6.3356875779999999</v>
      </c>
      <c r="BS26">
        <v>11.191316990000001</v>
      </c>
      <c r="BT26">
        <v>11.191316990000001</v>
      </c>
      <c r="BU26">
        <v>2.5965933E-2</v>
      </c>
      <c r="BV26">
        <v>100.00000000200001</v>
      </c>
      <c r="BW26">
        <v>41.578148709000004</v>
      </c>
      <c r="BX26">
        <v>33.270106220000002</v>
      </c>
      <c r="BY26">
        <v>8.308042489</v>
      </c>
      <c r="BZ26">
        <v>19.537177542999999</v>
      </c>
      <c r="CA26">
        <v>11.15326252</v>
      </c>
      <c r="CB26">
        <v>8.3839150230000001</v>
      </c>
      <c r="CC26">
        <v>20.97875569</v>
      </c>
      <c r="CD26">
        <v>15.02276176</v>
      </c>
      <c r="CE26">
        <v>5.95599393</v>
      </c>
      <c r="CF26">
        <v>17.905918060000001</v>
      </c>
      <c r="CG26">
        <v>17.905918060000001</v>
      </c>
      <c r="CH26">
        <v>99.999999992000014</v>
      </c>
      <c r="CI26">
        <v>38.195418420000003</v>
      </c>
      <c r="CJ26">
        <v>38.195418420000003</v>
      </c>
      <c r="CK26">
        <v>25.0116877</v>
      </c>
      <c r="CL26">
        <v>25.0116877</v>
      </c>
      <c r="CM26">
        <v>25.245441792000001</v>
      </c>
      <c r="CN26">
        <v>19.26133707</v>
      </c>
      <c r="CO26">
        <v>5.9841047219999997</v>
      </c>
      <c r="CP26">
        <v>3.7400654510000004</v>
      </c>
      <c r="CQ26">
        <v>2.2440392710000001</v>
      </c>
      <c r="CR26">
        <v>1.4960261800000001</v>
      </c>
      <c r="CS26">
        <v>2.3375409070000002</v>
      </c>
      <c r="CT26">
        <v>1.309022908</v>
      </c>
      <c r="CU26">
        <v>1.309022908</v>
      </c>
      <c r="CV26">
        <v>4.1608228140000003</v>
      </c>
      <c r="CW26">
        <v>0</v>
      </c>
      <c r="CX26">
        <v>99.417637275000004</v>
      </c>
      <c r="CY26">
        <v>42.961730450999994</v>
      </c>
      <c r="CZ26">
        <v>40.823627289999997</v>
      </c>
      <c r="DA26">
        <v>2.1381031610000001</v>
      </c>
      <c r="DB26">
        <v>22.803660570000002</v>
      </c>
      <c r="DC26">
        <v>10.183028285999999</v>
      </c>
      <c r="DD26">
        <v>5.6738768720000001</v>
      </c>
      <c r="DE26">
        <v>4.5091514139999997</v>
      </c>
      <c r="DF26">
        <v>14.61730449</v>
      </c>
      <c r="DG26">
        <v>8.069883527</v>
      </c>
      <c r="DH26" t="s">
        <v>69</v>
      </c>
      <c r="DI26">
        <v>0.32445923500000001</v>
      </c>
      <c r="DJ26">
        <v>0.45757071599999999</v>
      </c>
      <c r="DK26">
        <v>0.45757071599999999</v>
      </c>
      <c r="DL26">
        <v>0</v>
      </c>
      <c r="DM26">
        <v>100</v>
      </c>
      <c r="DN26">
        <v>43.242994099999997</v>
      </c>
      <c r="DO26">
        <v>43.242994099999997</v>
      </c>
      <c r="DP26">
        <v>0</v>
      </c>
      <c r="DQ26">
        <v>22.391224189999999</v>
      </c>
      <c r="DR26">
        <v>22.391224189999999</v>
      </c>
      <c r="DS26">
        <v>10.564159291999999</v>
      </c>
      <c r="DT26">
        <v>5.8075221240000001</v>
      </c>
      <c r="DU26">
        <v>4.7566371680000001</v>
      </c>
      <c r="DV26">
        <v>16.12278761</v>
      </c>
      <c r="DW26">
        <v>7.6788348080000004</v>
      </c>
      <c r="DX26" t="s">
        <v>69</v>
      </c>
      <c r="DY26">
        <v>0</v>
      </c>
      <c r="DZ26">
        <v>99.999999993000003</v>
      </c>
      <c r="EA26">
        <v>42.016806719999998</v>
      </c>
      <c r="EB26">
        <v>42.016806719999998</v>
      </c>
      <c r="EC26">
        <v>13.025210084000001</v>
      </c>
      <c r="ED26">
        <v>7.5630252100000002</v>
      </c>
      <c r="EE26">
        <v>5.4621848740000001</v>
      </c>
      <c r="EF26">
        <v>25.210084030000001</v>
      </c>
      <c r="EG26">
        <v>25.210084030000001</v>
      </c>
      <c r="EH26">
        <v>18.067226890000001</v>
      </c>
      <c r="EI26">
        <v>1.680672269</v>
      </c>
      <c r="EJ26" t="s">
        <v>69</v>
      </c>
      <c r="EK26">
        <v>99.999999998999996</v>
      </c>
      <c r="EL26">
        <v>50.718390810000002</v>
      </c>
      <c r="EM26">
        <v>13.79310345</v>
      </c>
      <c r="EN26">
        <v>36.925287359999999</v>
      </c>
      <c r="EO26">
        <v>16.091954019999999</v>
      </c>
      <c r="EP26">
        <v>16.091954019999999</v>
      </c>
      <c r="EQ26">
        <v>10.05747126</v>
      </c>
      <c r="ER26">
        <v>7.3275862070000004</v>
      </c>
      <c r="ES26">
        <v>5.603448276</v>
      </c>
      <c r="ET26">
        <v>2.2988505749999999</v>
      </c>
      <c r="EU26">
        <v>2.2988505749999999</v>
      </c>
      <c r="EV26">
        <v>7.9022988510000003</v>
      </c>
      <c r="EW26">
        <v>7.9022988510000003</v>
      </c>
      <c r="EX26">
        <v>0</v>
      </c>
      <c r="EY26">
        <v>24031</v>
      </c>
      <c r="EZ26">
        <v>9322</v>
      </c>
      <c r="FA26">
        <v>611</v>
      </c>
      <c r="FB26">
        <v>128</v>
      </c>
      <c r="FC26">
        <v>4033</v>
      </c>
      <c r="FD26">
        <v>2433</v>
      </c>
      <c r="FE26">
        <v>3162</v>
      </c>
      <c r="FF26">
        <v>2761</v>
      </c>
      <c r="FG26">
        <v>1409</v>
      </c>
      <c r="FH26">
        <v>50</v>
      </c>
      <c r="FI26">
        <v>28</v>
      </c>
      <c r="FJ26">
        <v>89</v>
      </c>
      <c r="FK26">
        <v>5</v>
      </c>
      <c r="FL26">
        <v>19256</v>
      </c>
      <c r="FM26">
        <v>8033</v>
      </c>
      <c r="FN26">
        <v>392</v>
      </c>
      <c r="FO26">
        <v>2922</v>
      </c>
      <c r="FP26">
        <v>2212</v>
      </c>
      <c r="FQ26">
        <v>2317</v>
      </c>
      <c r="FR26">
        <v>1220</v>
      </c>
      <c r="FS26">
        <v>2155</v>
      </c>
      <c r="FT26">
        <v>5</v>
      </c>
      <c r="FU26">
        <v>2636</v>
      </c>
      <c r="FV26">
        <v>877</v>
      </c>
      <c r="FW26">
        <v>219</v>
      </c>
      <c r="FX26" t="s">
        <v>69</v>
      </c>
      <c r="FY26">
        <v>294</v>
      </c>
      <c r="FZ26">
        <v>221</v>
      </c>
      <c r="GA26">
        <v>396</v>
      </c>
      <c r="GB26">
        <v>157</v>
      </c>
      <c r="GC26">
        <v>472</v>
      </c>
      <c r="GD26">
        <v>2139</v>
      </c>
      <c r="GE26">
        <v>817</v>
      </c>
      <c r="GF26">
        <v>535</v>
      </c>
      <c r="GG26">
        <v>412</v>
      </c>
      <c r="GH26">
        <v>128</v>
      </c>
      <c r="GI26">
        <v>48</v>
      </c>
      <c r="GJ26">
        <v>32</v>
      </c>
      <c r="GK26">
        <v>50</v>
      </c>
      <c r="GL26">
        <v>28</v>
      </c>
      <c r="GM26">
        <v>89</v>
      </c>
      <c r="GN26">
        <v>0</v>
      </c>
      <c r="GO26">
        <v>12020</v>
      </c>
      <c r="GP26">
        <v>4907</v>
      </c>
      <c r="GQ26">
        <v>257</v>
      </c>
      <c r="GR26">
        <v>2741</v>
      </c>
      <c r="GS26">
        <v>682</v>
      </c>
      <c r="GT26">
        <v>542</v>
      </c>
      <c r="GU26">
        <v>1757</v>
      </c>
      <c r="GV26">
        <v>970</v>
      </c>
      <c r="GW26">
        <v>833</v>
      </c>
      <c r="GX26">
        <v>86</v>
      </c>
      <c r="GY26">
        <v>51</v>
      </c>
      <c r="GZ26" t="s">
        <v>69</v>
      </c>
      <c r="HA26">
        <v>39</v>
      </c>
      <c r="HB26">
        <v>55</v>
      </c>
      <c r="HC26">
        <v>0</v>
      </c>
      <c r="HD26">
        <v>10848</v>
      </c>
      <c r="HE26">
        <v>4691</v>
      </c>
      <c r="HF26">
        <v>0</v>
      </c>
      <c r="HG26">
        <v>2429</v>
      </c>
      <c r="HH26">
        <v>630</v>
      </c>
      <c r="HI26">
        <v>516</v>
      </c>
      <c r="HJ26">
        <v>1749</v>
      </c>
      <c r="HK26">
        <v>833</v>
      </c>
      <c r="HL26" t="s">
        <v>69</v>
      </c>
      <c r="HM26">
        <v>0</v>
      </c>
      <c r="HN26">
        <v>476</v>
      </c>
      <c r="HO26">
        <v>200</v>
      </c>
      <c r="HP26">
        <v>36</v>
      </c>
      <c r="HQ26">
        <v>26</v>
      </c>
      <c r="HR26">
        <v>120</v>
      </c>
      <c r="HS26">
        <v>86</v>
      </c>
      <c r="HT26">
        <v>8</v>
      </c>
      <c r="HU26" t="s">
        <v>69</v>
      </c>
      <c r="HV26">
        <v>696</v>
      </c>
      <c r="HW26">
        <v>96</v>
      </c>
      <c r="HX26">
        <v>257</v>
      </c>
      <c r="HY26">
        <v>112</v>
      </c>
      <c r="HZ26">
        <v>70</v>
      </c>
      <c r="IA26">
        <v>51</v>
      </c>
      <c r="IB26">
        <v>39</v>
      </c>
      <c r="IC26">
        <v>16</v>
      </c>
      <c r="ID26">
        <v>55</v>
      </c>
      <c r="IE26">
        <v>0</v>
      </c>
      <c r="IG26">
        <v>50.238112999999998</v>
      </c>
    </row>
    <row r="27" spans="1:241" x14ac:dyDescent="0.25">
      <c r="A27" t="s">
        <v>54</v>
      </c>
      <c r="B27">
        <v>14.384548860000001</v>
      </c>
      <c r="C27">
        <v>18.76621505</v>
      </c>
      <c r="D27">
        <v>24.963966559999999</v>
      </c>
      <c r="E27">
        <v>26.981839149999999</v>
      </c>
      <c r="F27">
        <v>8.0714903430000007</v>
      </c>
      <c r="G27">
        <v>5.0158547130000004</v>
      </c>
      <c r="H27">
        <v>0.115307005</v>
      </c>
      <c r="I27">
        <v>1.5566445659999999</v>
      </c>
      <c r="J27">
        <v>2.8826751000000001E-2</v>
      </c>
      <c r="K27">
        <v>0.115307005</v>
      </c>
      <c r="L27">
        <v>54</v>
      </c>
      <c r="M27">
        <v>3469</v>
      </c>
      <c r="N27">
        <v>499</v>
      </c>
      <c r="O27">
        <v>651</v>
      </c>
      <c r="P27">
        <v>866</v>
      </c>
      <c r="Q27">
        <v>936</v>
      </c>
      <c r="R27">
        <v>280</v>
      </c>
      <c r="S27">
        <v>174</v>
      </c>
      <c r="T27">
        <v>4</v>
      </c>
      <c r="U27">
        <v>54</v>
      </c>
      <c r="V27">
        <v>1</v>
      </c>
      <c r="W27">
        <v>4</v>
      </c>
      <c r="X27">
        <v>1542</v>
      </c>
      <c r="Y27">
        <v>399</v>
      </c>
      <c r="Z27">
        <v>458</v>
      </c>
      <c r="AA27">
        <v>328</v>
      </c>
      <c r="AB27">
        <v>188</v>
      </c>
      <c r="AC27">
        <v>80</v>
      </c>
      <c r="AD27">
        <v>31</v>
      </c>
      <c r="AE27">
        <v>0</v>
      </c>
      <c r="AF27">
        <v>54</v>
      </c>
      <c r="AG27">
        <v>4</v>
      </c>
      <c r="AH27">
        <v>1927</v>
      </c>
      <c r="AI27">
        <v>748</v>
      </c>
      <c r="AJ27">
        <v>538</v>
      </c>
      <c r="AK27">
        <v>249</v>
      </c>
      <c r="AL27">
        <v>193</v>
      </c>
      <c r="AM27">
        <v>94</v>
      </c>
      <c r="AN27">
        <v>100</v>
      </c>
      <c r="AO27">
        <v>4</v>
      </c>
      <c r="AP27">
        <v>1</v>
      </c>
      <c r="AQ27">
        <v>0</v>
      </c>
      <c r="AR27">
        <v>39.662120276000003</v>
      </c>
      <c r="AS27">
        <v>36.663050220000002</v>
      </c>
      <c r="AT27">
        <v>2.5379727220000001</v>
      </c>
      <c r="AU27">
        <v>0.46109733400000003</v>
      </c>
      <c r="AV27">
        <v>29.26611904</v>
      </c>
      <c r="AW27">
        <v>17.335709860000001</v>
      </c>
      <c r="AX27">
        <v>11.93040918</v>
      </c>
      <c r="AY27">
        <v>11.988530689999999</v>
      </c>
      <c r="AZ27">
        <v>11.988530689999999</v>
      </c>
      <c r="BA27">
        <v>18.463267205999998</v>
      </c>
      <c r="BB27">
        <v>10.570365779999999</v>
      </c>
      <c r="BC27">
        <v>7.8929014259999999</v>
      </c>
      <c r="BD27">
        <v>0.18211407299999999</v>
      </c>
      <c r="BE27">
        <v>0.100743955</v>
      </c>
      <c r="BF27">
        <v>0.100743955</v>
      </c>
      <c r="BG27">
        <v>0.32160570399999999</v>
      </c>
      <c r="BH27">
        <v>1.549907E-2</v>
      </c>
      <c r="BI27">
        <v>99.999999997999993</v>
      </c>
      <c r="BJ27">
        <v>40.041948705999999</v>
      </c>
      <c r="BK27">
        <v>38.254361709999998</v>
      </c>
      <c r="BL27">
        <v>1.7875869959999999</v>
      </c>
      <c r="BM27">
        <v>29.56430546</v>
      </c>
      <c r="BN27">
        <v>16.159786440000001</v>
      </c>
      <c r="BO27">
        <v>13.40451902</v>
      </c>
      <c r="BP27">
        <v>19.458480317000003</v>
      </c>
      <c r="BQ27">
        <v>10.830393750000001</v>
      </c>
      <c r="BR27">
        <v>8.6280865670000004</v>
      </c>
      <c r="BS27">
        <v>10.91619792</v>
      </c>
      <c r="BT27">
        <v>10.91619792</v>
      </c>
      <c r="BU27">
        <v>1.9067595E-2</v>
      </c>
      <c r="BV27">
        <v>99.999999989999992</v>
      </c>
      <c r="BW27">
        <v>45.836200959999999</v>
      </c>
      <c r="BX27">
        <v>36.200963520000002</v>
      </c>
      <c r="BY27">
        <v>9.6352374399999992</v>
      </c>
      <c r="BZ27">
        <v>23.090158289999998</v>
      </c>
      <c r="CA27">
        <v>13.90227116</v>
      </c>
      <c r="CB27">
        <v>9.18788713</v>
      </c>
      <c r="CC27">
        <v>19.752236750000002</v>
      </c>
      <c r="CD27">
        <v>13.282863040000001</v>
      </c>
      <c r="CE27">
        <v>6.4693737100000002</v>
      </c>
      <c r="CF27">
        <v>11.32140399</v>
      </c>
      <c r="CG27">
        <v>11.32140399</v>
      </c>
      <c r="CH27">
        <v>99.999999998000007</v>
      </c>
      <c r="CI27">
        <v>35.34303534</v>
      </c>
      <c r="CJ27">
        <v>35.34303534</v>
      </c>
      <c r="CK27">
        <v>24.688149689999999</v>
      </c>
      <c r="CL27">
        <v>24.688149689999999</v>
      </c>
      <c r="CM27">
        <v>26.195426195</v>
      </c>
      <c r="CN27">
        <v>20.01039501</v>
      </c>
      <c r="CO27">
        <v>6.1850311849999997</v>
      </c>
      <c r="CP27">
        <v>5.665280665</v>
      </c>
      <c r="CQ27">
        <v>3.6382536380000001</v>
      </c>
      <c r="CR27">
        <v>2.0270270269999999</v>
      </c>
      <c r="CS27">
        <v>2.4428274430000001</v>
      </c>
      <c r="CT27">
        <v>1.3513513509999999</v>
      </c>
      <c r="CU27">
        <v>1.3513513509999999</v>
      </c>
      <c r="CV27">
        <v>4.3139293140000001</v>
      </c>
      <c r="CW27">
        <v>0</v>
      </c>
      <c r="CX27">
        <v>99.400381578000008</v>
      </c>
      <c r="CY27">
        <v>41.191968746999997</v>
      </c>
      <c r="CZ27">
        <v>39.020623239999999</v>
      </c>
      <c r="DA27">
        <v>2.1713455069999998</v>
      </c>
      <c r="DB27">
        <v>27.137276279999998</v>
      </c>
      <c r="DC27">
        <v>13.173435087</v>
      </c>
      <c r="DD27">
        <v>6.6684836919999997</v>
      </c>
      <c r="DE27">
        <v>6.504951395</v>
      </c>
      <c r="DF27">
        <v>8.7126374129999995</v>
      </c>
      <c r="DG27">
        <v>8.3764876899999994</v>
      </c>
      <c r="DH27" t="s">
        <v>69</v>
      </c>
      <c r="DI27">
        <v>0.33614972300000001</v>
      </c>
      <c r="DJ27">
        <v>0.47242663800000001</v>
      </c>
      <c r="DK27">
        <v>0.47242663800000001</v>
      </c>
      <c r="DL27">
        <v>0</v>
      </c>
      <c r="DM27">
        <v>100.000000001</v>
      </c>
      <c r="DN27">
        <v>43.976356799999998</v>
      </c>
      <c r="DO27">
        <v>43.976356799999998</v>
      </c>
      <c r="DP27">
        <v>0</v>
      </c>
      <c r="DQ27">
        <v>22.428801719999999</v>
      </c>
      <c r="DR27">
        <v>22.428801719999999</v>
      </c>
      <c r="DS27">
        <v>14.755507792</v>
      </c>
      <c r="DT27">
        <v>7.3293927999999999</v>
      </c>
      <c r="DU27">
        <v>7.4261149919999996</v>
      </c>
      <c r="DV27">
        <v>10.29554003</v>
      </c>
      <c r="DW27">
        <v>8.5437936590000003</v>
      </c>
      <c r="DX27" t="s">
        <v>69</v>
      </c>
      <c r="DY27">
        <v>0</v>
      </c>
      <c r="DZ27">
        <v>100.000000007</v>
      </c>
      <c r="EA27">
        <v>74.30754537</v>
      </c>
      <c r="EB27">
        <v>74.30754537</v>
      </c>
      <c r="EC27">
        <v>7.2588347659999997</v>
      </c>
      <c r="ED27">
        <v>4.871060172</v>
      </c>
      <c r="EE27">
        <v>2.3877745940000001</v>
      </c>
      <c r="EF27">
        <v>10.792741169999999</v>
      </c>
      <c r="EG27">
        <v>10.792741169999999</v>
      </c>
      <c r="EH27">
        <v>7.5453677170000004</v>
      </c>
      <c r="EI27">
        <v>9.5510983999999993E-2</v>
      </c>
      <c r="EJ27" t="s">
        <v>69</v>
      </c>
      <c r="EK27">
        <v>100.00000001100001</v>
      </c>
      <c r="EL27">
        <v>50.229007639999999</v>
      </c>
      <c r="EM27">
        <v>13.74045802</v>
      </c>
      <c r="EN27">
        <v>36.488549620000001</v>
      </c>
      <c r="EO27">
        <v>18.625954199999999</v>
      </c>
      <c r="EP27">
        <v>18.625954199999999</v>
      </c>
      <c r="EQ27">
        <v>10.07633588</v>
      </c>
      <c r="ER27">
        <v>7.3282442750000003</v>
      </c>
      <c r="ES27">
        <v>5.6488549619999997</v>
      </c>
      <c r="ET27">
        <v>0.15267175599999999</v>
      </c>
      <c r="EU27">
        <v>0.15267175599999999</v>
      </c>
      <c r="EV27">
        <v>7.938931298</v>
      </c>
      <c r="EW27">
        <v>7.938931298</v>
      </c>
      <c r="EX27">
        <v>0</v>
      </c>
      <c r="EY27">
        <v>25808</v>
      </c>
      <c r="EZ27">
        <v>9462</v>
      </c>
      <c r="FA27">
        <v>655</v>
      </c>
      <c r="FB27">
        <v>119</v>
      </c>
      <c r="FC27">
        <v>4474</v>
      </c>
      <c r="FD27">
        <v>3079</v>
      </c>
      <c r="FE27">
        <v>3094</v>
      </c>
      <c r="FF27">
        <v>2728</v>
      </c>
      <c r="FG27">
        <v>2037</v>
      </c>
      <c r="FH27">
        <v>47</v>
      </c>
      <c r="FI27">
        <v>26</v>
      </c>
      <c r="FJ27">
        <v>83</v>
      </c>
      <c r="FK27">
        <v>4</v>
      </c>
      <c r="FL27">
        <v>20978</v>
      </c>
      <c r="FM27">
        <v>8025</v>
      </c>
      <c r="FN27">
        <v>375</v>
      </c>
      <c r="FO27">
        <v>3390</v>
      </c>
      <c r="FP27">
        <v>2812</v>
      </c>
      <c r="FQ27">
        <v>2272</v>
      </c>
      <c r="FR27">
        <v>1810</v>
      </c>
      <c r="FS27">
        <v>2290</v>
      </c>
      <c r="FT27">
        <v>4</v>
      </c>
      <c r="FU27">
        <v>2906</v>
      </c>
      <c r="FV27">
        <v>1052</v>
      </c>
      <c r="FW27">
        <v>280</v>
      </c>
      <c r="FX27" t="s">
        <v>69</v>
      </c>
      <c r="FY27">
        <v>404</v>
      </c>
      <c r="FZ27">
        <v>267</v>
      </c>
      <c r="GA27">
        <v>386</v>
      </c>
      <c r="GB27">
        <v>188</v>
      </c>
      <c r="GC27">
        <v>329</v>
      </c>
      <c r="GD27">
        <v>1924</v>
      </c>
      <c r="GE27">
        <v>680</v>
      </c>
      <c r="GF27">
        <v>475</v>
      </c>
      <c r="GG27">
        <v>385</v>
      </c>
      <c r="GH27">
        <v>119</v>
      </c>
      <c r="GI27">
        <v>70</v>
      </c>
      <c r="GJ27">
        <v>39</v>
      </c>
      <c r="GK27">
        <v>47</v>
      </c>
      <c r="GL27">
        <v>26</v>
      </c>
      <c r="GM27">
        <v>83</v>
      </c>
      <c r="GN27">
        <v>0</v>
      </c>
      <c r="GO27">
        <v>11007</v>
      </c>
      <c r="GP27">
        <v>4295</v>
      </c>
      <c r="GQ27">
        <v>239</v>
      </c>
      <c r="GR27">
        <v>2987</v>
      </c>
      <c r="GS27">
        <v>734</v>
      </c>
      <c r="GT27">
        <v>716</v>
      </c>
      <c r="GU27">
        <v>959</v>
      </c>
      <c r="GV27">
        <v>922</v>
      </c>
      <c r="GW27">
        <v>795</v>
      </c>
      <c r="GX27">
        <v>79</v>
      </c>
      <c r="GY27">
        <v>48</v>
      </c>
      <c r="GZ27" t="s">
        <v>69</v>
      </c>
      <c r="HA27">
        <v>37</v>
      </c>
      <c r="HB27">
        <v>52</v>
      </c>
      <c r="HC27">
        <v>0</v>
      </c>
      <c r="HD27">
        <v>9305</v>
      </c>
      <c r="HE27">
        <v>4092</v>
      </c>
      <c r="HF27">
        <v>0</v>
      </c>
      <c r="HG27">
        <v>2087</v>
      </c>
      <c r="HH27">
        <v>682</v>
      </c>
      <c r="HI27">
        <v>691</v>
      </c>
      <c r="HJ27">
        <v>958</v>
      </c>
      <c r="HK27">
        <v>795</v>
      </c>
      <c r="HL27" t="s">
        <v>69</v>
      </c>
      <c r="HM27">
        <v>0</v>
      </c>
      <c r="HN27">
        <v>1047</v>
      </c>
      <c r="HO27">
        <v>778</v>
      </c>
      <c r="HP27">
        <v>51</v>
      </c>
      <c r="HQ27">
        <v>25</v>
      </c>
      <c r="HR27">
        <v>113</v>
      </c>
      <c r="HS27">
        <v>79</v>
      </c>
      <c r="HT27">
        <v>1</v>
      </c>
      <c r="HU27" t="s">
        <v>69</v>
      </c>
      <c r="HV27">
        <v>655</v>
      </c>
      <c r="HW27">
        <v>90</v>
      </c>
      <c r="HX27">
        <v>239</v>
      </c>
      <c r="HY27">
        <v>122</v>
      </c>
      <c r="HZ27">
        <v>66</v>
      </c>
      <c r="IA27">
        <v>48</v>
      </c>
      <c r="IB27">
        <v>37</v>
      </c>
      <c r="IC27">
        <v>1</v>
      </c>
      <c r="ID27">
        <v>52</v>
      </c>
      <c r="IE27">
        <v>0</v>
      </c>
      <c r="IG27">
        <v>57.114742</v>
      </c>
    </row>
    <row r="28" spans="1:241" x14ac:dyDescent="0.25">
      <c r="A28" t="s">
        <v>55</v>
      </c>
      <c r="B28">
        <v>12.685887709999999</v>
      </c>
      <c r="C28">
        <v>20.606980270000001</v>
      </c>
      <c r="D28">
        <v>29.377845220000001</v>
      </c>
      <c r="E28">
        <v>20.667678299999999</v>
      </c>
      <c r="F28">
        <v>9.2261001520000008</v>
      </c>
      <c r="G28">
        <v>5.4324734450000003</v>
      </c>
      <c r="H28">
        <v>9.1047040999999995E-2</v>
      </c>
      <c r="I28">
        <v>1.24430956</v>
      </c>
      <c r="J28">
        <v>9.1047040999999995E-2</v>
      </c>
      <c r="K28">
        <v>0.57663125999999998</v>
      </c>
      <c r="L28">
        <v>41</v>
      </c>
      <c r="M28">
        <v>3295</v>
      </c>
      <c r="N28">
        <v>418</v>
      </c>
      <c r="O28">
        <v>679</v>
      </c>
      <c r="P28">
        <v>968</v>
      </c>
      <c r="Q28">
        <v>681</v>
      </c>
      <c r="R28">
        <v>304</v>
      </c>
      <c r="S28">
        <v>179</v>
      </c>
      <c r="T28">
        <v>3</v>
      </c>
      <c r="U28">
        <v>41</v>
      </c>
      <c r="V28">
        <v>3</v>
      </c>
      <c r="W28">
        <v>19</v>
      </c>
      <c r="X28">
        <v>1530</v>
      </c>
      <c r="Y28">
        <v>332</v>
      </c>
      <c r="Z28">
        <v>430</v>
      </c>
      <c r="AA28">
        <v>458</v>
      </c>
      <c r="AB28">
        <v>128</v>
      </c>
      <c r="AC28">
        <v>89</v>
      </c>
      <c r="AD28">
        <v>33</v>
      </c>
      <c r="AE28">
        <v>1</v>
      </c>
      <c r="AF28">
        <v>41</v>
      </c>
      <c r="AG28">
        <v>18</v>
      </c>
      <c r="AH28">
        <v>1765</v>
      </c>
      <c r="AI28">
        <v>553</v>
      </c>
      <c r="AJ28">
        <v>510</v>
      </c>
      <c r="AK28">
        <v>271</v>
      </c>
      <c r="AL28">
        <v>249</v>
      </c>
      <c r="AM28">
        <v>90</v>
      </c>
      <c r="AN28">
        <v>86</v>
      </c>
      <c r="AO28">
        <v>2</v>
      </c>
      <c r="AP28">
        <v>3</v>
      </c>
      <c r="AQ28">
        <v>1</v>
      </c>
      <c r="AR28">
        <v>37.500474404999999</v>
      </c>
      <c r="AS28">
        <v>34.98045467</v>
      </c>
      <c r="AT28">
        <v>2.0683896919999998</v>
      </c>
      <c r="AU28">
        <v>0.45163004299999998</v>
      </c>
      <c r="AV28">
        <v>31.056207059999998</v>
      </c>
      <c r="AW28">
        <v>18.47508444</v>
      </c>
      <c r="AX28">
        <v>12.58112262</v>
      </c>
      <c r="AY28">
        <v>12.36100042</v>
      </c>
      <c r="AZ28">
        <v>12.36100042</v>
      </c>
      <c r="BA28">
        <v>18.433337133999999</v>
      </c>
      <c r="BB28">
        <v>10.88845877</v>
      </c>
      <c r="BC28">
        <v>7.5448783639999997</v>
      </c>
      <c r="BD28">
        <v>0.17837489100000001</v>
      </c>
      <c r="BE28">
        <v>9.8675472E-2</v>
      </c>
      <c r="BF28">
        <v>9.8675472E-2</v>
      </c>
      <c r="BG28">
        <v>0.31500246700000001</v>
      </c>
      <c r="BH28">
        <v>5.6928157E-2</v>
      </c>
      <c r="BI28">
        <v>100.000000009</v>
      </c>
      <c r="BJ28">
        <v>39.447247603999998</v>
      </c>
      <c r="BK28">
        <v>37.601709169999999</v>
      </c>
      <c r="BL28">
        <v>1.8455384340000001</v>
      </c>
      <c r="BM28">
        <v>30.155916179999998</v>
      </c>
      <c r="BN28">
        <v>16.35528888</v>
      </c>
      <c r="BO28">
        <v>13.8006273</v>
      </c>
      <c r="BP28">
        <v>19.382699217999999</v>
      </c>
      <c r="BQ28">
        <v>11.36415292</v>
      </c>
      <c r="BR28">
        <v>8.0185462980000004</v>
      </c>
      <c r="BS28">
        <v>10.94595209</v>
      </c>
      <c r="BT28">
        <v>10.94595209</v>
      </c>
      <c r="BU28">
        <v>6.8184916999999998E-2</v>
      </c>
      <c r="BV28">
        <v>100.00000000400001</v>
      </c>
      <c r="BW28">
        <v>33.065279097000001</v>
      </c>
      <c r="BX28">
        <v>26.49006623</v>
      </c>
      <c r="BY28">
        <v>6.5752128670000003</v>
      </c>
      <c r="BZ28">
        <v>28.240302740000001</v>
      </c>
      <c r="CA28">
        <v>15.042573320000001</v>
      </c>
      <c r="CB28">
        <v>13.19772942</v>
      </c>
      <c r="CC28">
        <v>20.245979187</v>
      </c>
      <c r="CD28">
        <v>13.7653737</v>
      </c>
      <c r="CE28">
        <v>6.4806054870000001</v>
      </c>
      <c r="CF28">
        <v>18.448438979999999</v>
      </c>
      <c r="CG28">
        <v>18.448438979999999</v>
      </c>
      <c r="CH28">
        <v>100.00000000299998</v>
      </c>
      <c r="CI28">
        <v>42.576028620000002</v>
      </c>
      <c r="CJ28">
        <v>42.576028620000002</v>
      </c>
      <c r="CK28">
        <v>20.52772809</v>
      </c>
      <c r="CL28">
        <v>20.52772809</v>
      </c>
      <c r="CM28">
        <v>22.540250448000002</v>
      </c>
      <c r="CN28">
        <v>17.218246870000002</v>
      </c>
      <c r="CO28">
        <v>5.3220035780000003</v>
      </c>
      <c r="CP28">
        <v>7.3792486579999998</v>
      </c>
      <c r="CQ28">
        <v>3.4883720930000002</v>
      </c>
      <c r="CR28">
        <v>3.8908765650000001</v>
      </c>
      <c r="CS28">
        <v>2.1019678000000002</v>
      </c>
      <c r="CT28">
        <v>1.162790698</v>
      </c>
      <c r="CU28">
        <v>1.162790698</v>
      </c>
      <c r="CV28">
        <v>3.711985689</v>
      </c>
      <c r="CW28">
        <v>0</v>
      </c>
      <c r="CX28">
        <v>99.409871252000016</v>
      </c>
      <c r="CY28">
        <v>39.028969962000005</v>
      </c>
      <c r="CZ28">
        <v>36.891988560000001</v>
      </c>
      <c r="DA28">
        <v>2.136981402</v>
      </c>
      <c r="DB28">
        <v>29.506437770000002</v>
      </c>
      <c r="DC28">
        <v>13.233190272000002</v>
      </c>
      <c r="DD28">
        <v>7.8683834050000003</v>
      </c>
      <c r="DE28">
        <v>5.3648068670000004</v>
      </c>
      <c r="DF28">
        <v>8.6999284689999996</v>
      </c>
      <c r="DG28">
        <v>8.1455650930000001</v>
      </c>
      <c r="DH28" t="s">
        <v>69</v>
      </c>
      <c r="DI28">
        <v>0.330829757</v>
      </c>
      <c r="DJ28">
        <v>0.46494992899999998</v>
      </c>
      <c r="DK28">
        <v>0.46494992899999998</v>
      </c>
      <c r="DL28">
        <v>0</v>
      </c>
      <c r="DM28">
        <v>100.00000000200001</v>
      </c>
      <c r="DN28">
        <v>39.044139430000001</v>
      </c>
      <c r="DO28">
        <v>39.044139430000001</v>
      </c>
      <c r="DP28">
        <v>0</v>
      </c>
      <c r="DQ28">
        <v>30.21625358</v>
      </c>
      <c r="DR28">
        <v>30.21625358</v>
      </c>
      <c r="DS28">
        <v>13.459069813999999</v>
      </c>
      <c r="DT28">
        <v>8.0181692509999998</v>
      </c>
      <c r="DU28">
        <v>5.4409005629999996</v>
      </c>
      <c r="DV28">
        <v>9.5882294859999995</v>
      </c>
      <c r="DW28">
        <v>7.692307692</v>
      </c>
      <c r="DX28" t="s">
        <v>69</v>
      </c>
      <c r="DY28">
        <v>0</v>
      </c>
      <c r="DZ28">
        <v>99.999999992999989</v>
      </c>
      <c r="EA28">
        <v>36.407766989999999</v>
      </c>
      <c r="EB28">
        <v>36.407766989999999</v>
      </c>
      <c r="EC28">
        <v>22.815533979999998</v>
      </c>
      <c r="ED28">
        <v>10.9223301</v>
      </c>
      <c r="EE28">
        <v>11.89320388</v>
      </c>
      <c r="EF28">
        <v>19.902912619999999</v>
      </c>
      <c r="EG28">
        <v>19.902912619999999</v>
      </c>
      <c r="EH28">
        <v>20.388349510000001</v>
      </c>
      <c r="EI28">
        <v>0.48543689299999998</v>
      </c>
      <c r="EJ28" t="s">
        <v>69</v>
      </c>
      <c r="EK28">
        <v>100.000000001</v>
      </c>
      <c r="EL28">
        <v>51.007751940000006</v>
      </c>
      <c r="EM28">
        <v>13.953488370000001</v>
      </c>
      <c r="EN28">
        <v>37.054263570000003</v>
      </c>
      <c r="EO28">
        <v>13.953488370000001</v>
      </c>
      <c r="EP28">
        <v>13.953488370000001</v>
      </c>
      <c r="EQ28">
        <v>10.23255814</v>
      </c>
      <c r="ER28">
        <v>7.4418604650000004</v>
      </c>
      <c r="ES28">
        <v>5.7364341090000002</v>
      </c>
      <c r="ET28">
        <v>3.5658914730000002</v>
      </c>
      <c r="EU28">
        <v>3.5658914730000002</v>
      </c>
      <c r="EV28">
        <v>8.0620155039999997</v>
      </c>
      <c r="EW28">
        <v>8.0620155039999997</v>
      </c>
      <c r="EX28">
        <v>0</v>
      </c>
      <c r="EY28">
        <v>26349</v>
      </c>
      <c r="EZ28">
        <v>9217</v>
      </c>
      <c r="FA28">
        <v>545</v>
      </c>
      <c r="FB28">
        <v>119</v>
      </c>
      <c r="FC28">
        <v>4868</v>
      </c>
      <c r="FD28">
        <v>3315</v>
      </c>
      <c r="FE28">
        <v>3257</v>
      </c>
      <c r="FF28">
        <v>2869</v>
      </c>
      <c r="FG28">
        <v>1988</v>
      </c>
      <c r="FH28">
        <v>47</v>
      </c>
      <c r="FI28">
        <v>26</v>
      </c>
      <c r="FJ28">
        <v>83</v>
      </c>
      <c r="FK28">
        <v>15</v>
      </c>
      <c r="FL28">
        <v>21999</v>
      </c>
      <c r="FM28">
        <v>8272</v>
      </c>
      <c r="FN28">
        <v>406</v>
      </c>
      <c r="FO28">
        <v>3598</v>
      </c>
      <c r="FP28">
        <v>3036</v>
      </c>
      <c r="FQ28">
        <v>2500</v>
      </c>
      <c r="FR28">
        <v>1764</v>
      </c>
      <c r="FS28">
        <v>2408</v>
      </c>
      <c r="FT28">
        <v>15</v>
      </c>
      <c r="FU28">
        <v>2114</v>
      </c>
      <c r="FV28">
        <v>560</v>
      </c>
      <c r="FW28">
        <v>139</v>
      </c>
      <c r="FX28" t="s">
        <v>69</v>
      </c>
      <c r="FY28">
        <v>318</v>
      </c>
      <c r="FZ28">
        <v>279</v>
      </c>
      <c r="GA28">
        <v>291</v>
      </c>
      <c r="GB28">
        <v>137</v>
      </c>
      <c r="GC28">
        <v>390</v>
      </c>
      <c r="GD28">
        <v>2236</v>
      </c>
      <c r="GE28">
        <v>952</v>
      </c>
      <c r="GF28">
        <v>459</v>
      </c>
      <c r="GG28">
        <v>385</v>
      </c>
      <c r="GH28">
        <v>119</v>
      </c>
      <c r="GI28">
        <v>78</v>
      </c>
      <c r="GJ28">
        <v>87</v>
      </c>
      <c r="GK28">
        <v>47</v>
      </c>
      <c r="GL28">
        <v>26</v>
      </c>
      <c r="GM28">
        <v>83</v>
      </c>
      <c r="GN28">
        <v>0</v>
      </c>
      <c r="GO28">
        <v>11184</v>
      </c>
      <c r="GP28">
        <v>4126</v>
      </c>
      <c r="GQ28">
        <v>239</v>
      </c>
      <c r="GR28">
        <v>3300</v>
      </c>
      <c r="GS28">
        <v>880</v>
      </c>
      <c r="GT28">
        <v>600</v>
      </c>
      <c r="GU28">
        <v>973</v>
      </c>
      <c r="GV28">
        <v>911</v>
      </c>
      <c r="GW28">
        <v>779</v>
      </c>
      <c r="GX28">
        <v>84</v>
      </c>
      <c r="GY28">
        <v>48</v>
      </c>
      <c r="GZ28" t="s">
        <v>69</v>
      </c>
      <c r="HA28">
        <v>37</v>
      </c>
      <c r="HB28">
        <v>52</v>
      </c>
      <c r="HC28">
        <v>0</v>
      </c>
      <c r="HD28">
        <v>10127</v>
      </c>
      <c r="HE28">
        <v>3954</v>
      </c>
      <c r="HF28">
        <v>0</v>
      </c>
      <c r="HG28">
        <v>3060</v>
      </c>
      <c r="HH28">
        <v>812</v>
      </c>
      <c r="HI28">
        <v>551</v>
      </c>
      <c r="HJ28">
        <v>971</v>
      </c>
      <c r="HK28">
        <v>779</v>
      </c>
      <c r="HL28" t="s">
        <v>69</v>
      </c>
      <c r="HM28">
        <v>0</v>
      </c>
      <c r="HN28">
        <v>412</v>
      </c>
      <c r="HO28">
        <v>150</v>
      </c>
      <c r="HP28">
        <v>45</v>
      </c>
      <c r="HQ28">
        <v>49</v>
      </c>
      <c r="HR28">
        <v>82</v>
      </c>
      <c r="HS28">
        <v>84</v>
      </c>
      <c r="HT28">
        <v>2</v>
      </c>
      <c r="HU28" t="s">
        <v>69</v>
      </c>
      <c r="HV28">
        <v>645</v>
      </c>
      <c r="HW28">
        <v>90</v>
      </c>
      <c r="HX28">
        <v>239</v>
      </c>
      <c r="HY28">
        <v>90</v>
      </c>
      <c r="HZ28">
        <v>66</v>
      </c>
      <c r="IA28">
        <v>48</v>
      </c>
      <c r="IB28">
        <v>37</v>
      </c>
      <c r="IC28">
        <v>23</v>
      </c>
      <c r="ID28">
        <v>52</v>
      </c>
      <c r="IE28">
        <v>0</v>
      </c>
      <c r="IG28">
        <v>57.957371000000002</v>
      </c>
    </row>
    <row r="29" spans="1:241" x14ac:dyDescent="0.25">
      <c r="A29" t="s">
        <v>56</v>
      </c>
      <c r="B29">
        <v>11.444356750000001</v>
      </c>
      <c r="C29">
        <v>20.02104709</v>
      </c>
      <c r="D29">
        <v>30.518284659999999</v>
      </c>
      <c r="E29">
        <v>20.731386480000001</v>
      </c>
      <c r="F29">
        <v>9.1028676659999999</v>
      </c>
      <c r="G29">
        <v>6.419363325</v>
      </c>
      <c r="H29">
        <v>7.8926598000000001E-2</v>
      </c>
      <c r="I29">
        <v>1.1049723760000001</v>
      </c>
      <c r="J29">
        <v>0</v>
      </c>
      <c r="K29">
        <v>0.57879505399999998</v>
      </c>
      <c r="L29">
        <v>42</v>
      </c>
      <c r="M29">
        <v>3801</v>
      </c>
      <c r="N29">
        <v>435</v>
      </c>
      <c r="O29">
        <v>761</v>
      </c>
      <c r="P29">
        <v>1160</v>
      </c>
      <c r="Q29">
        <v>788</v>
      </c>
      <c r="R29">
        <v>346</v>
      </c>
      <c r="S29">
        <v>244</v>
      </c>
      <c r="T29">
        <v>3</v>
      </c>
      <c r="U29">
        <v>42</v>
      </c>
      <c r="V29">
        <v>0</v>
      </c>
      <c r="W29">
        <v>22</v>
      </c>
      <c r="X29">
        <v>1669</v>
      </c>
      <c r="Y29">
        <v>321</v>
      </c>
      <c r="Z29">
        <v>493</v>
      </c>
      <c r="AA29">
        <v>542</v>
      </c>
      <c r="AB29">
        <v>146</v>
      </c>
      <c r="AC29">
        <v>98</v>
      </c>
      <c r="AD29">
        <v>24</v>
      </c>
      <c r="AE29">
        <v>2</v>
      </c>
      <c r="AF29">
        <v>42</v>
      </c>
      <c r="AG29">
        <v>1</v>
      </c>
      <c r="AH29">
        <v>2132</v>
      </c>
      <c r="AI29">
        <v>642</v>
      </c>
      <c r="AJ29">
        <v>618</v>
      </c>
      <c r="AK29">
        <v>322</v>
      </c>
      <c r="AL29">
        <v>268</v>
      </c>
      <c r="AM29">
        <v>146</v>
      </c>
      <c r="AN29">
        <v>114</v>
      </c>
      <c r="AO29">
        <v>1</v>
      </c>
      <c r="AP29">
        <v>0</v>
      </c>
      <c r="AQ29">
        <v>21</v>
      </c>
      <c r="AR29">
        <v>39.373976213000006</v>
      </c>
      <c r="AS29">
        <v>36.988106260000002</v>
      </c>
      <c r="AT29">
        <v>1.9122569620000001</v>
      </c>
      <c r="AU29">
        <v>0.47361299099999998</v>
      </c>
      <c r="AV29">
        <v>28.50224343</v>
      </c>
      <c r="AW29">
        <v>16.352111669999999</v>
      </c>
      <c r="AX29">
        <v>12.150131760000001</v>
      </c>
      <c r="AY29">
        <v>13.314578729999999</v>
      </c>
      <c r="AZ29">
        <v>13.314578729999999</v>
      </c>
      <c r="BA29">
        <v>18.207392640999998</v>
      </c>
      <c r="BB29">
        <v>11.23851578</v>
      </c>
      <c r="BC29">
        <v>6.968876861</v>
      </c>
      <c r="BD29">
        <v>0.16736699699999999</v>
      </c>
      <c r="BE29">
        <v>9.2585998000000003E-2</v>
      </c>
      <c r="BF29">
        <v>9.2585998000000003E-2</v>
      </c>
      <c r="BG29">
        <v>0.29556299400000002</v>
      </c>
      <c r="BH29">
        <v>4.6292999000000001E-2</v>
      </c>
      <c r="BI29">
        <v>100.00000000300001</v>
      </c>
      <c r="BJ29">
        <v>40.479651159000007</v>
      </c>
      <c r="BK29">
        <v>38.962038300000003</v>
      </c>
      <c r="BL29">
        <v>1.517612859</v>
      </c>
      <c r="BM29">
        <v>28.048050619999998</v>
      </c>
      <c r="BN29">
        <v>14.902530779999999</v>
      </c>
      <c r="BO29">
        <v>13.14551984</v>
      </c>
      <c r="BP29">
        <v>18.826949388999999</v>
      </c>
      <c r="BQ29">
        <v>11.354309170000001</v>
      </c>
      <c r="BR29">
        <v>7.4726402189999996</v>
      </c>
      <c r="BS29">
        <v>12.58977428</v>
      </c>
      <c r="BT29">
        <v>12.58977428</v>
      </c>
      <c r="BU29">
        <v>5.5574554999999998E-2</v>
      </c>
      <c r="BV29">
        <v>100.000000004</v>
      </c>
      <c r="BW29">
        <v>34.794965486000002</v>
      </c>
      <c r="BX29">
        <v>27.40560292</v>
      </c>
      <c r="BY29">
        <v>7.389362566</v>
      </c>
      <c r="BZ29">
        <v>27.933414540000001</v>
      </c>
      <c r="CA29">
        <v>14.250913519999999</v>
      </c>
      <c r="CB29">
        <v>13.68250102</v>
      </c>
      <c r="CC29">
        <v>22.533495737999999</v>
      </c>
      <c r="CD29">
        <v>16.889971580000001</v>
      </c>
      <c r="CE29">
        <v>5.643524158</v>
      </c>
      <c r="CF29">
        <v>14.738124239999999</v>
      </c>
      <c r="CG29">
        <v>14.738124239999999</v>
      </c>
      <c r="CH29">
        <v>99.999999993000003</v>
      </c>
      <c r="CI29">
        <v>33.902110460000003</v>
      </c>
      <c r="CJ29">
        <v>33.902110460000003</v>
      </c>
      <c r="CK29">
        <v>19.353390210000001</v>
      </c>
      <c r="CL29">
        <v>19.353390210000001</v>
      </c>
      <c r="CM29">
        <v>32.824427475999997</v>
      </c>
      <c r="CN29">
        <v>26.852267619999999</v>
      </c>
      <c r="CO29">
        <v>5.9721598560000002</v>
      </c>
      <c r="CP29">
        <v>6.9151324660000002</v>
      </c>
      <c r="CQ29">
        <v>3.7718904360000001</v>
      </c>
      <c r="CR29">
        <v>3.1432420300000001</v>
      </c>
      <c r="CS29">
        <v>2.1104625060000002</v>
      </c>
      <c r="CT29">
        <v>1.1674898970000001</v>
      </c>
      <c r="CU29">
        <v>1.1674898970000001</v>
      </c>
      <c r="CV29">
        <v>3.7269869779999998</v>
      </c>
      <c r="CW29">
        <v>0</v>
      </c>
      <c r="CX29">
        <v>99.423177772999992</v>
      </c>
      <c r="CY29">
        <v>36.234923963999996</v>
      </c>
      <c r="CZ29">
        <v>33.726621219999998</v>
      </c>
      <c r="DA29">
        <v>2.5083027439999999</v>
      </c>
      <c r="DB29">
        <v>30.580318129999998</v>
      </c>
      <c r="DC29">
        <v>12.663869951999999</v>
      </c>
      <c r="DD29">
        <v>7.2102779229999996</v>
      </c>
      <c r="DE29">
        <v>5.4535920290000002</v>
      </c>
      <c r="DF29">
        <v>11.405348719999999</v>
      </c>
      <c r="DG29">
        <v>7.7608809650000001</v>
      </c>
      <c r="DH29" t="s">
        <v>69</v>
      </c>
      <c r="DI29">
        <v>0.32337004000000003</v>
      </c>
      <c r="DJ29">
        <v>0.45446600199999998</v>
      </c>
      <c r="DK29">
        <v>0.45446600199999998</v>
      </c>
      <c r="DL29">
        <v>0</v>
      </c>
      <c r="DM29">
        <v>100.00000000600001</v>
      </c>
      <c r="DN29">
        <v>35.746958640000003</v>
      </c>
      <c r="DO29">
        <v>35.746958640000003</v>
      </c>
      <c r="DP29">
        <v>0</v>
      </c>
      <c r="DQ29">
        <v>31.046228710000001</v>
      </c>
      <c r="DR29">
        <v>31.046228710000001</v>
      </c>
      <c r="DS29">
        <v>13.304136252999999</v>
      </c>
      <c r="DT29">
        <v>7.6301703160000001</v>
      </c>
      <c r="DU29">
        <v>5.6739659370000002</v>
      </c>
      <c r="DV29">
        <v>12.642335770000001</v>
      </c>
      <c r="DW29">
        <v>7.2603406330000002</v>
      </c>
      <c r="DX29" t="s">
        <v>69</v>
      </c>
      <c r="DY29">
        <v>0</v>
      </c>
      <c r="DZ29">
        <v>99.999999994000007</v>
      </c>
      <c r="EA29">
        <v>45.208333330000002</v>
      </c>
      <c r="EB29">
        <v>45.208333330000002</v>
      </c>
      <c r="EC29">
        <v>13.958333333999999</v>
      </c>
      <c r="ED29">
        <v>5.4166666670000003</v>
      </c>
      <c r="EE29">
        <v>8.5416666669999994</v>
      </c>
      <c r="EF29">
        <v>20</v>
      </c>
      <c r="EG29">
        <v>20</v>
      </c>
      <c r="EH29">
        <v>19.583333329999999</v>
      </c>
      <c r="EI29">
        <v>1.25</v>
      </c>
      <c r="EJ29" t="s">
        <v>69</v>
      </c>
      <c r="EK29">
        <v>100.00000000099999</v>
      </c>
      <c r="EL29">
        <v>54.876273650000002</v>
      </c>
      <c r="EM29">
        <v>13.10043668</v>
      </c>
      <c r="EN29">
        <v>41.77583697</v>
      </c>
      <c r="EO29">
        <v>13.391557499999999</v>
      </c>
      <c r="EP29">
        <v>13.391557499999999</v>
      </c>
      <c r="EQ29">
        <v>9.6069869000000008</v>
      </c>
      <c r="ER29">
        <v>6.9868995629999997</v>
      </c>
      <c r="ES29">
        <v>5.3857350799999999</v>
      </c>
      <c r="ET29">
        <v>2.1834061139999998</v>
      </c>
      <c r="EU29">
        <v>2.1834061139999998</v>
      </c>
      <c r="EV29">
        <v>7.5691411940000002</v>
      </c>
      <c r="EW29">
        <v>7.5691411940000002</v>
      </c>
      <c r="EX29">
        <v>0</v>
      </c>
      <c r="EY29">
        <v>28082</v>
      </c>
      <c r="EZ29">
        <v>10387</v>
      </c>
      <c r="FA29">
        <v>537</v>
      </c>
      <c r="FB29">
        <v>133</v>
      </c>
      <c r="FC29">
        <v>4592</v>
      </c>
      <c r="FD29">
        <v>3412</v>
      </c>
      <c r="FE29">
        <v>3739</v>
      </c>
      <c r="FF29">
        <v>3156</v>
      </c>
      <c r="FG29">
        <v>1957</v>
      </c>
      <c r="FH29">
        <v>47</v>
      </c>
      <c r="FI29">
        <v>26</v>
      </c>
      <c r="FJ29">
        <v>83</v>
      </c>
      <c r="FK29">
        <v>13</v>
      </c>
      <c r="FL29">
        <v>23392</v>
      </c>
      <c r="FM29">
        <v>9114</v>
      </c>
      <c r="FN29">
        <v>355</v>
      </c>
      <c r="FO29">
        <v>3486</v>
      </c>
      <c r="FP29">
        <v>3075</v>
      </c>
      <c r="FQ29">
        <v>2656</v>
      </c>
      <c r="FR29">
        <v>1748</v>
      </c>
      <c r="FS29">
        <v>2945</v>
      </c>
      <c r="FT29">
        <v>13</v>
      </c>
      <c r="FU29">
        <v>2463</v>
      </c>
      <c r="FV29">
        <v>675</v>
      </c>
      <c r="FW29">
        <v>182</v>
      </c>
      <c r="FX29" t="s">
        <v>69</v>
      </c>
      <c r="FY29">
        <v>351</v>
      </c>
      <c r="FZ29">
        <v>337</v>
      </c>
      <c r="GA29">
        <v>416</v>
      </c>
      <c r="GB29">
        <v>139</v>
      </c>
      <c r="GC29">
        <v>363</v>
      </c>
      <c r="GD29">
        <v>2227</v>
      </c>
      <c r="GE29">
        <v>755</v>
      </c>
      <c r="GF29">
        <v>431</v>
      </c>
      <c r="GG29">
        <v>598</v>
      </c>
      <c r="GH29">
        <v>133</v>
      </c>
      <c r="GI29">
        <v>84</v>
      </c>
      <c r="GJ29">
        <v>70</v>
      </c>
      <c r="GK29">
        <v>47</v>
      </c>
      <c r="GL29">
        <v>26</v>
      </c>
      <c r="GM29">
        <v>83</v>
      </c>
      <c r="GN29">
        <v>0</v>
      </c>
      <c r="GO29">
        <v>11442</v>
      </c>
      <c r="GP29">
        <v>3859</v>
      </c>
      <c r="GQ29">
        <v>287</v>
      </c>
      <c r="GR29">
        <v>3499</v>
      </c>
      <c r="GS29">
        <v>825</v>
      </c>
      <c r="GT29">
        <v>624</v>
      </c>
      <c r="GU29">
        <v>1305</v>
      </c>
      <c r="GV29">
        <v>888</v>
      </c>
      <c r="GW29">
        <v>746</v>
      </c>
      <c r="GX29">
        <v>94</v>
      </c>
      <c r="GY29">
        <v>48</v>
      </c>
      <c r="GZ29" t="s">
        <v>69</v>
      </c>
      <c r="HA29">
        <v>37</v>
      </c>
      <c r="HB29">
        <v>52</v>
      </c>
      <c r="HC29">
        <v>0</v>
      </c>
      <c r="HD29">
        <v>10275</v>
      </c>
      <c r="HE29">
        <v>3673</v>
      </c>
      <c r="HF29">
        <v>0</v>
      </c>
      <c r="HG29">
        <v>3190</v>
      </c>
      <c r="HH29">
        <v>784</v>
      </c>
      <c r="HI29">
        <v>583</v>
      </c>
      <c r="HJ29">
        <v>1299</v>
      </c>
      <c r="HK29">
        <v>746</v>
      </c>
      <c r="HL29" t="s">
        <v>69</v>
      </c>
      <c r="HM29">
        <v>0</v>
      </c>
      <c r="HN29">
        <v>480</v>
      </c>
      <c r="HO29">
        <v>217</v>
      </c>
      <c r="HP29">
        <v>26</v>
      </c>
      <c r="HQ29">
        <v>41</v>
      </c>
      <c r="HR29">
        <v>96</v>
      </c>
      <c r="HS29">
        <v>94</v>
      </c>
      <c r="HT29">
        <v>6</v>
      </c>
      <c r="HU29" t="s">
        <v>69</v>
      </c>
      <c r="HV29">
        <v>687</v>
      </c>
      <c r="HW29">
        <v>90</v>
      </c>
      <c r="HX29">
        <v>287</v>
      </c>
      <c r="HY29">
        <v>92</v>
      </c>
      <c r="HZ29">
        <v>66</v>
      </c>
      <c r="IA29">
        <v>48</v>
      </c>
      <c r="IB29">
        <v>37</v>
      </c>
      <c r="IC29">
        <v>15</v>
      </c>
      <c r="ID29">
        <v>52</v>
      </c>
      <c r="IE29">
        <v>0</v>
      </c>
      <c r="IG29">
        <v>57.167515000000002</v>
      </c>
    </row>
    <row r="30" spans="1:241" x14ac:dyDescent="0.25">
      <c r="A30" t="s">
        <v>57</v>
      </c>
      <c r="B30">
        <v>11.62472648</v>
      </c>
      <c r="C30">
        <v>20.815098469999999</v>
      </c>
      <c r="D30">
        <v>26.96936543</v>
      </c>
      <c r="E30">
        <v>21.553610500000001</v>
      </c>
      <c r="F30">
        <v>10.366520789999999</v>
      </c>
      <c r="G30">
        <v>7.6312910279999997</v>
      </c>
      <c r="H30">
        <v>0.13676148799999999</v>
      </c>
      <c r="I30">
        <v>0.76586433300000001</v>
      </c>
      <c r="J30">
        <v>2.7352298000000001E-2</v>
      </c>
      <c r="K30">
        <v>0.10940919</v>
      </c>
      <c r="L30">
        <v>28</v>
      </c>
      <c r="M30">
        <v>3656</v>
      </c>
      <c r="N30">
        <v>425</v>
      </c>
      <c r="O30">
        <v>761</v>
      </c>
      <c r="P30">
        <v>986</v>
      </c>
      <c r="Q30">
        <v>788</v>
      </c>
      <c r="R30">
        <v>379</v>
      </c>
      <c r="S30">
        <v>279</v>
      </c>
      <c r="T30">
        <v>5</v>
      </c>
      <c r="U30">
        <v>28</v>
      </c>
      <c r="V30">
        <v>1</v>
      </c>
      <c r="W30">
        <v>4</v>
      </c>
      <c r="X30">
        <v>1543</v>
      </c>
      <c r="Y30">
        <v>318</v>
      </c>
      <c r="Z30">
        <v>516</v>
      </c>
      <c r="AA30">
        <v>398</v>
      </c>
      <c r="AB30">
        <v>172</v>
      </c>
      <c r="AC30">
        <v>58</v>
      </c>
      <c r="AD30">
        <v>49</v>
      </c>
      <c r="AE30">
        <v>0</v>
      </c>
      <c r="AF30">
        <v>28</v>
      </c>
      <c r="AG30">
        <v>4</v>
      </c>
      <c r="AH30">
        <v>2113</v>
      </c>
      <c r="AI30">
        <v>616</v>
      </c>
      <c r="AJ30">
        <v>588</v>
      </c>
      <c r="AK30">
        <v>330</v>
      </c>
      <c r="AL30">
        <v>245</v>
      </c>
      <c r="AM30">
        <v>221</v>
      </c>
      <c r="AN30">
        <v>107</v>
      </c>
      <c r="AO30">
        <v>5</v>
      </c>
      <c r="AP30">
        <v>1</v>
      </c>
      <c r="AQ30">
        <v>0</v>
      </c>
      <c r="AR30">
        <v>38.146191401999999</v>
      </c>
      <c r="AS30">
        <v>35.324015250000002</v>
      </c>
      <c r="AT30">
        <v>2.6650170530000001</v>
      </c>
      <c r="AU30">
        <v>0.157159099</v>
      </c>
      <c r="AV30">
        <v>26.890924890000001</v>
      </c>
      <c r="AW30">
        <v>16.117167120000001</v>
      </c>
      <c r="AX30">
        <v>10.77375777</v>
      </c>
      <c r="AY30">
        <v>13.686216809999999</v>
      </c>
      <c r="AZ30">
        <v>13.686216809999999</v>
      </c>
      <c r="BA30">
        <v>20.724938137999999</v>
      </c>
      <c r="BB30">
        <v>12.79676319</v>
      </c>
      <c r="BC30">
        <v>7.9281749479999997</v>
      </c>
      <c r="BD30">
        <v>0.15047147699999999</v>
      </c>
      <c r="BE30">
        <v>8.3595265000000002E-2</v>
      </c>
      <c r="BF30">
        <v>8.3595265000000002E-2</v>
      </c>
      <c r="BG30">
        <v>0.26750484899999999</v>
      </c>
      <c r="BH30">
        <v>5.0157159E-2</v>
      </c>
      <c r="BI30">
        <v>100</v>
      </c>
      <c r="BJ30">
        <v>39.115351261999997</v>
      </c>
      <c r="BK30">
        <v>37.002286529999999</v>
      </c>
      <c r="BL30">
        <v>2.1130647319999998</v>
      </c>
      <c r="BM30">
        <v>26.29109832</v>
      </c>
      <c r="BN30">
        <v>14.720492</v>
      </c>
      <c r="BO30">
        <v>11.57060632</v>
      </c>
      <c r="BP30">
        <v>21.371126703999998</v>
      </c>
      <c r="BQ30">
        <v>12.91492549</v>
      </c>
      <c r="BR30">
        <v>8.456201214</v>
      </c>
      <c r="BS30">
        <v>13.16328944</v>
      </c>
      <c r="BT30">
        <v>13.16328944</v>
      </c>
      <c r="BU30">
        <v>5.9134274000000001E-2</v>
      </c>
      <c r="BV30">
        <v>99.999999986000006</v>
      </c>
      <c r="BW30">
        <v>38.057142853000002</v>
      </c>
      <c r="BX30">
        <v>28.114285710000001</v>
      </c>
      <c r="BY30">
        <v>9.9428571429999995</v>
      </c>
      <c r="BZ30">
        <v>22.323809519999998</v>
      </c>
      <c r="CA30">
        <v>11.390476189999999</v>
      </c>
      <c r="CB30">
        <v>10.93333333</v>
      </c>
      <c r="CC30">
        <v>25.866666663</v>
      </c>
      <c r="CD30">
        <v>18.133333329999999</v>
      </c>
      <c r="CE30">
        <v>7.733333333</v>
      </c>
      <c r="CF30">
        <v>13.752380949999999</v>
      </c>
      <c r="CG30">
        <v>13.752380949999999</v>
      </c>
      <c r="CH30">
        <v>99.999999998999996</v>
      </c>
      <c r="CI30">
        <v>41.096605740000001</v>
      </c>
      <c r="CJ30">
        <v>41.096605740000001</v>
      </c>
      <c r="CK30">
        <v>20.522193210000001</v>
      </c>
      <c r="CL30">
        <v>20.522193210000001</v>
      </c>
      <c r="CM30">
        <v>25.430809404000001</v>
      </c>
      <c r="CN30">
        <v>22.97650131</v>
      </c>
      <c r="CO30">
        <v>2.4543080939999999</v>
      </c>
      <c r="CP30">
        <v>5.1174934719999996</v>
      </c>
      <c r="CQ30">
        <v>3.9164490860000001</v>
      </c>
      <c r="CR30">
        <v>1.201044386</v>
      </c>
      <c r="CS30">
        <v>2.3498694520000001</v>
      </c>
      <c r="CT30">
        <v>1.3054830289999999</v>
      </c>
      <c r="CU30">
        <v>1.3054830289999999</v>
      </c>
      <c r="CV30">
        <v>4.1775456919999998</v>
      </c>
      <c r="CW30">
        <v>0</v>
      </c>
      <c r="CX30">
        <v>99.446640316</v>
      </c>
      <c r="CY30">
        <v>39.209486167000001</v>
      </c>
      <c r="CZ30">
        <v>36.732542819999999</v>
      </c>
      <c r="DA30">
        <v>2.4769433470000002</v>
      </c>
      <c r="DB30">
        <v>28.73956961</v>
      </c>
      <c r="DC30">
        <v>9.9692577950000008</v>
      </c>
      <c r="DD30">
        <v>4.6288976719999999</v>
      </c>
      <c r="DE30">
        <v>5.340360123</v>
      </c>
      <c r="DF30">
        <v>12.92050944</v>
      </c>
      <c r="DG30">
        <v>7.8612209049999997</v>
      </c>
      <c r="DH30" t="s">
        <v>69</v>
      </c>
      <c r="DI30">
        <v>0.30742204699999998</v>
      </c>
      <c r="DJ30">
        <v>0.43917435199999999</v>
      </c>
      <c r="DK30">
        <v>0.43917435199999999</v>
      </c>
      <c r="DL30">
        <v>0</v>
      </c>
      <c r="DM30">
        <v>99.999999997999993</v>
      </c>
      <c r="DN30">
        <v>39.412750019999997</v>
      </c>
      <c r="DO30">
        <v>39.412750019999997</v>
      </c>
      <c r="DP30">
        <v>0</v>
      </c>
      <c r="DQ30">
        <v>28.741747960000001</v>
      </c>
      <c r="DR30">
        <v>28.741747960000001</v>
      </c>
      <c r="DS30">
        <v>10.069957631000001</v>
      </c>
      <c r="DT30">
        <v>4.54231944</v>
      </c>
      <c r="DU30">
        <v>5.5276381910000003</v>
      </c>
      <c r="DV30">
        <v>14.415213319999999</v>
      </c>
      <c r="DW30">
        <v>7.3603310669999997</v>
      </c>
      <c r="DX30" t="s">
        <v>69</v>
      </c>
      <c r="DY30">
        <v>0</v>
      </c>
      <c r="DZ30">
        <v>100.000000011</v>
      </c>
      <c r="EA30">
        <v>45.996275609999998</v>
      </c>
      <c r="EB30">
        <v>45.996275609999998</v>
      </c>
      <c r="EC30">
        <v>19.180633147000002</v>
      </c>
      <c r="ED30">
        <v>10.428305399999999</v>
      </c>
      <c r="EE30">
        <v>8.7523277470000007</v>
      </c>
      <c r="EF30">
        <v>14.338919929999999</v>
      </c>
      <c r="EG30">
        <v>14.338919929999999</v>
      </c>
      <c r="EH30">
        <v>18.99441341</v>
      </c>
      <c r="EI30">
        <v>1.4897579139999999</v>
      </c>
      <c r="EJ30" t="s">
        <v>69</v>
      </c>
      <c r="EK30">
        <v>100.000000007</v>
      </c>
      <c r="EL30">
        <v>55.364806869999995</v>
      </c>
      <c r="EM30">
        <v>15.02145923</v>
      </c>
      <c r="EN30">
        <v>40.343347639999998</v>
      </c>
      <c r="EO30">
        <v>15.45064378</v>
      </c>
      <c r="EP30">
        <v>15.45064378</v>
      </c>
      <c r="EQ30">
        <v>9.0128755359999992</v>
      </c>
      <c r="ER30">
        <v>6.5808297570000001</v>
      </c>
      <c r="ES30">
        <v>5.0071530759999998</v>
      </c>
      <c r="ET30">
        <v>1.4306151650000001</v>
      </c>
      <c r="EU30">
        <v>1.4306151650000001</v>
      </c>
      <c r="EV30">
        <v>7.153075823</v>
      </c>
      <c r="EW30">
        <v>7.153075823</v>
      </c>
      <c r="EX30">
        <v>0</v>
      </c>
      <c r="EY30">
        <v>29906</v>
      </c>
      <c r="EZ30">
        <v>10564</v>
      </c>
      <c r="FA30">
        <v>797</v>
      </c>
      <c r="FB30">
        <v>47</v>
      </c>
      <c r="FC30">
        <v>4820</v>
      </c>
      <c r="FD30">
        <v>3222</v>
      </c>
      <c r="FE30">
        <v>4093</v>
      </c>
      <c r="FF30">
        <v>3827</v>
      </c>
      <c r="FG30">
        <v>2371</v>
      </c>
      <c r="FH30">
        <v>45</v>
      </c>
      <c r="FI30">
        <v>25</v>
      </c>
      <c r="FJ30">
        <v>80</v>
      </c>
      <c r="FK30">
        <v>15</v>
      </c>
      <c r="FL30">
        <v>25366</v>
      </c>
      <c r="FM30">
        <v>9386</v>
      </c>
      <c r="FN30">
        <v>536</v>
      </c>
      <c r="FO30">
        <v>3734</v>
      </c>
      <c r="FP30">
        <v>2935</v>
      </c>
      <c r="FQ30">
        <v>3276</v>
      </c>
      <c r="FR30">
        <v>2145</v>
      </c>
      <c r="FS30">
        <v>3339</v>
      </c>
      <c r="FT30">
        <v>15</v>
      </c>
      <c r="FU30">
        <v>2625</v>
      </c>
      <c r="FV30">
        <v>738</v>
      </c>
      <c r="FW30">
        <v>261</v>
      </c>
      <c r="FX30" t="s">
        <v>69</v>
      </c>
      <c r="FY30">
        <v>299</v>
      </c>
      <c r="FZ30">
        <v>287</v>
      </c>
      <c r="GA30">
        <v>476</v>
      </c>
      <c r="GB30">
        <v>203</v>
      </c>
      <c r="GC30">
        <v>361</v>
      </c>
      <c r="GD30">
        <v>1915</v>
      </c>
      <c r="GE30">
        <v>787</v>
      </c>
      <c r="GF30">
        <v>393</v>
      </c>
      <c r="GG30">
        <v>440</v>
      </c>
      <c r="GH30">
        <v>47</v>
      </c>
      <c r="GI30">
        <v>75</v>
      </c>
      <c r="GJ30">
        <v>23</v>
      </c>
      <c r="GK30">
        <v>45</v>
      </c>
      <c r="GL30">
        <v>25</v>
      </c>
      <c r="GM30">
        <v>80</v>
      </c>
      <c r="GN30">
        <v>0</v>
      </c>
      <c r="GO30">
        <v>11385</v>
      </c>
      <c r="GP30">
        <v>4182</v>
      </c>
      <c r="GQ30">
        <v>282</v>
      </c>
      <c r="GR30">
        <v>3272</v>
      </c>
      <c r="GS30">
        <v>527</v>
      </c>
      <c r="GT30">
        <v>608</v>
      </c>
      <c r="GU30">
        <v>1471</v>
      </c>
      <c r="GV30">
        <v>895</v>
      </c>
      <c r="GW30">
        <v>747</v>
      </c>
      <c r="GX30">
        <v>102</v>
      </c>
      <c r="GY30">
        <v>46</v>
      </c>
      <c r="GZ30" t="s">
        <v>69</v>
      </c>
      <c r="HA30">
        <v>35</v>
      </c>
      <c r="HB30">
        <v>50</v>
      </c>
      <c r="HC30">
        <v>0</v>
      </c>
      <c r="HD30">
        <v>10149</v>
      </c>
      <c r="HE30">
        <v>4000</v>
      </c>
      <c r="HF30">
        <v>0</v>
      </c>
      <c r="HG30">
        <v>2917</v>
      </c>
      <c r="HH30">
        <v>461</v>
      </c>
      <c r="HI30">
        <v>561</v>
      </c>
      <c r="HJ30">
        <v>1463</v>
      </c>
      <c r="HK30">
        <v>747</v>
      </c>
      <c r="HL30" t="s">
        <v>69</v>
      </c>
      <c r="HM30">
        <v>0</v>
      </c>
      <c r="HN30">
        <v>537</v>
      </c>
      <c r="HO30">
        <v>247</v>
      </c>
      <c r="HP30">
        <v>56</v>
      </c>
      <c r="HQ30">
        <v>47</v>
      </c>
      <c r="HR30">
        <v>77</v>
      </c>
      <c r="HS30">
        <v>102</v>
      </c>
      <c r="HT30">
        <v>8</v>
      </c>
      <c r="HU30" t="s">
        <v>69</v>
      </c>
      <c r="HV30">
        <v>699</v>
      </c>
      <c r="HW30">
        <v>105</v>
      </c>
      <c r="HX30">
        <v>282</v>
      </c>
      <c r="HY30">
        <v>108</v>
      </c>
      <c r="HZ30">
        <v>63</v>
      </c>
      <c r="IA30">
        <v>46</v>
      </c>
      <c r="IB30">
        <v>35</v>
      </c>
      <c r="IC30">
        <v>10</v>
      </c>
      <c r="ID30">
        <v>50</v>
      </c>
      <c r="IE30">
        <v>0</v>
      </c>
      <c r="IG30">
        <v>53.413409999999999</v>
      </c>
    </row>
    <row r="31" spans="1:241" x14ac:dyDescent="0.25">
      <c r="A31" t="s">
        <v>58</v>
      </c>
      <c r="B31">
        <v>11.48231331</v>
      </c>
      <c r="C31">
        <v>23.048848960000001</v>
      </c>
      <c r="D31">
        <v>26.754632229999999</v>
      </c>
      <c r="E31">
        <v>21.308253789999998</v>
      </c>
      <c r="F31">
        <v>8.815272319</v>
      </c>
      <c r="G31">
        <v>7.4677147670000004</v>
      </c>
      <c r="H31">
        <v>8.4222347000000003E-2</v>
      </c>
      <c r="I31">
        <v>0.84222346999999997</v>
      </c>
      <c r="J31">
        <v>5.6148231E-2</v>
      </c>
      <c r="K31">
        <v>0.140370578</v>
      </c>
      <c r="L31">
        <v>30</v>
      </c>
      <c r="M31">
        <v>3562</v>
      </c>
      <c r="N31">
        <v>409</v>
      </c>
      <c r="O31">
        <v>821</v>
      </c>
      <c r="P31">
        <v>953</v>
      </c>
      <c r="Q31">
        <v>759</v>
      </c>
      <c r="R31">
        <v>314</v>
      </c>
      <c r="S31">
        <v>266</v>
      </c>
      <c r="T31">
        <v>3</v>
      </c>
      <c r="U31">
        <v>30</v>
      </c>
      <c r="V31">
        <v>2</v>
      </c>
      <c r="W31">
        <v>5</v>
      </c>
      <c r="X31">
        <v>1660</v>
      </c>
      <c r="Y31">
        <v>309</v>
      </c>
      <c r="Z31">
        <v>607</v>
      </c>
      <c r="AA31">
        <v>460</v>
      </c>
      <c r="AB31">
        <v>156</v>
      </c>
      <c r="AC31">
        <v>57</v>
      </c>
      <c r="AD31">
        <v>35</v>
      </c>
      <c r="AE31">
        <v>1</v>
      </c>
      <c r="AF31">
        <v>30</v>
      </c>
      <c r="AG31">
        <v>5</v>
      </c>
      <c r="AH31">
        <v>1902</v>
      </c>
      <c r="AI31">
        <v>603</v>
      </c>
      <c r="AJ31">
        <v>493</v>
      </c>
      <c r="AK31">
        <v>279</v>
      </c>
      <c r="AL31">
        <v>214</v>
      </c>
      <c r="AM31">
        <v>209</v>
      </c>
      <c r="AN31">
        <v>100</v>
      </c>
      <c r="AO31">
        <v>2</v>
      </c>
      <c r="AP31">
        <v>2</v>
      </c>
      <c r="AQ31">
        <v>0</v>
      </c>
      <c r="AR31">
        <v>38.239158997999994</v>
      </c>
      <c r="AS31">
        <v>35.796552519999999</v>
      </c>
      <c r="AT31">
        <v>2.3382546190000002</v>
      </c>
      <c r="AU31">
        <v>0.10435185900000001</v>
      </c>
      <c r="AV31">
        <v>28.375975879999999</v>
      </c>
      <c r="AW31">
        <v>15.965834429999999</v>
      </c>
      <c r="AX31">
        <v>12.410141449999999</v>
      </c>
      <c r="AY31">
        <v>12.085491230000001</v>
      </c>
      <c r="AZ31">
        <v>12.085491230000001</v>
      </c>
      <c r="BA31">
        <v>20.746695523</v>
      </c>
      <c r="BB31">
        <v>13.418876089999999</v>
      </c>
      <c r="BC31">
        <v>7.3278194330000002</v>
      </c>
      <c r="BD31">
        <v>0.16232511399999999</v>
      </c>
      <c r="BE31">
        <v>8.8892323999999995E-2</v>
      </c>
      <c r="BF31">
        <v>8.8892323999999995E-2</v>
      </c>
      <c r="BG31">
        <v>0.28600139099999999</v>
      </c>
      <c r="BH31">
        <v>1.5459535E-2</v>
      </c>
      <c r="BI31">
        <v>100.00000000499999</v>
      </c>
      <c r="BJ31">
        <v>40.198084254999998</v>
      </c>
      <c r="BK31">
        <v>38.379986979999998</v>
      </c>
      <c r="BL31">
        <v>1.818097275</v>
      </c>
      <c r="BM31">
        <v>28.080535670000003</v>
      </c>
      <c r="BN31">
        <v>14.623825910000001</v>
      </c>
      <c r="BO31">
        <v>13.456709760000001</v>
      </c>
      <c r="BP31">
        <v>20.538454388999998</v>
      </c>
      <c r="BQ31">
        <v>13.014972569999999</v>
      </c>
      <c r="BR31">
        <v>7.5234818189999997</v>
      </c>
      <c r="BS31">
        <v>11.16432623</v>
      </c>
      <c r="BT31">
        <v>11.16432623</v>
      </c>
      <c r="BU31">
        <v>1.8599461000000001E-2</v>
      </c>
      <c r="BV31">
        <v>99.999999990999996</v>
      </c>
      <c r="BW31">
        <v>32.754061202999999</v>
      </c>
      <c r="BX31">
        <v>24.6694371</v>
      </c>
      <c r="BY31">
        <v>8.0846241029999995</v>
      </c>
      <c r="BZ31">
        <v>26.48281072</v>
      </c>
      <c r="CA31">
        <v>14.506989040000001</v>
      </c>
      <c r="CB31">
        <v>11.975821679999999</v>
      </c>
      <c r="CC31">
        <v>26.633925198</v>
      </c>
      <c r="CD31">
        <v>17.075935019999999</v>
      </c>
      <c r="CE31">
        <v>9.5579901780000007</v>
      </c>
      <c r="CF31">
        <v>14.12920287</v>
      </c>
      <c r="CG31">
        <v>14.12920287</v>
      </c>
      <c r="CH31">
        <v>100.00000001299999</v>
      </c>
      <c r="CI31">
        <v>34.979662990000001</v>
      </c>
      <c r="CJ31">
        <v>34.979662990000001</v>
      </c>
      <c r="CK31">
        <v>20.45322487</v>
      </c>
      <c r="CL31">
        <v>20.45322487</v>
      </c>
      <c r="CM31">
        <v>22.196397446999999</v>
      </c>
      <c r="CN31">
        <v>20.627542129999998</v>
      </c>
      <c r="CO31">
        <v>1.5688553169999999</v>
      </c>
      <c r="CP31">
        <v>14.294015112</v>
      </c>
      <c r="CQ31">
        <v>12.8413713</v>
      </c>
      <c r="CR31">
        <v>1.452643812</v>
      </c>
      <c r="CS31">
        <v>2.4404416040000001</v>
      </c>
      <c r="CT31">
        <v>1.3364323069999999</v>
      </c>
      <c r="CU31">
        <v>1.3364323069999999</v>
      </c>
      <c r="CV31">
        <v>4.2998256829999999</v>
      </c>
      <c r="CW31">
        <v>0</v>
      </c>
      <c r="CX31">
        <v>99.37730870999998</v>
      </c>
      <c r="CY31">
        <v>44.654353563999997</v>
      </c>
      <c r="CZ31">
        <v>42.606860159999997</v>
      </c>
      <c r="DA31">
        <v>2.0474934039999999</v>
      </c>
      <c r="DB31">
        <v>20.875989449999999</v>
      </c>
      <c r="DC31">
        <v>12.116094987</v>
      </c>
      <c r="DD31">
        <v>6.5857519790000003</v>
      </c>
      <c r="DE31">
        <v>5.530343008</v>
      </c>
      <c r="DF31">
        <v>13.319261210000001</v>
      </c>
      <c r="DG31">
        <v>7.5778364119999999</v>
      </c>
      <c r="DH31" t="s">
        <v>69</v>
      </c>
      <c r="DI31">
        <v>0.34828495999999998</v>
      </c>
      <c r="DJ31">
        <v>0.48548812699999999</v>
      </c>
      <c r="DK31">
        <v>0.48548812699999999</v>
      </c>
      <c r="DL31">
        <v>0</v>
      </c>
      <c r="DM31">
        <v>100.00000001100001</v>
      </c>
      <c r="DN31">
        <v>46.108362499999998</v>
      </c>
      <c r="DO31">
        <v>46.108362499999998</v>
      </c>
      <c r="DP31">
        <v>0</v>
      </c>
      <c r="DQ31">
        <v>20.212380840000002</v>
      </c>
      <c r="DR31">
        <v>20.212380840000002</v>
      </c>
      <c r="DS31">
        <v>11.572342222</v>
      </c>
      <c r="DT31">
        <v>6.2628212860000003</v>
      </c>
      <c r="DU31">
        <v>5.3095209360000002</v>
      </c>
      <c r="DV31">
        <v>15.120067580000001</v>
      </c>
      <c r="DW31">
        <v>6.9868468689999998</v>
      </c>
      <c r="DX31" t="s">
        <v>69</v>
      </c>
      <c r="DY31">
        <v>0</v>
      </c>
      <c r="DZ31">
        <v>99.999999992999989</v>
      </c>
      <c r="EA31">
        <v>28.54812398</v>
      </c>
      <c r="EB31">
        <v>28.54812398</v>
      </c>
      <c r="EC31">
        <v>28.874388249999999</v>
      </c>
      <c r="ED31">
        <v>15.17128874</v>
      </c>
      <c r="EE31">
        <v>13.703099509999999</v>
      </c>
      <c r="EF31">
        <v>25.285481239999999</v>
      </c>
      <c r="EG31">
        <v>25.285481239999999</v>
      </c>
      <c r="EH31">
        <v>15.823817289999999</v>
      </c>
      <c r="EI31">
        <v>1.4681892329999999</v>
      </c>
      <c r="EJ31" t="s">
        <v>69</v>
      </c>
      <c r="EK31">
        <v>100.00000000299998</v>
      </c>
      <c r="EL31">
        <v>44.347826080000004</v>
      </c>
      <c r="EM31">
        <v>10.60869565</v>
      </c>
      <c r="EN31">
        <v>33.739130430000003</v>
      </c>
      <c r="EO31">
        <v>22.260869570000001</v>
      </c>
      <c r="EP31">
        <v>22.260869570000001</v>
      </c>
      <c r="EQ31">
        <v>10.260869570000001</v>
      </c>
      <c r="ER31">
        <v>7.3043478259999999</v>
      </c>
      <c r="ES31">
        <v>5.7391304349999999</v>
      </c>
      <c r="ET31">
        <v>2.0869565219999999</v>
      </c>
      <c r="EU31">
        <v>2.0869565219999999</v>
      </c>
      <c r="EV31">
        <v>8</v>
      </c>
      <c r="EW31">
        <v>8</v>
      </c>
      <c r="EX31">
        <v>0</v>
      </c>
      <c r="EY31">
        <v>25874</v>
      </c>
      <c r="EZ31">
        <v>9262</v>
      </c>
      <c r="FA31">
        <v>605</v>
      </c>
      <c r="FB31">
        <v>27</v>
      </c>
      <c r="FC31">
        <v>4131</v>
      </c>
      <c r="FD31">
        <v>3211</v>
      </c>
      <c r="FE31">
        <v>3127</v>
      </c>
      <c r="FF31">
        <v>3472</v>
      </c>
      <c r="FG31">
        <v>1896</v>
      </c>
      <c r="FH31">
        <v>42</v>
      </c>
      <c r="FI31">
        <v>23</v>
      </c>
      <c r="FJ31">
        <v>74</v>
      </c>
      <c r="FK31">
        <v>4</v>
      </c>
      <c r="FL31">
        <v>21506</v>
      </c>
      <c r="FM31">
        <v>8254</v>
      </c>
      <c r="FN31">
        <v>391</v>
      </c>
      <c r="FO31">
        <v>3145</v>
      </c>
      <c r="FP31">
        <v>2894</v>
      </c>
      <c r="FQ31">
        <v>2799</v>
      </c>
      <c r="FR31">
        <v>1618</v>
      </c>
      <c r="FS31">
        <v>2401</v>
      </c>
      <c r="FT31">
        <v>4</v>
      </c>
      <c r="FU31">
        <v>2647</v>
      </c>
      <c r="FV31">
        <v>653</v>
      </c>
      <c r="FW31">
        <v>214</v>
      </c>
      <c r="FX31" t="s">
        <v>69</v>
      </c>
      <c r="FY31">
        <v>384</v>
      </c>
      <c r="FZ31">
        <v>317</v>
      </c>
      <c r="GA31">
        <v>452</v>
      </c>
      <c r="GB31">
        <v>253</v>
      </c>
      <c r="GC31">
        <v>374</v>
      </c>
      <c r="GD31">
        <v>1721</v>
      </c>
      <c r="GE31">
        <v>602</v>
      </c>
      <c r="GF31">
        <v>352</v>
      </c>
      <c r="GG31">
        <v>355</v>
      </c>
      <c r="GH31">
        <v>27</v>
      </c>
      <c r="GI31">
        <v>221</v>
      </c>
      <c r="GJ31">
        <v>25</v>
      </c>
      <c r="GK31">
        <v>42</v>
      </c>
      <c r="GL31">
        <v>23</v>
      </c>
      <c r="GM31">
        <v>74</v>
      </c>
      <c r="GN31">
        <v>0</v>
      </c>
      <c r="GO31">
        <v>9475</v>
      </c>
      <c r="GP31">
        <v>4037</v>
      </c>
      <c r="GQ31">
        <v>194</v>
      </c>
      <c r="GR31">
        <v>1978</v>
      </c>
      <c r="GS31">
        <v>624</v>
      </c>
      <c r="GT31">
        <v>524</v>
      </c>
      <c r="GU31">
        <v>1262</v>
      </c>
      <c r="GV31">
        <v>718</v>
      </c>
      <c r="GW31">
        <v>579</v>
      </c>
      <c r="GX31">
        <v>97</v>
      </c>
      <c r="GY31">
        <v>42</v>
      </c>
      <c r="GZ31" t="s">
        <v>69</v>
      </c>
      <c r="HA31">
        <v>33</v>
      </c>
      <c r="HB31">
        <v>46</v>
      </c>
      <c r="HC31">
        <v>0</v>
      </c>
      <c r="HD31">
        <v>8287</v>
      </c>
      <c r="HE31">
        <v>3821</v>
      </c>
      <c r="HF31">
        <v>0</v>
      </c>
      <c r="HG31">
        <v>1675</v>
      </c>
      <c r="HH31">
        <v>519</v>
      </c>
      <c r="HI31">
        <v>440</v>
      </c>
      <c r="HJ31">
        <v>1253</v>
      </c>
      <c r="HK31">
        <v>579</v>
      </c>
      <c r="HL31" t="s">
        <v>69</v>
      </c>
      <c r="HM31">
        <v>0</v>
      </c>
      <c r="HN31">
        <v>613</v>
      </c>
      <c r="HO31">
        <v>175</v>
      </c>
      <c r="HP31">
        <v>93</v>
      </c>
      <c r="HQ31">
        <v>84</v>
      </c>
      <c r="HR31">
        <v>155</v>
      </c>
      <c r="HS31">
        <v>97</v>
      </c>
      <c r="HT31">
        <v>9</v>
      </c>
      <c r="HU31" t="s">
        <v>69</v>
      </c>
      <c r="HV31">
        <v>575</v>
      </c>
      <c r="HW31">
        <v>61</v>
      </c>
      <c r="HX31">
        <v>194</v>
      </c>
      <c r="HY31">
        <v>128</v>
      </c>
      <c r="HZ31">
        <v>59</v>
      </c>
      <c r="IA31">
        <v>42</v>
      </c>
      <c r="IB31">
        <v>33</v>
      </c>
      <c r="IC31">
        <v>12</v>
      </c>
      <c r="ID31">
        <v>46</v>
      </c>
      <c r="IE31">
        <v>0</v>
      </c>
      <c r="IG31">
        <v>60.445076</v>
      </c>
    </row>
    <row r="32" spans="1:241" x14ac:dyDescent="0.25">
      <c r="A32" t="s">
        <v>59</v>
      </c>
      <c r="B32">
        <v>13.85632702</v>
      </c>
      <c r="C32">
        <v>19.98797716</v>
      </c>
      <c r="D32">
        <v>27.562368500000002</v>
      </c>
      <c r="E32">
        <v>21.971746320000001</v>
      </c>
      <c r="F32">
        <v>8.6263901409999999</v>
      </c>
      <c r="G32">
        <v>6.4923354370000004</v>
      </c>
      <c r="H32">
        <v>0.24045686799999999</v>
      </c>
      <c r="I32">
        <v>1.0219416889999999</v>
      </c>
      <c r="J32">
        <v>3.0057108999999999E-2</v>
      </c>
      <c r="K32">
        <v>0.21039975999999999</v>
      </c>
      <c r="L32">
        <v>34</v>
      </c>
      <c r="M32">
        <v>3327</v>
      </c>
      <c r="N32">
        <v>461</v>
      </c>
      <c r="O32">
        <v>665</v>
      </c>
      <c r="P32">
        <v>917</v>
      </c>
      <c r="Q32">
        <v>731</v>
      </c>
      <c r="R32">
        <v>287</v>
      </c>
      <c r="S32">
        <v>216</v>
      </c>
      <c r="T32">
        <v>8</v>
      </c>
      <c r="U32">
        <v>34</v>
      </c>
      <c r="V32">
        <v>1</v>
      </c>
      <c r="W32">
        <v>7</v>
      </c>
      <c r="X32">
        <v>1547</v>
      </c>
      <c r="Y32">
        <v>374</v>
      </c>
      <c r="Z32">
        <v>460</v>
      </c>
      <c r="AA32">
        <v>447</v>
      </c>
      <c r="AB32">
        <v>128</v>
      </c>
      <c r="AC32">
        <v>61</v>
      </c>
      <c r="AD32">
        <v>34</v>
      </c>
      <c r="AE32">
        <v>2</v>
      </c>
      <c r="AF32">
        <v>34</v>
      </c>
      <c r="AG32">
        <v>7</v>
      </c>
      <c r="AH32">
        <v>1780</v>
      </c>
      <c r="AI32">
        <v>603</v>
      </c>
      <c r="AJ32">
        <v>470</v>
      </c>
      <c r="AK32">
        <v>253</v>
      </c>
      <c r="AL32">
        <v>205</v>
      </c>
      <c r="AM32">
        <v>155</v>
      </c>
      <c r="AN32">
        <v>87</v>
      </c>
      <c r="AO32">
        <v>6</v>
      </c>
      <c r="AP32">
        <v>1</v>
      </c>
      <c r="AQ32">
        <v>0</v>
      </c>
      <c r="AR32">
        <v>34.203592815</v>
      </c>
      <c r="AS32">
        <v>31.872255490000001</v>
      </c>
      <c r="AT32">
        <v>2.231536926</v>
      </c>
      <c r="AU32">
        <v>9.9800398999999998E-2</v>
      </c>
      <c r="AV32">
        <v>31.489021960000002</v>
      </c>
      <c r="AW32">
        <v>18.279441120000001</v>
      </c>
      <c r="AX32">
        <v>13.209580839999999</v>
      </c>
      <c r="AY32">
        <v>13.301397209999999</v>
      </c>
      <c r="AZ32">
        <v>13.301397209999999</v>
      </c>
      <c r="BA32">
        <v>20.451097802</v>
      </c>
      <c r="BB32">
        <v>12.69061876</v>
      </c>
      <c r="BC32">
        <v>7.760479042</v>
      </c>
      <c r="BD32">
        <v>0.15968063900000001</v>
      </c>
      <c r="BE32">
        <v>8.7824350999999995E-2</v>
      </c>
      <c r="BF32">
        <v>8.7824350999999995E-2</v>
      </c>
      <c r="BG32">
        <v>0.28343313399999998</v>
      </c>
      <c r="BH32">
        <v>2.3952095999999999E-2</v>
      </c>
      <c r="BI32">
        <v>99.999999996</v>
      </c>
      <c r="BJ32">
        <v>34.448290989999997</v>
      </c>
      <c r="BK32">
        <v>32.614949529999997</v>
      </c>
      <c r="BL32">
        <v>1.83334146</v>
      </c>
      <c r="BM32">
        <v>31.196060269999997</v>
      </c>
      <c r="BN32">
        <v>16.660978109999999</v>
      </c>
      <c r="BO32">
        <v>14.53508216</v>
      </c>
      <c r="BP32">
        <v>21.741674387</v>
      </c>
      <c r="BQ32">
        <v>13.223462870000001</v>
      </c>
      <c r="BR32">
        <v>8.5182115169999992</v>
      </c>
      <c r="BS32">
        <v>12.5847189</v>
      </c>
      <c r="BT32">
        <v>12.5847189</v>
      </c>
      <c r="BU32">
        <v>2.9255448999999999E-2</v>
      </c>
      <c r="BV32">
        <v>99.999999999999986</v>
      </c>
      <c r="BW32">
        <v>35.325670502999998</v>
      </c>
      <c r="BX32">
        <v>28.314176249999999</v>
      </c>
      <c r="BY32">
        <v>7.0114942530000004</v>
      </c>
      <c r="BZ32">
        <v>27.62452107</v>
      </c>
      <c r="CA32">
        <v>15.05747126</v>
      </c>
      <c r="CB32">
        <v>12.56704981</v>
      </c>
      <c r="CC32">
        <v>23.831417627</v>
      </c>
      <c r="CD32">
        <v>17.164750959999999</v>
      </c>
      <c r="CE32">
        <v>6.6666666670000003</v>
      </c>
      <c r="CF32">
        <v>13.2183908</v>
      </c>
      <c r="CG32">
        <v>13.2183908</v>
      </c>
      <c r="CH32">
        <v>99.999999999000011</v>
      </c>
      <c r="CI32">
        <v>39.823925430000003</v>
      </c>
      <c r="CJ32">
        <v>39.823925430000003</v>
      </c>
      <c r="CK32">
        <v>21.025375449999999</v>
      </c>
      <c r="CL32">
        <v>21.025375449999999</v>
      </c>
      <c r="CM32">
        <v>30.088037286000002</v>
      </c>
      <c r="CN32">
        <v>28.793371310000001</v>
      </c>
      <c r="CO32">
        <v>1.2946659760000001</v>
      </c>
      <c r="CP32">
        <v>2.17503884</v>
      </c>
      <c r="CQ32">
        <v>0.98394614199999997</v>
      </c>
      <c r="CR32">
        <v>1.1910926980000001</v>
      </c>
      <c r="CS32">
        <v>2.0714655620000002</v>
      </c>
      <c r="CT32">
        <v>1.1393060589999999</v>
      </c>
      <c r="CU32">
        <v>1.1393060589999999</v>
      </c>
      <c r="CV32">
        <v>3.6768513719999998</v>
      </c>
      <c r="CW32">
        <v>0</v>
      </c>
      <c r="CX32">
        <v>99.438033122999997</v>
      </c>
      <c r="CY32">
        <v>41.936778726999997</v>
      </c>
      <c r="CZ32">
        <v>39.548419469999999</v>
      </c>
      <c r="DA32">
        <v>2.3883592569999998</v>
      </c>
      <c r="DB32">
        <v>23.582538889999999</v>
      </c>
      <c r="DC32">
        <v>11.098845960999999</v>
      </c>
      <c r="DD32">
        <v>5.1781234319999996</v>
      </c>
      <c r="DE32">
        <v>5.9207225289999998</v>
      </c>
      <c r="DF32">
        <v>13.96889112</v>
      </c>
      <c r="DG32">
        <v>8.0983442050000001</v>
      </c>
      <c r="DH32" t="s">
        <v>69</v>
      </c>
      <c r="DI32">
        <v>0.31108881100000002</v>
      </c>
      <c r="DJ32">
        <v>0.441545409</v>
      </c>
      <c r="DK32">
        <v>0.441545409</v>
      </c>
      <c r="DL32">
        <v>0</v>
      </c>
      <c r="DM32">
        <v>99.999999996</v>
      </c>
      <c r="DN32">
        <v>41.83685243</v>
      </c>
      <c r="DO32">
        <v>41.83685243</v>
      </c>
      <c r="DP32">
        <v>0</v>
      </c>
      <c r="DQ32">
        <v>23.249105799999999</v>
      </c>
      <c r="DR32">
        <v>23.249105799999999</v>
      </c>
      <c r="DS32">
        <v>11.27264336</v>
      </c>
      <c r="DT32">
        <v>5.5382485289999996</v>
      </c>
      <c r="DU32">
        <v>5.7343948310000004</v>
      </c>
      <c r="DV32">
        <v>15.96861659</v>
      </c>
      <c r="DW32">
        <v>7.6727818159999996</v>
      </c>
      <c r="DX32" t="s">
        <v>69</v>
      </c>
      <c r="DY32">
        <v>0</v>
      </c>
      <c r="DZ32">
        <v>100.00000000700001</v>
      </c>
      <c r="EA32">
        <v>39.61538462</v>
      </c>
      <c r="EB32">
        <v>39.61538462</v>
      </c>
      <c r="EC32">
        <v>23.653846149</v>
      </c>
      <c r="ED32">
        <v>5.769230769</v>
      </c>
      <c r="EE32">
        <v>17.88461538</v>
      </c>
      <c r="EF32">
        <v>15.57692308</v>
      </c>
      <c r="EG32">
        <v>15.57692308</v>
      </c>
      <c r="EH32">
        <v>19.61538462</v>
      </c>
      <c r="EI32">
        <v>1.538461538</v>
      </c>
      <c r="EJ32" t="s">
        <v>69</v>
      </c>
      <c r="EK32">
        <v>99.999999993000003</v>
      </c>
      <c r="EL32">
        <v>60.668380460000002</v>
      </c>
      <c r="EM32">
        <v>30.077120820000001</v>
      </c>
      <c r="EN32">
        <v>30.591259640000001</v>
      </c>
      <c r="EO32">
        <v>16.58097686</v>
      </c>
      <c r="EP32">
        <v>16.58097686</v>
      </c>
      <c r="EQ32">
        <v>7.1979434449999999</v>
      </c>
      <c r="ER32">
        <v>5.1413881750000003</v>
      </c>
      <c r="ES32">
        <v>3.9845758349999998</v>
      </c>
      <c r="ET32">
        <v>0.77120822600000005</v>
      </c>
      <c r="EU32">
        <v>0.77120822600000005</v>
      </c>
      <c r="EV32">
        <v>5.6555269920000004</v>
      </c>
      <c r="EW32">
        <v>5.6555269920000004</v>
      </c>
      <c r="EX32">
        <v>0</v>
      </c>
      <c r="EY32">
        <v>25050</v>
      </c>
      <c r="EZ32">
        <v>7984</v>
      </c>
      <c r="FA32">
        <v>559</v>
      </c>
      <c r="FB32">
        <v>25</v>
      </c>
      <c r="FC32">
        <v>4579</v>
      </c>
      <c r="FD32">
        <v>3309</v>
      </c>
      <c r="FE32">
        <v>3332</v>
      </c>
      <c r="FF32">
        <v>3179</v>
      </c>
      <c r="FG32">
        <v>1944</v>
      </c>
      <c r="FH32">
        <v>40</v>
      </c>
      <c r="FI32">
        <v>22</v>
      </c>
      <c r="FJ32">
        <v>71</v>
      </c>
      <c r="FK32">
        <v>6</v>
      </c>
      <c r="FL32">
        <v>20509</v>
      </c>
      <c r="FM32">
        <v>6689</v>
      </c>
      <c r="FN32">
        <v>376</v>
      </c>
      <c r="FO32">
        <v>3417</v>
      </c>
      <c r="FP32">
        <v>2981</v>
      </c>
      <c r="FQ32">
        <v>2712</v>
      </c>
      <c r="FR32">
        <v>1747</v>
      </c>
      <c r="FS32">
        <v>2581</v>
      </c>
      <c r="FT32">
        <v>6</v>
      </c>
      <c r="FU32">
        <v>2610</v>
      </c>
      <c r="FV32">
        <v>739</v>
      </c>
      <c r="FW32">
        <v>183</v>
      </c>
      <c r="FX32" t="s">
        <v>69</v>
      </c>
      <c r="FY32">
        <v>393</v>
      </c>
      <c r="FZ32">
        <v>328</v>
      </c>
      <c r="GA32">
        <v>448</v>
      </c>
      <c r="GB32">
        <v>174</v>
      </c>
      <c r="GC32">
        <v>345</v>
      </c>
      <c r="GD32">
        <v>1931</v>
      </c>
      <c r="GE32">
        <v>769</v>
      </c>
      <c r="GF32">
        <v>406</v>
      </c>
      <c r="GG32">
        <v>556</v>
      </c>
      <c r="GH32">
        <v>25</v>
      </c>
      <c r="GI32">
        <v>19</v>
      </c>
      <c r="GJ32">
        <v>23</v>
      </c>
      <c r="GK32">
        <v>40</v>
      </c>
      <c r="GL32">
        <v>22</v>
      </c>
      <c r="GM32">
        <v>71</v>
      </c>
      <c r="GN32">
        <v>0</v>
      </c>
      <c r="GO32">
        <v>9965</v>
      </c>
      <c r="GP32">
        <v>3941</v>
      </c>
      <c r="GQ32">
        <v>238</v>
      </c>
      <c r="GR32">
        <v>2350</v>
      </c>
      <c r="GS32">
        <v>516</v>
      </c>
      <c r="GT32">
        <v>590</v>
      </c>
      <c r="GU32">
        <v>1392</v>
      </c>
      <c r="GV32">
        <v>807</v>
      </c>
      <c r="GW32">
        <v>665</v>
      </c>
      <c r="GX32">
        <v>102</v>
      </c>
      <c r="GY32">
        <v>40</v>
      </c>
      <c r="GZ32" t="s">
        <v>69</v>
      </c>
      <c r="HA32">
        <v>31</v>
      </c>
      <c r="HB32">
        <v>44</v>
      </c>
      <c r="HC32">
        <v>0</v>
      </c>
      <c r="HD32">
        <v>8667</v>
      </c>
      <c r="HE32">
        <v>3626</v>
      </c>
      <c r="HF32">
        <v>0</v>
      </c>
      <c r="HG32">
        <v>2015</v>
      </c>
      <c r="HH32">
        <v>480</v>
      </c>
      <c r="HI32">
        <v>497</v>
      </c>
      <c r="HJ32">
        <v>1384</v>
      </c>
      <c r="HK32">
        <v>665</v>
      </c>
      <c r="HL32" t="s">
        <v>69</v>
      </c>
      <c r="HM32">
        <v>0</v>
      </c>
      <c r="HN32">
        <v>520</v>
      </c>
      <c r="HO32">
        <v>206</v>
      </c>
      <c r="HP32">
        <v>30</v>
      </c>
      <c r="HQ32">
        <v>93</v>
      </c>
      <c r="HR32">
        <v>81</v>
      </c>
      <c r="HS32">
        <v>102</v>
      </c>
      <c r="HT32">
        <v>8</v>
      </c>
      <c r="HU32" t="s">
        <v>69</v>
      </c>
      <c r="HV32">
        <v>778</v>
      </c>
      <c r="HW32">
        <v>234</v>
      </c>
      <c r="HX32">
        <v>238</v>
      </c>
      <c r="HY32">
        <v>129</v>
      </c>
      <c r="HZ32">
        <v>56</v>
      </c>
      <c r="IA32">
        <v>40</v>
      </c>
      <c r="IB32">
        <v>31</v>
      </c>
      <c r="IC32">
        <v>6</v>
      </c>
      <c r="ID32">
        <v>44</v>
      </c>
      <c r="IE32">
        <v>0</v>
      </c>
      <c r="IG32">
        <v>62.394050999999997</v>
      </c>
    </row>
    <row r="33" spans="1:241" x14ac:dyDescent="0.25">
      <c r="A33" t="s">
        <v>60</v>
      </c>
      <c r="B33">
        <v>8.768554151</v>
      </c>
      <c r="C33">
        <v>19.2413414</v>
      </c>
      <c r="D33">
        <v>24.84881803</v>
      </c>
      <c r="E33">
        <v>29.38427708</v>
      </c>
      <c r="F33">
        <v>8.768554151</v>
      </c>
      <c r="G33">
        <v>7.8064870810000002</v>
      </c>
      <c r="H33">
        <v>0.247388675</v>
      </c>
      <c r="I33">
        <v>0.71467839499999997</v>
      </c>
      <c r="J33">
        <v>8.2462891999999996E-2</v>
      </c>
      <c r="K33">
        <v>0.13743815300000001</v>
      </c>
      <c r="L33">
        <v>26</v>
      </c>
      <c r="M33">
        <v>3638</v>
      </c>
      <c r="N33">
        <v>319</v>
      </c>
      <c r="O33">
        <v>700</v>
      </c>
      <c r="P33">
        <v>904</v>
      </c>
      <c r="Q33">
        <v>1069</v>
      </c>
      <c r="R33">
        <v>319</v>
      </c>
      <c r="S33">
        <v>284</v>
      </c>
      <c r="T33">
        <v>9</v>
      </c>
      <c r="U33">
        <v>26</v>
      </c>
      <c r="V33">
        <v>3</v>
      </c>
      <c r="W33">
        <v>5</v>
      </c>
      <c r="X33">
        <v>1461</v>
      </c>
      <c r="Y33">
        <v>242</v>
      </c>
      <c r="Z33">
        <v>446</v>
      </c>
      <c r="AA33">
        <v>450</v>
      </c>
      <c r="AB33">
        <v>216</v>
      </c>
      <c r="AC33">
        <v>56</v>
      </c>
      <c r="AD33">
        <v>16</v>
      </c>
      <c r="AE33">
        <v>4</v>
      </c>
      <c r="AF33">
        <v>26</v>
      </c>
      <c r="AG33">
        <v>5</v>
      </c>
      <c r="AH33">
        <v>2177</v>
      </c>
      <c r="AI33">
        <v>853</v>
      </c>
      <c r="AJ33">
        <v>454</v>
      </c>
      <c r="AK33">
        <v>303</v>
      </c>
      <c r="AL33">
        <v>254</v>
      </c>
      <c r="AM33">
        <v>228</v>
      </c>
      <c r="AN33">
        <v>77</v>
      </c>
      <c r="AO33">
        <v>5</v>
      </c>
      <c r="AP33">
        <v>3</v>
      </c>
      <c r="AQ33">
        <v>0</v>
      </c>
      <c r="AR33">
        <v>34.717924306</v>
      </c>
      <c r="AS33">
        <v>32.293898280000001</v>
      </c>
      <c r="AT33">
        <v>2.4160914070000001</v>
      </c>
      <c r="AU33">
        <v>7.9346190000000004E-3</v>
      </c>
      <c r="AV33">
        <v>28.39403317</v>
      </c>
      <c r="AW33">
        <v>16.210426089999999</v>
      </c>
      <c r="AX33">
        <v>12.18360708</v>
      </c>
      <c r="AY33">
        <v>15.008331350000001</v>
      </c>
      <c r="AZ33">
        <v>15.008331350000001</v>
      </c>
      <c r="BA33">
        <v>21.189399344999998</v>
      </c>
      <c r="BB33">
        <v>13.342061409999999</v>
      </c>
      <c r="BC33">
        <v>7.8473379349999997</v>
      </c>
      <c r="BD33">
        <v>0.20630008699999999</v>
      </c>
      <c r="BE33">
        <v>0.115051972</v>
      </c>
      <c r="BF33">
        <v>0.115051972</v>
      </c>
      <c r="BG33">
        <v>0.36499246200000002</v>
      </c>
      <c r="BH33">
        <v>3.9673089999999996E-3</v>
      </c>
      <c r="BI33">
        <v>99.999999999000011</v>
      </c>
      <c r="BJ33">
        <v>34.821601704999999</v>
      </c>
      <c r="BK33">
        <v>32.848555359999999</v>
      </c>
      <c r="BL33">
        <v>1.973046345</v>
      </c>
      <c r="BM33">
        <v>27.845646690000002</v>
      </c>
      <c r="BN33">
        <v>14.31064572</v>
      </c>
      <c r="BO33">
        <v>13.53500097</v>
      </c>
      <c r="BP33">
        <v>22.430676754</v>
      </c>
      <c r="BQ33">
        <v>13.932518910000001</v>
      </c>
      <c r="BR33">
        <v>8.4981578439999996</v>
      </c>
      <c r="BS33">
        <v>14.89722707</v>
      </c>
      <c r="BT33">
        <v>14.89722707</v>
      </c>
      <c r="BU33">
        <v>4.8477800000000003E-3</v>
      </c>
      <c r="BV33">
        <v>99.99999999100001</v>
      </c>
      <c r="BW33">
        <v>40.972222219000002</v>
      </c>
      <c r="BX33">
        <v>33.958333330000002</v>
      </c>
      <c r="BY33">
        <v>7.0138888890000004</v>
      </c>
      <c r="BZ33">
        <v>24.82638889</v>
      </c>
      <c r="CA33">
        <v>15.13888889</v>
      </c>
      <c r="CB33">
        <v>9.6875</v>
      </c>
      <c r="CC33">
        <v>23.506944442000002</v>
      </c>
      <c r="CD33">
        <v>15.972222220000001</v>
      </c>
      <c r="CE33">
        <v>7.5347222220000001</v>
      </c>
      <c r="CF33">
        <v>10.69444444</v>
      </c>
      <c r="CG33">
        <v>10.69444444</v>
      </c>
      <c r="CH33">
        <v>99.999999996000014</v>
      </c>
      <c r="CI33">
        <v>41.107184920000002</v>
      </c>
      <c r="CJ33">
        <v>41.107184920000002</v>
      </c>
      <c r="CK33">
        <v>23.674911659999999</v>
      </c>
      <c r="CL33">
        <v>23.674911659999999</v>
      </c>
      <c r="CM33">
        <v>22.850412250000002</v>
      </c>
      <c r="CN33">
        <v>22.732626620000001</v>
      </c>
      <c r="CO33">
        <v>0.11778563</v>
      </c>
      <c r="CP33">
        <v>2.1790341579999999</v>
      </c>
      <c r="CQ33">
        <v>1.7078916369999999</v>
      </c>
      <c r="CR33">
        <v>0.47114252099999998</v>
      </c>
      <c r="CS33">
        <v>3.0624263840000001</v>
      </c>
      <c r="CT33">
        <v>1.7078916369999999</v>
      </c>
      <c r="CU33">
        <v>1.7078916369999999</v>
      </c>
      <c r="CV33">
        <v>5.4181389869999999</v>
      </c>
      <c r="CW33">
        <v>0</v>
      </c>
      <c r="CX33">
        <v>99.359985967999989</v>
      </c>
      <c r="CY33">
        <v>37.839733471999999</v>
      </c>
      <c r="CZ33">
        <v>36.130106959999999</v>
      </c>
      <c r="DA33">
        <v>1.709626512</v>
      </c>
      <c r="DB33">
        <v>25.048220229999998</v>
      </c>
      <c r="DC33">
        <v>8.8286866569999987</v>
      </c>
      <c r="DD33">
        <v>4.1995440999999998</v>
      </c>
      <c r="DE33">
        <v>4.6291425569999998</v>
      </c>
      <c r="DF33">
        <v>14.51867438</v>
      </c>
      <c r="DG33">
        <v>12.274241630000001</v>
      </c>
      <c r="DH33" t="s">
        <v>69</v>
      </c>
      <c r="DI33">
        <v>0.35069261800000001</v>
      </c>
      <c r="DJ33">
        <v>0.49973698100000002</v>
      </c>
      <c r="DK33">
        <v>0.49973698100000002</v>
      </c>
      <c r="DL33">
        <v>0</v>
      </c>
      <c r="DM33">
        <v>99.999999994999996</v>
      </c>
      <c r="DN33">
        <v>37.783841729999999</v>
      </c>
      <c r="DO33">
        <v>37.783841729999999</v>
      </c>
      <c r="DP33">
        <v>0</v>
      </c>
      <c r="DQ33">
        <v>25.182730729999999</v>
      </c>
      <c r="DR33">
        <v>25.182730729999999</v>
      </c>
      <c r="DS33">
        <v>8.7613293050000003</v>
      </c>
      <c r="DT33">
        <v>4.1418965009999997</v>
      </c>
      <c r="DU33">
        <v>4.6194328039999997</v>
      </c>
      <c r="DV33">
        <v>16.012084590000001</v>
      </c>
      <c r="DW33">
        <v>12.26001364</v>
      </c>
      <c r="DX33" t="s">
        <v>69</v>
      </c>
      <c r="DY33">
        <v>0</v>
      </c>
      <c r="DZ33">
        <v>99.999999997000003</v>
      </c>
      <c r="EA33">
        <v>36.18538324</v>
      </c>
      <c r="EB33">
        <v>36.18538324</v>
      </c>
      <c r="EC33">
        <v>17.468805704000001</v>
      </c>
      <c r="ED33">
        <v>7.8431372550000003</v>
      </c>
      <c r="EE33">
        <v>9.6256684490000008</v>
      </c>
      <c r="EF33">
        <v>28.163992870000001</v>
      </c>
      <c r="EG33">
        <v>28.163992870000001</v>
      </c>
      <c r="EH33">
        <v>15.86452763</v>
      </c>
      <c r="EI33">
        <v>2.3172905529999999</v>
      </c>
      <c r="EJ33" t="s">
        <v>69</v>
      </c>
      <c r="EK33">
        <v>100.00000000399999</v>
      </c>
      <c r="EL33">
        <v>48.116438359999997</v>
      </c>
      <c r="EM33">
        <v>14.7260274</v>
      </c>
      <c r="EN33">
        <v>33.390410959999997</v>
      </c>
      <c r="EO33">
        <v>11.98630137</v>
      </c>
      <c r="EP33">
        <v>11.98630137</v>
      </c>
      <c r="EQ33">
        <v>12.5</v>
      </c>
      <c r="ER33">
        <v>9.0753424660000004</v>
      </c>
      <c r="ES33">
        <v>6.8493150680000001</v>
      </c>
      <c r="ET33">
        <v>1.712328767</v>
      </c>
      <c r="EU33">
        <v>1.712328767</v>
      </c>
      <c r="EV33">
        <v>9.7602739730000003</v>
      </c>
      <c r="EW33">
        <v>9.7602739730000003</v>
      </c>
      <c r="EX33">
        <v>0</v>
      </c>
      <c r="EY33">
        <v>25206</v>
      </c>
      <c r="EZ33">
        <v>8140</v>
      </c>
      <c r="FA33">
        <v>609</v>
      </c>
      <c r="FB33">
        <v>2</v>
      </c>
      <c r="FC33">
        <v>4086</v>
      </c>
      <c r="FD33">
        <v>3071</v>
      </c>
      <c r="FE33">
        <v>3783</v>
      </c>
      <c r="FF33">
        <v>3363</v>
      </c>
      <c r="FG33">
        <v>1978</v>
      </c>
      <c r="FH33">
        <v>52</v>
      </c>
      <c r="FI33">
        <v>29</v>
      </c>
      <c r="FJ33">
        <v>92</v>
      </c>
      <c r="FK33">
        <v>1</v>
      </c>
      <c r="FL33">
        <v>20628</v>
      </c>
      <c r="FM33">
        <v>6776</v>
      </c>
      <c r="FN33">
        <v>407</v>
      </c>
      <c r="FO33">
        <v>2952</v>
      </c>
      <c r="FP33">
        <v>2792</v>
      </c>
      <c r="FQ33">
        <v>2874</v>
      </c>
      <c r="FR33">
        <v>1753</v>
      </c>
      <c r="FS33">
        <v>3073</v>
      </c>
      <c r="FT33">
        <v>1</v>
      </c>
      <c r="FU33">
        <v>2880</v>
      </c>
      <c r="FV33">
        <v>978</v>
      </c>
      <c r="FW33">
        <v>202</v>
      </c>
      <c r="FX33" t="s">
        <v>69</v>
      </c>
      <c r="FY33">
        <v>436</v>
      </c>
      <c r="FZ33">
        <v>279</v>
      </c>
      <c r="GA33">
        <v>460</v>
      </c>
      <c r="GB33">
        <v>217</v>
      </c>
      <c r="GC33">
        <v>308</v>
      </c>
      <c r="GD33">
        <v>1698</v>
      </c>
      <c r="GE33">
        <v>698</v>
      </c>
      <c r="GF33">
        <v>402</v>
      </c>
      <c r="GG33">
        <v>386</v>
      </c>
      <c r="GH33">
        <v>2</v>
      </c>
      <c r="GI33">
        <v>29</v>
      </c>
      <c r="GJ33">
        <v>8</v>
      </c>
      <c r="GK33">
        <v>52</v>
      </c>
      <c r="GL33">
        <v>29</v>
      </c>
      <c r="GM33">
        <v>92</v>
      </c>
      <c r="GN33">
        <v>0</v>
      </c>
      <c r="GO33">
        <v>11406</v>
      </c>
      <c r="GP33">
        <v>4121</v>
      </c>
      <c r="GQ33">
        <v>195</v>
      </c>
      <c r="GR33">
        <v>2857</v>
      </c>
      <c r="GS33">
        <v>479</v>
      </c>
      <c r="GT33">
        <v>528</v>
      </c>
      <c r="GU33">
        <v>1656</v>
      </c>
      <c r="GV33">
        <v>1400</v>
      </c>
      <c r="GW33">
        <v>1258</v>
      </c>
      <c r="GX33">
        <v>89</v>
      </c>
      <c r="GY33">
        <v>53</v>
      </c>
      <c r="GZ33" t="s">
        <v>69</v>
      </c>
      <c r="HA33">
        <v>40</v>
      </c>
      <c r="HB33">
        <v>57</v>
      </c>
      <c r="HC33">
        <v>0</v>
      </c>
      <c r="HD33">
        <v>10261</v>
      </c>
      <c r="HE33">
        <v>3877</v>
      </c>
      <c r="HF33">
        <v>0</v>
      </c>
      <c r="HG33">
        <v>2584</v>
      </c>
      <c r="HH33">
        <v>425</v>
      </c>
      <c r="HI33">
        <v>474</v>
      </c>
      <c r="HJ33">
        <v>1643</v>
      </c>
      <c r="HK33">
        <v>1258</v>
      </c>
      <c r="HL33" t="s">
        <v>69</v>
      </c>
      <c r="HM33">
        <v>0</v>
      </c>
      <c r="HN33">
        <v>561</v>
      </c>
      <c r="HO33">
        <v>203</v>
      </c>
      <c r="HP33">
        <v>44</v>
      </c>
      <c r="HQ33">
        <v>54</v>
      </c>
      <c r="HR33">
        <v>158</v>
      </c>
      <c r="HS33">
        <v>89</v>
      </c>
      <c r="HT33">
        <v>13</v>
      </c>
      <c r="HU33" t="s">
        <v>69</v>
      </c>
      <c r="HV33">
        <v>584</v>
      </c>
      <c r="HW33">
        <v>86</v>
      </c>
      <c r="HX33">
        <v>195</v>
      </c>
      <c r="HY33">
        <v>70</v>
      </c>
      <c r="HZ33">
        <v>73</v>
      </c>
      <c r="IA33">
        <v>53</v>
      </c>
      <c r="IB33">
        <v>40</v>
      </c>
      <c r="IC33">
        <v>10</v>
      </c>
      <c r="ID33">
        <v>57</v>
      </c>
      <c r="IE33">
        <v>0</v>
      </c>
      <c r="IG33">
        <v>66.316055000000006</v>
      </c>
    </row>
    <row r="34" spans="1:241" x14ac:dyDescent="0.25">
      <c r="A34" t="s">
        <v>61</v>
      </c>
      <c r="B34">
        <v>12.18922652</v>
      </c>
      <c r="C34">
        <v>17.679558010000001</v>
      </c>
      <c r="D34">
        <v>22.790055250000002</v>
      </c>
      <c r="E34">
        <v>27.55524862</v>
      </c>
      <c r="F34">
        <v>11.740331490000001</v>
      </c>
      <c r="G34">
        <v>6.3535911599999997</v>
      </c>
      <c r="H34">
        <v>0.41436464099999998</v>
      </c>
      <c r="I34">
        <v>0.79419889499999996</v>
      </c>
      <c r="J34">
        <v>6.9060773000000006E-2</v>
      </c>
      <c r="K34">
        <v>0.41436464099999998</v>
      </c>
      <c r="L34">
        <v>23</v>
      </c>
      <c r="M34">
        <v>2896</v>
      </c>
      <c r="N34">
        <v>353</v>
      </c>
      <c r="O34">
        <v>512</v>
      </c>
      <c r="P34">
        <v>660</v>
      </c>
      <c r="Q34">
        <v>798</v>
      </c>
      <c r="R34">
        <v>340</v>
      </c>
      <c r="S34">
        <v>184</v>
      </c>
      <c r="T34">
        <v>12</v>
      </c>
      <c r="U34">
        <v>23</v>
      </c>
      <c r="V34">
        <v>2</v>
      </c>
      <c r="W34">
        <v>12</v>
      </c>
      <c r="X34">
        <v>1061</v>
      </c>
      <c r="Y34">
        <v>299</v>
      </c>
      <c r="Z34">
        <v>255</v>
      </c>
      <c r="AA34">
        <v>240</v>
      </c>
      <c r="AB34">
        <v>154</v>
      </c>
      <c r="AC34">
        <v>57</v>
      </c>
      <c r="AD34">
        <v>21</v>
      </c>
      <c r="AE34">
        <v>0</v>
      </c>
      <c r="AF34">
        <v>23</v>
      </c>
      <c r="AG34">
        <v>12</v>
      </c>
      <c r="AH34">
        <v>1835</v>
      </c>
      <c r="AI34">
        <v>644</v>
      </c>
      <c r="AJ34">
        <v>420</v>
      </c>
      <c r="AK34">
        <v>319</v>
      </c>
      <c r="AL34">
        <v>257</v>
      </c>
      <c r="AM34">
        <v>127</v>
      </c>
      <c r="AN34">
        <v>54</v>
      </c>
      <c r="AO34">
        <v>12</v>
      </c>
      <c r="AP34">
        <v>2</v>
      </c>
      <c r="AQ34">
        <v>0</v>
      </c>
      <c r="AR34">
        <v>39.076270012000002</v>
      </c>
      <c r="AS34">
        <v>36.829234530000001</v>
      </c>
      <c r="AT34">
        <v>2.219351267</v>
      </c>
      <c r="AU34">
        <v>2.7684215000000002E-2</v>
      </c>
      <c r="AV34">
        <v>29.617496419999998</v>
      </c>
      <c r="AW34">
        <v>17.408757439999999</v>
      </c>
      <c r="AX34">
        <v>12.20873898</v>
      </c>
      <c r="AY34">
        <v>11.742721360000001</v>
      </c>
      <c r="AZ34">
        <v>11.742721360000001</v>
      </c>
      <c r="BA34">
        <v>18.811424352</v>
      </c>
      <c r="BB34">
        <v>12.605546070000001</v>
      </c>
      <c r="BC34">
        <v>6.2058782819999996</v>
      </c>
      <c r="BD34">
        <v>0.226087759</v>
      </c>
      <c r="BE34">
        <v>0.124578969</v>
      </c>
      <c r="BF34">
        <v>0.124578969</v>
      </c>
      <c r="BG34">
        <v>0.396807087</v>
      </c>
      <c r="BH34">
        <v>4.6140360000000002E-3</v>
      </c>
      <c r="BI34">
        <v>99.999999998999996</v>
      </c>
      <c r="BJ34">
        <v>41.161616158999998</v>
      </c>
      <c r="BK34">
        <v>39.292929289999996</v>
      </c>
      <c r="BL34">
        <v>1.868686869</v>
      </c>
      <c r="BM34">
        <v>28.98428732</v>
      </c>
      <c r="BN34">
        <v>15.123456790000001</v>
      </c>
      <c r="BO34">
        <v>13.860830529999999</v>
      </c>
      <c r="BP34">
        <v>19.175084177999999</v>
      </c>
      <c r="BQ34">
        <v>12.407407409999999</v>
      </c>
      <c r="BR34">
        <v>6.7676767680000003</v>
      </c>
      <c r="BS34">
        <v>10.673400669999999</v>
      </c>
      <c r="BT34">
        <v>10.673400669999999</v>
      </c>
      <c r="BU34">
        <v>5.6116719999999998E-3</v>
      </c>
      <c r="BV34">
        <v>99.999999990999996</v>
      </c>
      <c r="BW34">
        <v>37.249143414000002</v>
      </c>
      <c r="BX34">
        <v>30.004894759999999</v>
      </c>
      <c r="BY34">
        <v>7.2442486539999997</v>
      </c>
      <c r="BZ34">
        <v>25.403817912999997</v>
      </c>
      <c r="CA34">
        <v>16.789035729999998</v>
      </c>
      <c r="CB34">
        <v>8.6147821830000009</v>
      </c>
      <c r="CC34">
        <v>24.278022514</v>
      </c>
      <c r="CD34">
        <v>18.89378365</v>
      </c>
      <c r="CE34">
        <v>5.3842388640000003</v>
      </c>
      <c r="CF34">
        <v>13.069016149999999</v>
      </c>
      <c r="CG34">
        <v>13.069016149999999</v>
      </c>
      <c r="CH34">
        <v>99.999999996</v>
      </c>
      <c r="CI34">
        <v>40.607734809999997</v>
      </c>
      <c r="CJ34">
        <v>40.607734809999997</v>
      </c>
      <c r="CK34">
        <v>20.773480660000001</v>
      </c>
      <c r="CL34">
        <v>20.773480660000001</v>
      </c>
      <c r="CM34">
        <v>20.607734803</v>
      </c>
      <c r="CN34">
        <v>20.276243090000001</v>
      </c>
      <c r="CO34">
        <v>0.33149171300000002</v>
      </c>
      <c r="CP34">
        <v>9.060773481</v>
      </c>
      <c r="CQ34">
        <v>7.4585635359999998</v>
      </c>
      <c r="CR34">
        <v>1.602209945</v>
      </c>
      <c r="CS34">
        <v>2.7071823199999998</v>
      </c>
      <c r="CT34">
        <v>1.491712707</v>
      </c>
      <c r="CU34">
        <v>1.491712707</v>
      </c>
      <c r="CV34">
        <v>4.7513812150000003</v>
      </c>
      <c r="CW34">
        <v>0</v>
      </c>
      <c r="CX34">
        <v>99.247787610000003</v>
      </c>
      <c r="CY34">
        <v>41.106194689000006</v>
      </c>
      <c r="CZ34">
        <v>39.424778760000002</v>
      </c>
      <c r="DA34">
        <v>1.6814159289999999</v>
      </c>
      <c r="DB34">
        <v>24.988938050000002</v>
      </c>
      <c r="DC34">
        <v>8.4955752219999994</v>
      </c>
      <c r="DD34">
        <v>4.3584070800000001</v>
      </c>
      <c r="DE34">
        <v>4.1371681420000002</v>
      </c>
      <c r="DF34">
        <v>15.01106195</v>
      </c>
      <c r="DG34">
        <v>8.6283185840000005</v>
      </c>
      <c r="DH34" t="s">
        <v>69</v>
      </c>
      <c r="DI34">
        <v>0.42035398200000001</v>
      </c>
      <c r="DJ34">
        <v>0.59734513300000003</v>
      </c>
      <c r="DK34">
        <v>0.59734513300000003</v>
      </c>
      <c r="DL34">
        <v>0</v>
      </c>
      <c r="DM34">
        <v>100.000000004</v>
      </c>
      <c r="DN34">
        <v>40.292855340000003</v>
      </c>
      <c r="DO34">
        <v>40.292855340000003</v>
      </c>
      <c r="DP34">
        <v>0</v>
      </c>
      <c r="DQ34">
        <v>25.612219140000001</v>
      </c>
      <c r="DR34">
        <v>25.612219140000001</v>
      </c>
      <c r="DS34">
        <v>8.634183286999999</v>
      </c>
      <c r="DT34">
        <v>4.4306993180000003</v>
      </c>
      <c r="DU34">
        <v>4.2034839689999997</v>
      </c>
      <c r="DV34">
        <v>17.079020450000002</v>
      </c>
      <c r="DW34">
        <v>8.381721787</v>
      </c>
      <c r="DX34" t="s">
        <v>69</v>
      </c>
      <c r="DY34">
        <v>0</v>
      </c>
      <c r="DZ34">
        <v>100</v>
      </c>
      <c r="EA34">
        <v>21.6796875</v>
      </c>
      <c r="EB34">
        <v>21.6796875</v>
      </c>
      <c r="EC34">
        <v>14.84375</v>
      </c>
      <c r="ED34">
        <v>6.8359375</v>
      </c>
      <c r="EE34">
        <v>8.0078125</v>
      </c>
      <c r="EF34">
        <v>49.609375</v>
      </c>
      <c r="EG34">
        <v>49.609375</v>
      </c>
      <c r="EH34">
        <v>13.0859375</v>
      </c>
      <c r="EI34">
        <v>0.78125</v>
      </c>
      <c r="EJ34" t="s">
        <v>69</v>
      </c>
      <c r="EK34">
        <v>99.999999996</v>
      </c>
      <c r="EL34">
        <v>44.554455439999998</v>
      </c>
      <c r="EM34">
        <v>19.471947190000002</v>
      </c>
      <c r="EN34">
        <v>25.08250825</v>
      </c>
      <c r="EO34">
        <v>19.636963699999999</v>
      </c>
      <c r="EP34">
        <v>19.636963699999999</v>
      </c>
      <c r="EQ34">
        <v>11.22112211</v>
      </c>
      <c r="ER34">
        <v>8.0858085810000002</v>
      </c>
      <c r="ES34">
        <v>6.2706270630000001</v>
      </c>
      <c r="ET34">
        <v>1.320132013</v>
      </c>
      <c r="EU34">
        <v>1.320132013</v>
      </c>
      <c r="EV34">
        <v>8.9108910889999997</v>
      </c>
      <c r="EW34">
        <v>8.9108910889999997</v>
      </c>
      <c r="EX34">
        <v>0</v>
      </c>
      <c r="EY34">
        <v>21673</v>
      </c>
      <c r="EZ34">
        <v>7982</v>
      </c>
      <c r="FA34">
        <v>481</v>
      </c>
      <c r="FB34">
        <v>6</v>
      </c>
      <c r="FC34">
        <v>3773</v>
      </c>
      <c r="FD34">
        <v>2646</v>
      </c>
      <c r="FE34">
        <v>2545</v>
      </c>
      <c r="FF34">
        <v>2732</v>
      </c>
      <c r="FG34">
        <v>1345</v>
      </c>
      <c r="FH34">
        <v>49</v>
      </c>
      <c r="FI34">
        <v>27</v>
      </c>
      <c r="FJ34">
        <v>86</v>
      </c>
      <c r="FK34">
        <v>1</v>
      </c>
      <c r="FL34">
        <v>17820</v>
      </c>
      <c r="FM34">
        <v>7002</v>
      </c>
      <c r="FN34">
        <v>333</v>
      </c>
      <c r="FO34">
        <v>2695</v>
      </c>
      <c r="FP34">
        <v>2470</v>
      </c>
      <c r="FQ34">
        <v>2211</v>
      </c>
      <c r="FR34">
        <v>1206</v>
      </c>
      <c r="FS34">
        <v>1902</v>
      </c>
      <c r="FT34">
        <v>1</v>
      </c>
      <c r="FU34">
        <v>2043</v>
      </c>
      <c r="FV34">
        <v>613</v>
      </c>
      <c r="FW34">
        <v>148</v>
      </c>
      <c r="FX34" t="s">
        <v>69</v>
      </c>
      <c r="FY34">
        <v>343</v>
      </c>
      <c r="FZ34">
        <v>176</v>
      </c>
      <c r="GA34">
        <v>386</v>
      </c>
      <c r="GB34">
        <v>110</v>
      </c>
      <c r="GC34">
        <v>267</v>
      </c>
      <c r="GD34">
        <v>1810</v>
      </c>
      <c r="GE34">
        <v>735</v>
      </c>
      <c r="GF34">
        <v>376</v>
      </c>
      <c r="GG34">
        <v>367</v>
      </c>
      <c r="GH34">
        <v>6</v>
      </c>
      <c r="GI34">
        <v>135</v>
      </c>
      <c r="GJ34">
        <v>29</v>
      </c>
      <c r="GK34">
        <v>49</v>
      </c>
      <c r="GL34">
        <v>27</v>
      </c>
      <c r="GM34">
        <v>86</v>
      </c>
      <c r="GN34">
        <v>0</v>
      </c>
      <c r="GO34">
        <v>9040</v>
      </c>
      <c r="GP34">
        <v>3564</v>
      </c>
      <c r="GQ34">
        <v>152</v>
      </c>
      <c r="GR34">
        <v>2259</v>
      </c>
      <c r="GS34">
        <v>394</v>
      </c>
      <c r="GT34">
        <v>374</v>
      </c>
      <c r="GU34">
        <v>1357</v>
      </c>
      <c r="GV34">
        <v>780</v>
      </c>
      <c r="GW34">
        <v>664</v>
      </c>
      <c r="GX34">
        <v>67</v>
      </c>
      <c r="GY34">
        <v>49</v>
      </c>
      <c r="GZ34" t="s">
        <v>69</v>
      </c>
      <c r="HA34">
        <v>38</v>
      </c>
      <c r="HB34">
        <v>54</v>
      </c>
      <c r="HC34">
        <v>0</v>
      </c>
      <c r="HD34">
        <v>7922</v>
      </c>
      <c r="HE34">
        <v>3192</v>
      </c>
      <c r="HF34">
        <v>0</v>
      </c>
      <c r="HG34">
        <v>2029</v>
      </c>
      <c r="HH34">
        <v>351</v>
      </c>
      <c r="HI34">
        <v>333</v>
      </c>
      <c r="HJ34">
        <v>1353</v>
      </c>
      <c r="HK34">
        <v>664</v>
      </c>
      <c r="HL34" t="s">
        <v>69</v>
      </c>
      <c r="HM34">
        <v>0</v>
      </c>
      <c r="HN34">
        <v>512</v>
      </c>
      <c r="HO34">
        <v>111</v>
      </c>
      <c r="HP34">
        <v>35</v>
      </c>
      <c r="HQ34">
        <v>41</v>
      </c>
      <c r="HR34">
        <v>254</v>
      </c>
      <c r="HS34">
        <v>67</v>
      </c>
      <c r="HT34">
        <v>4</v>
      </c>
      <c r="HU34" t="s">
        <v>69</v>
      </c>
      <c r="HV34">
        <v>606</v>
      </c>
      <c r="HW34">
        <v>118</v>
      </c>
      <c r="HX34">
        <v>152</v>
      </c>
      <c r="HY34">
        <v>119</v>
      </c>
      <c r="HZ34">
        <v>68</v>
      </c>
      <c r="IA34">
        <v>49</v>
      </c>
      <c r="IB34">
        <v>38</v>
      </c>
      <c r="IC34">
        <v>8</v>
      </c>
      <c r="ID34">
        <v>54</v>
      </c>
      <c r="IE34">
        <v>0</v>
      </c>
      <c r="IG34">
        <v>65.823432999999994</v>
      </c>
    </row>
    <row r="35" spans="1:241" x14ac:dyDescent="0.25">
      <c r="A35" t="s">
        <v>62</v>
      </c>
      <c r="B35">
        <v>12.65996344</v>
      </c>
      <c r="C35">
        <v>19.37842779</v>
      </c>
      <c r="D35">
        <v>22.966179159999999</v>
      </c>
      <c r="E35">
        <v>26.439670929999998</v>
      </c>
      <c r="F35">
        <v>11.357404020000001</v>
      </c>
      <c r="G35">
        <v>5.5987202930000004</v>
      </c>
      <c r="H35">
        <v>0.22851919600000001</v>
      </c>
      <c r="I35">
        <v>0.77696526499999996</v>
      </c>
      <c r="J35">
        <v>4.5703839000000003E-2</v>
      </c>
      <c r="K35">
        <v>0.54844606900000004</v>
      </c>
      <c r="L35">
        <v>34</v>
      </c>
      <c r="M35">
        <v>4376</v>
      </c>
      <c r="N35">
        <v>554</v>
      </c>
      <c r="O35">
        <v>848</v>
      </c>
      <c r="P35">
        <v>1005</v>
      </c>
      <c r="Q35">
        <v>1157</v>
      </c>
      <c r="R35">
        <v>497</v>
      </c>
      <c r="S35">
        <v>245</v>
      </c>
      <c r="T35">
        <v>10</v>
      </c>
      <c r="U35">
        <v>34</v>
      </c>
      <c r="V35">
        <v>2</v>
      </c>
      <c r="W35">
        <v>24</v>
      </c>
      <c r="X35">
        <v>1896</v>
      </c>
      <c r="Y35">
        <v>481</v>
      </c>
      <c r="Z35">
        <v>505</v>
      </c>
      <c r="AA35">
        <v>401</v>
      </c>
      <c r="AB35">
        <v>300</v>
      </c>
      <c r="AC35">
        <v>112</v>
      </c>
      <c r="AD35">
        <v>37</v>
      </c>
      <c r="AE35">
        <v>2</v>
      </c>
      <c r="AF35">
        <v>34</v>
      </c>
      <c r="AG35">
        <v>24</v>
      </c>
      <c r="AH35">
        <v>2480</v>
      </c>
      <c r="AI35">
        <v>857</v>
      </c>
      <c r="AJ35">
        <v>604</v>
      </c>
      <c r="AK35">
        <v>460</v>
      </c>
      <c r="AL35">
        <v>343</v>
      </c>
      <c r="AM35">
        <v>133</v>
      </c>
      <c r="AN35">
        <v>73</v>
      </c>
      <c r="AO35">
        <v>8</v>
      </c>
      <c r="AP35">
        <v>2</v>
      </c>
      <c r="AQ35">
        <v>0</v>
      </c>
      <c r="AR35">
        <v>43.479697829999999</v>
      </c>
      <c r="AS35">
        <v>40.797922569999997</v>
      </c>
      <c r="AT35">
        <v>2.360717658</v>
      </c>
      <c r="AU35">
        <v>0.321057602</v>
      </c>
      <c r="AV35">
        <v>26.671388100000001</v>
      </c>
      <c r="AW35">
        <v>14.881964119999999</v>
      </c>
      <c r="AX35">
        <v>11.78942398</v>
      </c>
      <c r="AY35">
        <v>13.432483469999999</v>
      </c>
      <c r="AZ35">
        <v>13.432483469999999</v>
      </c>
      <c r="BA35">
        <v>15.585457979999999</v>
      </c>
      <c r="BB35">
        <v>9.9952785649999996</v>
      </c>
      <c r="BC35">
        <v>5.5901794149999997</v>
      </c>
      <c r="BD35">
        <v>0.24551463600000001</v>
      </c>
      <c r="BE35">
        <v>0.13692162399999999</v>
      </c>
      <c r="BF35">
        <v>0.13692162399999999</v>
      </c>
      <c r="BG35">
        <v>0.43437204899999998</v>
      </c>
      <c r="BH35">
        <v>1.4164306E-2</v>
      </c>
      <c r="BI35">
        <v>99.999999999000011</v>
      </c>
      <c r="BJ35">
        <v>46.508950672000005</v>
      </c>
      <c r="BK35">
        <v>44.638231740000002</v>
      </c>
      <c r="BL35">
        <v>1.8707189319999999</v>
      </c>
      <c r="BM35">
        <v>25.378460830000002</v>
      </c>
      <c r="BN35">
        <v>12.496402460000001</v>
      </c>
      <c r="BO35">
        <v>12.882058369999999</v>
      </c>
      <c r="BP35">
        <v>15.662234502</v>
      </c>
      <c r="BQ35">
        <v>9.9407125999999995</v>
      </c>
      <c r="BR35">
        <v>5.7215219020000001</v>
      </c>
      <c r="BS35">
        <v>12.433085820000001</v>
      </c>
      <c r="BT35">
        <v>12.433085820000001</v>
      </c>
      <c r="BU35">
        <v>1.7268175E-2</v>
      </c>
      <c r="BV35">
        <v>100.00000001399999</v>
      </c>
      <c r="BW35">
        <v>33.991537381000001</v>
      </c>
      <c r="BX35">
        <v>25.763986840000001</v>
      </c>
      <c r="BY35">
        <v>8.2275505409999994</v>
      </c>
      <c r="BZ35">
        <v>28.25575929</v>
      </c>
      <c r="CA35">
        <v>16.07898449</v>
      </c>
      <c r="CB35">
        <v>12.1767748</v>
      </c>
      <c r="CC35">
        <v>23.930418433</v>
      </c>
      <c r="CD35">
        <v>15.89092619</v>
      </c>
      <c r="CE35">
        <v>8.0394922429999998</v>
      </c>
      <c r="CF35">
        <v>13.82228491</v>
      </c>
      <c r="CG35">
        <v>13.82228491</v>
      </c>
      <c r="CH35">
        <v>100.000000001</v>
      </c>
      <c r="CI35">
        <v>38.035714290000001</v>
      </c>
      <c r="CJ35">
        <v>38.035714290000001</v>
      </c>
      <c r="CK35">
        <v>23.27380952</v>
      </c>
      <c r="CL35">
        <v>23.27380952</v>
      </c>
      <c r="CM35">
        <v>24.166666667999998</v>
      </c>
      <c r="CN35">
        <v>20.11904762</v>
      </c>
      <c r="CO35">
        <v>4.0476190479999996</v>
      </c>
      <c r="CP35">
        <v>4.2261904760000002</v>
      </c>
      <c r="CQ35">
        <v>3.095238095</v>
      </c>
      <c r="CR35">
        <v>1.130952381</v>
      </c>
      <c r="CS35">
        <v>3.095238095</v>
      </c>
      <c r="CT35">
        <v>1.726190476</v>
      </c>
      <c r="CU35">
        <v>1.726190476</v>
      </c>
      <c r="CV35">
        <v>5.4761904760000002</v>
      </c>
      <c r="CW35">
        <v>0</v>
      </c>
      <c r="CX35">
        <v>99.205917541000005</v>
      </c>
      <c r="CY35">
        <v>41.183509192999999</v>
      </c>
      <c r="CZ35">
        <v>39.14935277</v>
      </c>
      <c r="DA35">
        <v>2.0341564230000002</v>
      </c>
      <c r="DB35">
        <v>24.486021969999999</v>
      </c>
      <c r="DC35">
        <v>9.9967366469999988</v>
      </c>
      <c r="DD35">
        <v>5.4824322849999998</v>
      </c>
      <c r="DE35">
        <v>4.5143043619999998</v>
      </c>
      <c r="DF35">
        <v>16.066572390000001</v>
      </c>
      <c r="DG35">
        <v>6.4179266830000001</v>
      </c>
      <c r="DH35" t="s">
        <v>69</v>
      </c>
      <c r="DI35">
        <v>0.43511367299999998</v>
      </c>
      <c r="DJ35">
        <v>0.62003698500000004</v>
      </c>
      <c r="DK35">
        <v>0.62003698500000004</v>
      </c>
      <c r="DL35">
        <v>0</v>
      </c>
      <c r="DM35">
        <v>100.000000005</v>
      </c>
      <c r="DN35">
        <v>41.148268010000002</v>
      </c>
      <c r="DO35">
        <v>41.148268010000002</v>
      </c>
      <c r="DP35">
        <v>0</v>
      </c>
      <c r="DQ35">
        <v>25.050940910000001</v>
      </c>
      <c r="DR35">
        <v>25.050940910000001</v>
      </c>
      <c r="DS35">
        <v>10.284070478</v>
      </c>
      <c r="DT35">
        <v>5.7053817569999996</v>
      </c>
      <c r="DU35">
        <v>4.5786887209999998</v>
      </c>
      <c r="DV35">
        <v>17.59558912</v>
      </c>
      <c r="DW35">
        <v>5.9211314870000002</v>
      </c>
      <c r="DX35" t="s">
        <v>69</v>
      </c>
      <c r="DY35">
        <v>0</v>
      </c>
      <c r="DZ35">
        <v>100.00000000399999</v>
      </c>
      <c r="EA35">
        <v>35.510204080000001</v>
      </c>
      <c r="EB35">
        <v>35.510204080000001</v>
      </c>
      <c r="EC35">
        <v>21.632653066</v>
      </c>
      <c r="ED35">
        <v>8.1632653059999996</v>
      </c>
      <c r="EE35">
        <v>13.46938776</v>
      </c>
      <c r="EF35">
        <v>21.632653059999999</v>
      </c>
      <c r="EG35">
        <v>21.632653059999999</v>
      </c>
      <c r="EH35">
        <v>17.55102041</v>
      </c>
      <c r="EI35">
        <v>3.673469388</v>
      </c>
      <c r="EJ35" t="s">
        <v>69</v>
      </c>
      <c r="EK35">
        <v>100.00000000000001</v>
      </c>
      <c r="EL35">
        <v>49.586776860000001</v>
      </c>
      <c r="EM35">
        <v>18.677685950000001</v>
      </c>
      <c r="EN35">
        <v>30.90909091</v>
      </c>
      <c r="EO35">
        <v>12.231404960000001</v>
      </c>
      <c r="EP35">
        <v>12.231404960000001</v>
      </c>
      <c r="EQ35">
        <v>12.066115699999999</v>
      </c>
      <c r="ER35">
        <v>8.7603305789999997</v>
      </c>
      <c r="ES35">
        <v>6.6115702479999996</v>
      </c>
      <c r="ET35">
        <v>1.3223140499999999</v>
      </c>
      <c r="EU35">
        <v>1.3223140499999999</v>
      </c>
      <c r="EV35">
        <v>9.4214876029999992</v>
      </c>
      <c r="EW35">
        <v>9.4214876029999992</v>
      </c>
      <c r="EX35">
        <v>0</v>
      </c>
      <c r="EY35">
        <v>21180</v>
      </c>
      <c r="EZ35">
        <v>8641</v>
      </c>
      <c r="FA35">
        <v>500</v>
      </c>
      <c r="FB35">
        <v>68</v>
      </c>
      <c r="FC35">
        <v>3152</v>
      </c>
      <c r="FD35">
        <v>2497</v>
      </c>
      <c r="FE35">
        <v>2845</v>
      </c>
      <c r="FF35">
        <v>2117</v>
      </c>
      <c r="FG35">
        <v>1184</v>
      </c>
      <c r="FH35">
        <v>52</v>
      </c>
      <c r="FI35">
        <v>29</v>
      </c>
      <c r="FJ35">
        <v>92</v>
      </c>
      <c r="FK35">
        <v>3</v>
      </c>
      <c r="FL35">
        <v>17373</v>
      </c>
      <c r="FM35">
        <v>7755</v>
      </c>
      <c r="FN35">
        <v>325</v>
      </c>
      <c r="FO35">
        <v>2171</v>
      </c>
      <c r="FP35">
        <v>2238</v>
      </c>
      <c r="FQ35">
        <v>1727</v>
      </c>
      <c r="FR35">
        <v>994</v>
      </c>
      <c r="FS35">
        <v>2160</v>
      </c>
      <c r="FT35">
        <v>3</v>
      </c>
      <c r="FU35">
        <v>2127</v>
      </c>
      <c r="FV35">
        <v>548</v>
      </c>
      <c r="FW35">
        <v>175</v>
      </c>
      <c r="FX35" t="s">
        <v>69</v>
      </c>
      <c r="FY35">
        <v>342</v>
      </c>
      <c r="FZ35">
        <v>259</v>
      </c>
      <c r="GA35">
        <v>338</v>
      </c>
      <c r="GB35">
        <v>171</v>
      </c>
      <c r="GC35">
        <v>294</v>
      </c>
      <c r="GD35">
        <v>1680</v>
      </c>
      <c r="GE35">
        <v>639</v>
      </c>
      <c r="GF35">
        <v>391</v>
      </c>
      <c r="GG35">
        <v>338</v>
      </c>
      <c r="GH35">
        <v>68</v>
      </c>
      <c r="GI35">
        <v>52</v>
      </c>
      <c r="GJ35">
        <v>19</v>
      </c>
      <c r="GK35">
        <v>52</v>
      </c>
      <c r="GL35">
        <v>29</v>
      </c>
      <c r="GM35">
        <v>92</v>
      </c>
      <c r="GN35">
        <v>0</v>
      </c>
      <c r="GO35">
        <v>9193</v>
      </c>
      <c r="GP35">
        <v>3599</v>
      </c>
      <c r="GQ35">
        <v>187</v>
      </c>
      <c r="GR35">
        <v>2251</v>
      </c>
      <c r="GS35">
        <v>504</v>
      </c>
      <c r="GT35">
        <v>415</v>
      </c>
      <c r="GU35">
        <v>1477</v>
      </c>
      <c r="GV35">
        <v>590</v>
      </c>
      <c r="GW35">
        <v>494</v>
      </c>
      <c r="GX35">
        <v>43</v>
      </c>
      <c r="GY35">
        <v>53</v>
      </c>
      <c r="GZ35" t="s">
        <v>69</v>
      </c>
      <c r="HA35">
        <v>40</v>
      </c>
      <c r="HB35">
        <v>57</v>
      </c>
      <c r="HC35">
        <v>0</v>
      </c>
      <c r="HD35">
        <v>8343</v>
      </c>
      <c r="HE35">
        <v>3433</v>
      </c>
      <c r="HF35">
        <v>0</v>
      </c>
      <c r="HG35">
        <v>2090</v>
      </c>
      <c r="HH35">
        <v>476</v>
      </c>
      <c r="HI35">
        <v>382</v>
      </c>
      <c r="HJ35">
        <v>1468</v>
      </c>
      <c r="HK35">
        <v>494</v>
      </c>
      <c r="HL35" t="s">
        <v>69</v>
      </c>
      <c r="HM35">
        <v>0</v>
      </c>
      <c r="HN35">
        <v>245</v>
      </c>
      <c r="HO35">
        <v>87</v>
      </c>
      <c r="HP35">
        <v>20</v>
      </c>
      <c r="HQ35">
        <v>33</v>
      </c>
      <c r="HR35">
        <v>53</v>
      </c>
      <c r="HS35">
        <v>43</v>
      </c>
      <c r="HT35">
        <v>9</v>
      </c>
      <c r="HU35" t="s">
        <v>69</v>
      </c>
      <c r="HV35">
        <v>605</v>
      </c>
      <c r="HW35">
        <v>113</v>
      </c>
      <c r="HX35">
        <v>187</v>
      </c>
      <c r="HY35">
        <v>74</v>
      </c>
      <c r="HZ35">
        <v>73</v>
      </c>
      <c r="IA35">
        <v>53</v>
      </c>
      <c r="IB35">
        <v>40</v>
      </c>
      <c r="IC35">
        <v>8</v>
      </c>
      <c r="ID35">
        <v>57</v>
      </c>
      <c r="IE35">
        <v>0</v>
      </c>
      <c r="IG35">
        <v>66.441520999999995</v>
      </c>
    </row>
    <row r="36" spans="1:241" x14ac:dyDescent="0.25">
      <c r="A36" t="s">
        <v>63</v>
      </c>
      <c r="B36">
        <v>14.93761553</v>
      </c>
      <c r="C36">
        <v>23.740757859999999</v>
      </c>
      <c r="D36">
        <v>24.584103509999998</v>
      </c>
      <c r="E36">
        <v>21.557301290000002</v>
      </c>
      <c r="F36">
        <v>9.3807763400000006</v>
      </c>
      <c r="G36">
        <v>5.2333641399999999</v>
      </c>
      <c r="H36">
        <v>9.2421442000000006E-2</v>
      </c>
      <c r="I36">
        <v>0.39279112799999999</v>
      </c>
      <c r="J36">
        <v>0</v>
      </c>
      <c r="K36">
        <v>8.0868761999999997E-2</v>
      </c>
      <c r="L36">
        <v>34</v>
      </c>
      <c r="M36">
        <v>8656</v>
      </c>
      <c r="N36">
        <v>1293</v>
      </c>
      <c r="O36">
        <v>2055</v>
      </c>
      <c r="P36">
        <v>2128</v>
      </c>
      <c r="Q36">
        <v>1866</v>
      </c>
      <c r="R36">
        <v>812</v>
      </c>
      <c r="S36">
        <v>453</v>
      </c>
      <c r="T36">
        <v>8</v>
      </c>
      <c r="U36">
        <v>34</v>
      </c>
      <c r="V36">
        <v>0</v>
      </c>
      <c r="W36">
        <v>7</v>
      </c>
      <c r="X36">
        <v>4521</v>
      </c>
      <c r="Y36">
        <v>1083</v>
      </c>
      <c r="Z36">
        <v>1501</v>
      </c>
      <c r="AA36">
        <v>1027</v>
      </c>
      <c r="AB36">
        <v>497</v>
      </c>
      <c r="AC36">
        <v>253</v>
      </c>
      <c r="AD36">
        <v>119</v>
      </c>
      <c r="AE36">
        <v>1</v>
      </c>
      <c r="AF36">
        <v>34</v>
      </c>
      <c r="AG36">
        <v>6</v>
      </c>
      <c r="AH36">
        <v>4135</v>
      </c>
      <c r="AI36">
        <v>1369</v>
      </c>
      <c r="AJ36">
        <v>1101</v>
      </c>
      <c r="AK36">
        <v>693</v>
      </c>
      <c r="AL36">
        <v>554</v>
      </c>
      <c r="AM36">
        <v>200</v>
      </c>
      <c r="AN36">
        <v>210</v>
      </c>
      <c r="AO36">
        <v>7</v>
      </c>
      <c r="AP36">
        <v>0</v>
      </c>
      <c r="AQ36">
        <v>1</v>
      </c>
      <c r="AR36">
        <v>36.976352540000008</v>
      </c>
      <c r="AS36">
        <v>32.969616170000002</v>
      </c>
      <c r="AT36">
        <v>3.2453862889999998</v>
      </c>
      <c r="AU36">
        <v>0.76135008100000001</v>
      </c>
      <c r="AV36">
        <v>28.503262929999998</v>
      </c>
      <c r="AW36">
        <v>17.219844219999999</v>
      </c>
      <c r="AX36">
        <v>11.283418709999999</v>
      </c>
      <c r="AY36">
        <v>11.234299350000001</v>
      </c>
      <c r="AZ36">
        <v>11.234299350000001</v>
      </c>
      <c r="BA36">
        <v>22.503683949999999</v>
      </c>
      <c r="BB36">
        <v>11.89390218</v>
      </c>
      <c r="BC36">
        <v>10.60978177</v>
      </c>
      <c r="BD36">
        <v>0.31225878899999998</v>
      </c>
      <c r="BE36">
        <v>0.11227282299999999</v>
      </c>
      <c r="BF36">
        <v>0.11227282299999999</v>
      </c>
      <c r="BG36">
        <v>0.35436109799999999</v>
      </c>
      <c r="BH36">
        <v>3.5085260000000001E-3</v>
      </c>
      <c r="BI36">
        <v>100</v>
      </c>
      <c r="BJ36">
        <v>37.781769963000002</v>
      </c>
      <c r="BK36">
        <v>35.018606439999999</v>
      </c>
      <c r="BL36">
        <v>2.7631635229999998</v>
      </c>
      <c r="BM36">
        <v>27.866889090000001</v>
      </c>
      <c r="BN36">
        <v>15.505368069999999</v>
      </c>
      <c r="BO36">
        <v>12.36152102</v>
      </c>
      <c r="BP36">
        <v>24.611831129999999</v>
      </c>
      <c r="BQ36">
        <v>12.5283374</v>
      </c>
      <c r="BR36">
        <v>12.083493730000001</v>
      </c>
      <c r="BS36">
        <v>9.735232474</v>
      </c>
      <c r="BT36">
        <v>9.735232474</v>
      </c>
      <c r="BU36">
        <v>4.2773430000000003E-3</v>
      </c>
      <c r="BV36">
        <v>100</v>
      </c>
      <c r="BW36">
        <v>37.321830460000001</v>
      </c>
      <c r="BX36">
        <v>26.856714180000001</v>
      </c>
      <c r="BY36">
        <v>10.46511628</v>
      </c>
      <c r="BZ36">
        <v>28.919729929999999</v>
      </c>
      <c r="CA36">
        <v>16.691672919999998</v>
      </c>
      <c r="CB36">
        <v>12.228057010000001</v>
      </c>
      <c r="CC36">
        <v>20.292573140000002</v>
      </c>
      <c r="CD36">
        <v>14.216054010000001</v>
      </c>
      <c r="CE36">
        <v>6.0765191300000003</v>
      </c>
      <c r="CF36">
        <v>13.46586647</v>
      </c>
      <c r="CG36">
        <v>13.46586647</v>
      </c>
      <c r="CH36">
        <v>100.00000001000001</v>
      </c>
      <c r="CI36">
        <v>34.106634110000002</v>
      </c>
      <c r="CJ36">
        <v>34.106634110000002</v>
      </c>
      <c r="CK36">
        <v>23.07692308</v>
      </c>
      <c r="CL36">
        <v>23.07692308</v>
      </c>
      <c r="CM36">
        <v>28.937728942</v>
      </c>
      <c r="CN36">
        <v>20.10582011</v>
      </c>
      <c r="CO36">
        <v>8.8319088319999999</v>
      </c>
      <c r="CP36">
        <v>4.8433048430000003</v>
      </c>
      <c r="CQ36">
        <v>3.337403337</v>
      </c>
      <c r="CR36">
        <v>1.5059015060000001</v>
      </c>
      <c r="CS36">
        <v>3.622303622</v>
      </c>
      <c r="CT36">
        <v>1.302401302</v>
      </c>
      <c r="CU36">
        <v>1.302401302</v>
      </c>
      <c r="CV36">
        <v>4.1107041110000004</v>
      </c>
      <c r="CW36">
        <v>0</v>
      </c>
      <c r="CX36">
        <v>99.111663857999986</v>
      </c>
      <c r="CY36">
        <v>34.858310384999996</v>
      </c>
      <c r="CZ36">
        <v>32.886204139999997</v>
      </c>
      <c r="DA36">
        <v>1.972106245</v>
      </c>
      <c r="DB36">
        <v>19.818779429999999</v>
      </c>
      <c r="DC36">
        <v>12.552189749</v>
      </c>
      <c r="DD36">
        <v>7.213289509</v>
      </c>
      <c r="DE36">
        <v>5.3389002400000001</v>
      </c>
      <c r="DF36">
        <v>18.823842939999999</v>
      </c>
      <c r="DG36">
        <v>12.2412721</v>
      </c>
      <c r="DH36" t="s">
        <v>69</v>
      </c>
      <c r="DI36">
        <v>0.159900506</v>
      </c>
      <c r="DJ36">
        <v>0.657368748</v>
      </c>
      <c r="DK36">
        <v>0.657368748</v>
      </c>
      <c r="DL36">
        <v>0</v>
      </c>
      <c r="DM36">
        <v>99.999999996</v>
      </c>
      <c r="DN36">
        <v>34.546360919999998</v>
      </c>
      <c r="DO36">
        <v>34.546360919999998</v>
      </c>
      <c r="DP36">
        <v>0</v>
      </c>
      <c r="DQ36">
        <v>19.720837490000001</v>
      </c>
      <c r="DR36">
        <v>19.720837490000001</v>
      </c>
      <c r="DS36">
        <v>12.711864406</v>
      </c>
      <c r="DT36">
        <v>7.3579262209999996</v>
      </c>
      <c r="DU36">
        <v>5.3539381849999996</v>
      </c>
      <c r="DV36">
        <v>20.977068790000001</v>
      </c>
      <c r="DW36">
        <v>12.04386839</v>
      </c>
      <c r="DX36" t="s">
        <v>69</v>
      </c>
      <c r="DY36">
        <v>0</v>
      </c>
      <c r="DZ36">
        <v>100</v>
      </c>
      <c r="EA36">
        <v>25.968109340000002</v>
      </c>
      <c r="EB36">
        <v>25.968109340000002</v>
      </c>
      <c r="EC36">
        <v>24.145785877999998</v>
      </c>
      <c r="ED36">
        <v>9.5671981779999999</v>
      </c>
      <c r="EE36">
        <v>14.5785877</v>
      </c>
      <c r="EF36">
        <v>27.562642369999999</v>
      </c>
      <c r="EG36">
        <v>27.562642369999999</v>
      </c>
      <c r="EH36">
        <v>18.906605920000001</v>
      </c>
      <c r="EI36">
        <v>3.416856492</v>
      </c>
      <c r="EJ36" t="s">
        <v>69</v>
      </c>
      <c r="EK36">
        <v>99.999999998999996</v>
      </c>
      <c r="EL36">
        <v>42.893401009999998</v>
      </c>
      <c r="EM36">
        <v>14.720812179999999</v>
      </c>
      <c r="EN36">
        <v>28.172588829999999</v>
      </c>
      <c r="EO36">
        <v>17.639593909999999</v>
      </c>
      <c r="EP36">
        <v>17.639593909999999</v>
      </c>
      <c r="EQ36">
        <v>12.690355329999999</v>
      </c>
      <c r="ER36">
        <v>11.040609140000001</v>
      </c>
      <c r="ES36">
        <v>2.284263959</v>
      </c>
      <c r="ET36">
        <v>4.060913706</v>
      </c>
      <c r="EU36">
        <v>4.060913706</v>
      </c>
      <c r="EV36">
        <v>9.3908629440000002</v>
      </c>
      <c r="EW36">
        <v>9.3908629440000002</v>
      </c>
      <c r="EX36">
        <v>0</v>
      </c>
      <c r="EY36">
        <v>28502</v>
      </c>
      <c r="EZ36">
        <v>9397</v>
      </c>
      <c r="FA36">
        <v>925</v>
      </c>
      <c r="FB36">
        <v>217</v>
      </c>
      <c r="FC36">
        <v>4908</v>
      </c>
      <c r="FD36">
        <v>3216</v>
      </c>
      <c r="FE36">
        <v>3202</v>
      </c>
      <c r="FF36">
        <v>3390</v>
      </c>
      <c r="FG36">
        <v>3024</v>
      </c>
      <c r="FH36">
        <v>89</v>
      </c>
      <c r="FI36">
        <v>32</v>
      </c>
      <c r="FJ36">
        <v>101</v>
      </c>
      <c r="FK36">
        <v>1</v>
      </c>
      <c r="FL36">
        <v>23379</v>
      </c>
      <c r="FM36">
        <v>8187</v>
      </c>
      <c r="FN36">
        <v>646</v>
      </c>
      <c r="FO36">
        <v>3625</v>
      </c>
      <c r="FP36">
        <v>2890</v>
      </c>
      <c r="FQ36">
        <v>2929</v>
      </c>
      <c r="FR36">
        <v>2825</v>
      </c>
      <c r="FS36">
        <v>2276</v>
      </c>
      <c r="FT36">
        <v>1</v>
      </c>
      <c r="FU36">
        <v>2666</v>
      </c>
      <c r="FV36">
        <v>716</v>
      </c>
      <c r="FW36">
        <v>279</v>
      </c>
      <c r="FX36" t="s">
        <v>69</v>
      </c>
      <c r="FY36">
        <v>445</v>
      </c>
      <c r="FZ36">
        <v>326</v>
      </c>
      <c r="GA36">
        <v>379</v>
      </c>
      <c r="GB36">
        <v>162</v>
      </c>
      <c r="GC36">
        <v>359</v>
      </c>
      <c r="GD36">
        <v>2457</v>
      </c>
      <c r="GE36">
        <v>838</v>
      </c>
      <c r="GF36">
        <v>567</v>
      </c>
      <c r="GG36">
        <v>494</v>
      </c>
      <c r="GH36">
        <v>217</v>
      </c>
      <c r="GI36">
        <v>82</v>
      </c>
      <c r="GJ36">
        <v>37</v>
      </c>
      <c r="GK36">
        <v>89</v>
      </c>
      <c r="GL36">
        <v>32</v>
      </c>
      <c r="GM36">
        <v>101</v>
      </c>
      <c r="GN36">
        <v>0</v>
      </c>
      <c r="GO36">
        <v>11257</v>
      </c>
      <c r="GP36">
        <v>3702</v>
      </c>
      <c r="GQ36">
        <v>222</v>
      </c>
      <c r="GR36">
        <v>2231</v>
      </c>
      <c r="GS36">
        <v>812</v>
      </c>
      <c r="GT36">
        <v>601</v>
      </c>
      <c r="GU36">
        <v>2119</v>
      </c>
      <c r="GV36">
        <v>1378</v>
      </c>
      <c r="GW36">
        <v>1208</v>
      </c>
      <c r="GX36">
        <v>83</v>
      </c>
      <c r="GY36">
        <v>87</v>
      </c>
      <c r="GZ36" t="s">
        <v>69</v>
      </c>
      <c r="HA36">
        <v>18</v>
      </c>
      <c r="HB36">
        <v>74</v>
      </c>
      <c r="HC36">
        <v>0</v>
      </c>
      <c r="HD36">
        <v>10030</v>
      </c>
      <c r="HE36">
        <v>3465</v>
      </c>
      <c r="HF36">
        <v>0</v>
      </c>
      <c r="HG36">
        <v>1978</v>
      </c>
      <c r="HH36">
        <v>738</v>
      </c>
      <c r="HI36">
        <v>537</v>
      </c>
      <c r="HJ36">
        <v>2104</v>
      </c>
      <c r="HK36">
        <v>1208</v>
      </c>
      <c r="HL36" t="s">
        <v>69</v>
      </c>
      <c r="HM36">
        <v>0</v>
      </c>
      <c r="HN36">
        <v>439</v>
      </c>
      <c r="HO36">
        <v>114</v>
      </c>
      <c r="HP36">
        <v>42</v>
      </c>
      <c r="HQ36">
        <v>64</v>
      </c>
      <c r="HR36">
        <v>121</v>
      </c>
      <c r="HS36">
        <v>83</v>
      </c>
      <c r="HT36">
        <v>15</v>
      </c>
      <c r="HU36" t="s">
        <v>69</v>
      </c>
      <c r="HV36">
        <v>788</v>
      </c>
      <c r="HW36">
        <v>116</v>
      </c>
      <c r="HX36">
        <v>222</v>
      </c>
      <c r="HY36">
        <v>139</v>
      </c>
      <c r="HZ36">
        <v>100</v>
      </c>
      <c r="IA36">
        <v>87</v>
      </c>
      <c r="IB36">
        <v>18</v>
      </c>
      <c r="IC36">
        <v>32</v>
      </c>
      <c r="ID36">
        <v>74</v>
      </c>
      <c r="IE36">
        <v>0</v>
      </c>
      <c r="IG36">
        <v>65.976830000000007</v>
      </c>
    </row>
    <row r="37" spans="1:241" x14ac:dyDescent="0.25">
      <c r="A37" t="s">
        <v>64</v>
      </c>
      <c r="B37">
        <v>15.709969790000001</v>
      </c>
      <c r="C37">
        <v>22.75931521</v>
      </c>
      <c r="D37">
        <v>23.917421950000001</v>
      </c>
      <c r="E37">
        <v>22.06696878</v>
      </c>
      <c r="F37">
        <v>9.3781470290000009</v>
      </c>
      <c r="G37">
        <v>5.5891238669999996</v>
      </c>
      <c r="H37">
        <v>0.12588116799999999</v>
      </c>
      <c r="I37">
        <v>0.16364551899999999</v>
      </c>
      <c r="J37">
        <v>6.2940583999999994E-2</v>
      </c>
      <c r="K37">
        <v>0.22658610300000001</v>
      </c>
      <c r="L37">
        <v>13</v>
      </c>
      <c r="M37">
        <v>7944</v>
      </c>
      <c r="N37">
        <v>1248</v>
      </c>
      <c r="O37">
        <v>1808</v>
      </c>
      <c r="P37">
        <v>1900</v>
      </c>
      <c r="Q37">
        <v>1753</v>
      </c>
      <c r="R37">
        <v>745</v>
      </c>
      <c r="S37">
        <v>444</v>
      </c>
      <c r="T37">
        <v>10</v>
      </c>
      <c r="U37">
        <v>13</v>
      </c>
      <c r="V37">
        <v>5</v>
      </c>
      <c r="W37">
        <v>18</v>
      </c>
      <c r="X37">
        <v>3907</v>
      </c>
      <c r="Y37">
        <v>1042</v>
      </c>
      <c r="Z37">
        <v>1293</v>
      </c>
      <c r="AA37">
        <v>833</v>
      </c>
      <c r="AB37">
        <v>396</v>
      </c>
      <c r="AC37">
        <v>246</v>
      </c>
      <c r="AD37">
        <v>64</v>
      </c>
      <c r="AE37">
        <v>3</v>
      </c>
      <c r="AF37">
        <v>13</v>
      </c>
      <c r="AG37">
        <v>17</v>
      </c>
      <c r="AH37">
        <v>4037</v>
      </c>
      <c r="AI37">
        <v>1357</v>
      </c>
      <c r="AJ37">
        <v>1067</v>
      </c>
      <c r="AK37">
        <v>681</v>
      </c>
      <c r="AL37">
        <v>515</v>
      </c>
      <c r="AM37">
        <v>198</v>
      </c>
      <c r="AN37">
        <v>206</v>
      </c>
      <c r="AO37">
        <v>7</v>
      </c>
      <c r="AP37">
        <v>5</v>
      </c>
      <c r="AQ37">
        <v>1</v>
      </c>
      <c r="AR37">
        <v>34.953909508999999</v>
      </c>
      <c r="AS37">
        <v>31.58485799</v>
      </c>
      <c r="AT37">
        <v>2.414486922</v>
      </c>
      <c r="AU37">
        <v>0.95456459699999996</v>
      </c>
      <c r="AV37">
        <v>32.085536480000002</v>
      </c>
      <c r="AW37">
        <v>18.01506715</v>
      </c>
      <c r="AX37">
        <v>14.07046933</v>
      </c>
      <c r="AY37">
        <v>12.236207950000001</v>
      </c>
      <c r="AZ37">
        <v>12.236207950000001</v>
      </c>
      <c r="BA37">
        <v>19.760423003</v>
      </c>
      <c r="BB37">
        <v>10.986851339999999</v>
      </c>
      <c r="BC37">
        <v>8.7735716630000002</v>
      </c>
      <c r="BD37">
        <v>0.360301343</v>
      </c>
      <c r="BE37">
        <v>0.13569790800000001</v>
      </c>
      <c r="BF37">
        <v>0.13569790800000001</v>
      </c>
      <c r="BG37">
        <v>0.435169154</v>
      </c>
      <c r="BH37">
        <v>3.2754668000000001E-2</v>
      </c>
      <c r="BI37">
        <v>99.999999997999993</v>
      </c>
      <c r="BJ37">
        <v>35.795522564999999</v>
      </c>
      <c r="BK37">
        <v>34.065605169999998</v>
      </c>
      <c r="BL37">
        <v>1.729917395</v>
      </c>
      <c r="BM37">
        <v>31.95259188</v>
      </c>
      <c r="BN37">
        <v>15.952352449999999</v>
      </c>
      <c r="BO37">
        <v>16.000239430000001</v>
      </c>
      <c r="BP37">
        <v>21.597031010000002</v>
      </c>
      <c r="BQ37">
        <v>11.397102840000001</v>
      </c>
      <c r="BR37">
        <v>10.19992817</v>
      </c>
      <c r="BS37">
        <v>10.612953429999999</v>
      </c>
      <c r="BT37">
        <v>10.612953429999999</v>
      </c>
      <c r="BU37">
        <v>4.1901112999999997E-2</v>
      </c>
      <c r="BV37">
        <v>100.000000004</v>
      </c>
      <c r="BW37">
        <v>34.610578922000002</v>
      </c>
      <c r="BX37">
        <v>25.156184920000001</v>
      </c>
      <c r="BY37">
        <v>9.4543940020000008</v>
      </c>
      <c r="BZ37">
        <v>31.070387340000003</v>
      </c>
      <c r="CA37">
        <v>17.159516870000001</v>
      </c>
      <c r="CB37">
        <v>13.910870470000001</v>
      </c>
      <c r="CC37">
        <v>21.074552271999998</v>
      </c>
      <c r="CD37">
        <v>15.368596419999999</v>
      </c>
      <c r="CE37">
        <v>5.7059558519999998</v>
      </c>
      <c r="CF37">
        <v>13.24448147</v>
      </c>
      <c r="CG37">
        <v>13.24448147</v>
      </c>
      <c r="CH37">
        <v>100</v>
      </c>
      <c r="CI37">
        <v>34.143109539999998</v>
      </c>
      <c r="CJ37">
        <v>34.143109539999998</v>
      </c>
      <c r="CK37">
        <v>23.144876329999999</v>
      </c>
      <c r="CL37">
        <v>23.144876329999999</v>
      </c>
      <c r="CM37">
        <v>29.107773846999997</v>
      </c>
      <c r="CN37">
        <v>20.097173139999999</v>
      </c>
      <c r="CO37">
        <v>9.010600707</v>
      </c>
      <c r="CP37">
        <v>4.8144876320000005</v>
      </c>
      <c r="CQ37">
        <v>3.3127208480000001</v>
      </c>
      <c r="CR37">
        <v>1.501766784</v>
      </c>
      <c r="CS37">
        <v>3.4010600709999999</v>
      </c>
      <c r="CT37">
        <v>1.2809187280000001</v>
      </c>
      <c r="CU37">
        <v>1.2809187280000001</v>
      </c>
      <c r="CV37">
        <v>4.1077738520000002</v>
      </c>
      <c r="CW37">
        <v>0</v>
      </c>
      <c r="CX37">
        <v>98.859792006999996</v>
      </c>
      <c r="CY37">
        <v>39.293321637999995</v>
      </c>
      <c r="CZ37">
        <v>36.737250969999998</v>
      </c>
      <c r="DA37">
        <v>2.5560706679999998</v>
      </c>
      <c r="DB37">
        <v>17.692018539999999</v>
      </c>
      <c r="DC37">
        <v>13.669966169</v>
      </c>
      <c r="DD37">
        <v>7.0166645780000003</v>
      </c>
      <c r="DE37">
        <v>6.653301591</v>
      </c>
      <c r="DF37">
        <v>16.501691520000001</v>
      </c>
      <c r="DG37">
        <v>10.600175419999999</v>
      </c>
      <c r="DH37" t="s">
        <v>69</v>
      </c>
      <c r="DI37">
        <v>0.200476131</v>
      </c>
      <c r="DJ37">
        <v>0.90214258899999999</v>
      </c>
      <c r="DK37">
        <v>0.90214258899999999</v>
      </c>
      <c r="DL37">
        <v>0</v>
      </c>
      <c r="DM37">
        <v>100.00000000600001</v>
      </c>
      <c r="DN37">
        <v>39.483554529999999</v>
      </c>
      <c r="DO37">
        <v>39.483554529999999</v>
      </c>
      <c r="DP37">
        <v>0</v>
      </c>
      <c r="DQ37">
        <v>17.642815930000001</v>
      </c>
      <c r="DR37">
        <v>17.642815930000001</v>
      </c>
      <c r="DS37">
        <v>13.920946336</v>
      </c>
      <c r="DT37">
        <v>7.1407963069999996</v>
      </c>
      <c r="DU37">
        <v>6.7801500289999996</v>
      </c>
      <c r="DV37">
        <v>18.840161569999999</v>
      </c>
      <c r="DW37">
        <v>10.112521640000001</v>
      </c>
      <c r="DX37" t="s">
        <v>69</v>
      </c>
      <c r="DY37">
        <v>0</v>
      </c>
      <c r="DZ37">
        <v>100.00000000499999</v>
      </c>
      <c r="EA37">
        <v>19.504643959999999</v>
      </c>
      <c r="EB37">
        <v>19.504643959999999</v>
      </c>
      <c r="EC37">
        <v>30.030959760000002</v>
      </c>
      <c r="ED37">
        <v>11.14551084</v>
      </c>
      <c r="EE37">
        <v>18.885448920000002</v>
      </c>
      <c r="EF37">
        <v>27.244582040000001</v>
      </c>
      <c r="EG37">
        <v>27.244582040000001</v>
      </c>
      <c r="EH37">
        <v>19.814241490000001</v>
      </c>
      <c r="EI37">
        <v>3.4055727550000001</v>
      </c>
      <c r="EJ37" t="s">
        <v>69</v>
      </c>
      <c r="EK37">
        <v>99.999999989000003</v>
      </c>
      <c r="EL37">
        <v>42.837465559999998</v>
      </c>
      <c r="EM37">
        <v>14.73829201</v>
      </c>
      <c r="EN37">
        <v>28.09917355</v>
      </c>
      <c r="EO37">
        <v>17.355371900000002</v>
      </c>
      <c r="EP37">
        <v>17.355371900000002</v>
      </c>
      <c r="EQ37">
        <v>12.53443526</v>
      </c>
      <c r="ER37">
        <v>11.157024789999999</v>
      </c>
      <c r="ES37">
        <v>2.2038567489999998</v>
      </c>
      <c r="ET37">
        <v>3.9944903580000002</v>
      </c>
      <c r="EU37">
        <v>3.9944903580000002</v>
      </c>
      <c r="EV37">
        <v>9.9173553719999994</v>
      </c>
      <c r="EW37">
        <v>9.9173553719999994</v>
      </c>
      <c r="EX37">
        <v>0</v>
      </c>
      <c r="EY37">
        <v>21371</v>
      </c>
      <c r="EZ37">
        <v>6750</v>
      </c>
      <c r="FA37">
        <v>516</v>
      </c>
      <c r="FB37">
        <v>204</v>
      </c>
      <c r="FC37">
        <v>3850</v>
      </c>
      <c r="FD37">
        <v>3007</v>
      </c>
      <c r="FE37">
        <v>2615</v>
      </c>
      <c r="FF37">
        <v>2348</v>
      </c>
      <c r="FG37">
        <v>1875</v>
      </c>
      <c r="FH37">
        <v>77</v>
      </c>
      <c r="FI37">
        <v>29</v>
      </c>
      <c r="FJ37">
        <v>93</v>
      </c>
      <c r="FK37">
        <v>7</v>
      </c>
      <c r="FL37">
        <v>16706</v>
      </c>
      <c r="FM37">
        <v>5691</v>
      </c>
      <c r="FN37">
        <v>289</v>
      </c>
      <c r="FO37">
        <v>2665</v>
      </c>
      <c r="FP37">
        <v>2673</v>
      </c>
      <c r="FQ37">
        <v>1904</v>
      </c>
      <c r="FR37">
        <v>1704</v>
      </c>
      <c r="FS37">
        <v>1773</v>
      </c>
      <c r="FT37">
        <v>7</v>
      </c>
      <c r="FU37">
        <v>2401</v>
      </c>
      <c r="FV37">
        <v>604</v>
      </c>
      <c r="FW37">
        <v>227</v>
      </c>
      <c r="FX37" t="s">
        <v>69</v>
      </c>
      <c r="FY37">
        <v>412</v>
      </c>
      <c r="FZ37">
        <v>334</v>
      </c>
      <c r="GA37">
        <v>369</v>
      </c>
      <c r="GB37">
        <v>137</v>
      </c>
      <c r="GC37">
        <v>318</v>
      </c>
      <c r="GD37">
        <v>2264</v>
      </c>
      <c r="GE37">
        <v>773</v>
      </c>
      <c r="GF37">
        <v>524</v>
      </c>
      <c r="GG37">
        <v>455</v>
      </c>
      <c r="GH37">
        <v>204</v>
      </c>
      <c r="GI37">
        <v>75</v>
      </c>
      <c r="GJ37">
        <v>34</v>
      </c>
      <c r="GK37">
        <v>77</v>
      </c>
      <c r="GL37">
        <v>29</v>
      </c>
      <c r="GM37">
        <v>93</v>
      </c>
      <c r="GN37">
        <v>0</v>
      </c>
      <c r="GO37">
        <v>7981</v>
      </c>
      <c r="GP37">
        <v>2932</v>
      </c>
      <c r="GQ37">
        <v>204</v>
      </c>
      <c r="GR37">
        <v>1412</v>
      </c>
      <c r="GS37">
        <v>560</v>
      </c>
      <c r="GT37">
        <v>531</v>
      </c>
      <c r="GU37">
        <v>1317</v>
      </c>
      <c r="GV37">
        <v>846</v>
      </c>
      <c r="GW37">
        <v>701</v>
      </c>
      <c r="GX37">
        <v>64</v>
      </c>
      <c r="GY37">
        <v>81</v>
      </c>
      <c r="GZ37" t="s">
        <v>69</v>
      </c>
      <c r="HA37">
        <v>16</v>
      </c>
      <c r="HB37">
        <v>72</v>
      </c>
      <c r="HC37">
        <v>0</v>
      </c>
      <c r="HD37">
        <v>6932</v>
      </c>
      <c r="HE37">
        <v>2737</v>
      </c>
      <c r="HF37">
        <v>0</v>
      </c>
      <c r="HG37">
        <v>1223</v>
      </c>
      <c r="HH37">
        <v>495</v>
      </c>
      <c r="HI37">
        <v>470</v>
      </c>
      <c r="HJ37">
        <v>1306</v>
      </c>
      <c r="HK37">
        <v>701</v>
      </c>
      <c r="HL37" t="s">
        <v>69</v>
      </c>
      <c r="HM37">
        <v>0</v>
      </c>
      <c r="HN37">
        <v>323</v>
      </c>
      <c r="HO37">
        <v>63</v>
      </c>
      <c r="HP37">
        <v>36</v>
      </c>
      <c r="HQ37">
        <v>61</v>
      </c>
      <c r="HR37">
        <v>88</v>
      </c>
      <c r="HS37">
        <v>64</v>
      </c>
      <c r="HT37">
        <v>11</v>
      </c>
      <c r="HU37" t="s">
        <v>69</v>
      </c>
      <c r="HV37">
        <v>726</v>
      </c>
      <c r="HW37">
        <v>107</v>
      </c>
      <c r="HX37">
        <v>204</v>
      </c>
      <c r="HY37">
        <v>126</v>
      </c>
      <c r="HZ37">
        <v>91</v>
      </c>
      <c r="IA37">
        <v>81</v>
      </c>
      <c r="IB37">
        <v>16</v>
      </c>
      <c r="IC37">
        <v>29</v>
      </c>
      <c r="ID37">
        <v>72</v>
      </c>
      <c r="IE37">
        <v>0</v>
      </c>
      <c r="IG37">
        <v>62.249381999999997</v>
      </c>
    </row>
    <row r="38" spans="1:241" x14ac:dyDescent="0.25">
      <c r="A38" t="s">
        <v>65</v>
      </c>
      <c r="B38">
        <v>15.21496717</v>
      </c>
      <c r="C38">
        <v>18.88241854</v>
      </c>
      <c r="D38">
        <v>28.051046960000001</v>
      </c>
      <c r="E38">
        <v>21.794077560000002</v>
      </c>
      <c r="F38">
        <v>9.7137901129999999</v>
      </c>
      <c r="G38">
        <v>5.042745633</v>
      </c>
      <c r="H38">
        <v>0.19824061500000001</v>
      </c>
      <c r="I38">
        <v>0.96642299600000003</v>
      </c>
      <c r="J38">
        <v>3.7170114999999997E-2</v>
      </c>
      <c r="K38">
        <v>9.9120307000000005E-2</v>
      </c>
      <c r="L38">
        <v>78</v>
      </c>
      <c r="M38">
        <v>8071</v>
      </c>
      <c r="N38">
        <v>1228</v>
      </c>
      <c r="O38">
        <v>1524</v>
      </c>
      <c r="P38">
        <v>2264</v>
      </c>
      <c r="Q38">
        <v>1759</v>
      </c>
      <c r="R38">
        <v>784</v>
      </c>
      <c r="S38">
        <v>407</v>
      </c>
      <c r="T38">
        <v>16</v>
      </c>
      <c r="U38">
        <v>78</v>
      </c>
      <c r="V38">
        <v>3</v>
      </c>
      <c r="W38">
        <v>8</v>
      </c>
      <c r="X38">
        <v>3938</v>
      </c>
      <c r="Y38">
        <v>997</v>
      </c>
      <c r="Z38">
        <v>1050</v>
      </c>
      <c r="AA38">
        <v>1044</v>
      </c>
      <c r="AB38">
        <v>439</v>
      </c>
      <c r="AC38">
        <v>207</v>
      </c>
      <c r="AD38">
        <v>115</v>
      </c>
      <c r="AE38">
        <v>1</v>
      </c>
      <c r="AF38">
        <v>78</v>
      </c>
      <c r="AG38">
        <v>7</v>
      </c>
      <c r="AH38">
        <v>4133</v>
      </c>
      <c r="AI38">
        <v>1320</v>
      </c>
      <c r="AJ38">
        <v>1220</v>
      </c>
      <c r="AK38">
        <v>669</v>
      </c>
      <c r="AL38">
        <v>474</v>
      </c>
      <c r="AM38">
        <v>200</v>
      </c>
      <c r="AN38">
        <v>231</v>
      </c>
      <c r="AO38">
        <v>15</v>
      </c>
      <c r="AP38">
        <v>3</v>
      </c>
      <c r="AQ38">
        <v>1</v>
      </c>
      <c r="AR38">
        <v>37.698718658000004</v>
      </c>
      <c r="AS38">
        <v>34.73950876</v>
      </c>
      <c r="AT38">
        <v>2.2028857799999999</v>
      </c>
      <c r="AU38">
        <v>0.75632411799999999</v>
      </c>
      <c r="AV38">
        <v>28.497999050000001</v>
      </c>
      <c r="AW38">
        <v>15.879135</v>
      </c>
      <c r="AX38">
        <v>12.618864050000001</v>
      </c>
      <c r="AY38">
        <v>16.352755439999999</v>
      </c>
      <c r="AZ38">
        <v>16.352755439999999</v>
      </c>
      <c r="BA38">
        <v>16.697874218999999</v>
      </c>
      <c r="BB38">
        <v>10.632595370000001</v>
      </c>
      <c r="BC38">
        <v>6.0652788490000002</v>
      </c>
      <c r="BD38">
        <v>0.275360722</v>
      </c>
      <c r="BE38">
        <v>0.106472813</v>
      </c>
      <c r="BF38">
        <v>0.106472813</v>
      </c>
      <c r="BG38">
        <v>0.35980467799999999</v>
      </c>
      <c r="BH38">
        <v>1.1014428999999999E-2</v>
      </c>
      <c r="BI38">
        <v>100.000000003</v>
      </c>
      <c r="BJ38">
        <v>38.589324619999999</v>
      </c>
      <c r="BK38">
        <v>37.00526507</v>
      </c>
      <c r="BL38">
        <v>1.5840595500000001</v>
      </c>
      <c r="BM38">
        <v>27.814088599999998</v>
      </c>
      <c r="BN38">
        <v>13.83442266</v>
      </c>
      <c r="BO38">
        <v>13.97966594</v>
      </c>
      <c r="BP38">
        <v>17.633442264999999</v>
      </c>
      <c r="BQ38">
        <v>10.79339143</v>
      </c>
      <c r="BR38">
        <v>6.8400508350000004</v>
      </c>
      <c r="BS38">
        <v>15.949527959999999</v>
      </c>
      <c r="BT38">
        <v>15.949527959999999</v>
      </c>
      <c r="BU38">
        <v>1.3616558000000001E-2</v>
      </c>
      <c r="BV38">
        <v>99.999999987999999</v>
      </c>
      <c r="BW38">
        <v>37.688614536000003</v>
      </c>
      <c r="BX38">
        <v>29.080932780000001</v>
      </c>
      <c r="BY38">
        <v>8.6076817559999999</v>
      </c>
      <c r="BZ38">
        <v>29.252400539999996</v>
      </c>
      <c r="CA38">
        <v>17.009602189999999</v>
      </c>
      <c r="CB38">
        <v>12.242798349999999</v>
      </c>
      <c r="CC38">
        <v>18.964334701999999</v>
      </c>
      <c r="CD38">
        <v>15.15775034</v>
      </c>
      <c r="CE38">
        <v>3.8065843620000002</v>
      </c>
      <c r="CF38">
        <v>14.094650209999999</v>
      </c>
      <c r="CG38">
        <v>14.094650209999999</v>
      </c>
      <c r="CH38">
        <v>100.000000009</v>
      </c>
      <c r="CI38">
        <v>34.119702930000003</v>
      </c>
      <c r="CJ38">
        <v>34.119702930000003</v>
      </c>
      <c r="CK38">
        <v>23.11052862</v>
      </c>
      <c r="CL38">
        <v>23.11052862</v>
      </c>
      <c r="CM38">
        <v>29.139362167999998</v>
      </c>
      <c r="CN38">
        <v>20.13979904</v>
      </c>
      <c r="CO38">
        <v>8.9995631280000001</v>
      </c>
      <c r="CP38">
        <v>4.8055919610000002</v>
      </c>
      <c r="CQ38">
        <v>3.3202271730000001</v>
      </c>
      <c r="CR38">
        <v>1.485364788</v>
      </c>
      <c r="CS38">
        <v>3.2765399739999999</v>
      </c>
      <c r="CT38">
        <v>1.2669287899999999</v>
      </c>
      <c r="CU38">
        <v>1.2669287899999999</v>
      </c>
      <c r="CV38">
        <v>4.2813455659999997</v>
      </c>
      <c r="CW38">
        <v>0</v>
      </c>
      <c r="CX38">
        <v>99.117205104000007</v>
      </c>
      <c r="CY38">
        <v>41.510142747000003</v>
      </c>
      <c r="CZ38">
        <v>39.58489857</v>
      </c>
      <c r="DA38">
        <v>1.9252441769999999</v>
      </c>
      <c r="DB38">
        <v>24.182945149999998</v>
      </c>
      <c r="DC38">
        <v>10.020661156999999</v>
      </c>
      <c r="DD38">
        <v>5.2967693459999996</v>
      </c>
      <c r="DE38">
        <v>4.7238918109999997</v>
      </c>
      <c r="DF38">
        <v>15.36438768</v>
      </c>
      <c r="DG38">
        <v>7.1844477839999996</v>
      </c>
      <c r="DH38" t="s">
        <v>69</v>
      </c>
      <c r="DI38">
        <v>0.15026296</v>
      </c>
      <c r="DJ38">
        <v>0.70435762599999996</v>
      </c>
      <c r="DK38">
        <v>0.70435762599999996</v>
      </c>
      <c r="DL38">
        <v>0</v>
      </c>
      <c r="DM38">
        <v>100</v>
      </c>
      <c r="DN38">
        <v>42.610732540000001</v>
      </c>
      <c r="DO38">
        <v>42.610732540000001</v>
      </c>
      <c r="DP38">
        <v>0</v>
      </c>
      <c r="DQ38">
        <v>23.498722319999999</v>
      </c>
      <c r="DR38">
        <v>23.498722319999999</v>
      </c>
      <c r="DS38">
        <v>10.008517887</v>
      </c>
      <c r="DT38">
        <v>5.1320272569999998</v>
      </c>
      <c r="DU38">
        <v>4.8764906300000002</v>
      </c>
      <c r="DV38">
        <v>17.301959109999999</v>
      </c>
      <c r="DW38">
        <v>6.5800681430000001</v>
      </c>
      <c r="DX38" t="s">
        <v>69</v>
      </c>
      <c r="DY38">
        <v>0</v>
      </c>
      <c r="DZ38">
        <v>99.999999999000011</v>
      </c>
      <c r="EA38">
        <v>45.889101340000003</v>
      </c>
      <c r="EB38">
        <v>45.889101340000003</v>
      </c>
      <c r="EC38">
        <v>18.738049711000002</v>
      </c>
      <c r="ED38">
        <v>10.13384321</v>
      </c>
      <c r="EE38">
        <v>8.6042065010000002</v>
      </c>
      <c r="EF38">
        <v>20.26768642</v>
      </c>
      <c r="EG38">
        <v>20.26768642</v>
      </c>
      <c r="EH38">
        <v>13.00191205</v>
      </c>
      <c r="EI38">
        <v>2.1032504780000001</v>
      </c>
      <c r="EJ38" t="s">
        <v>69</v>
      </c>
      <c r="EK38">
        <v>99.99999999100001</v>
      </c>
      <c r="EL38">
        <v>42.564802180000001</v>
      </c>
      <c r="EM38">
        <v>14.597544340000001</v>
      </c>
      <c r="EN38">
        <v>27.967257839999998</v>
      </c>
      <c r="EO38">
        <v>17.462482949999998</v>
      </c>
      <c r="EP38">
        <v>17.462482949999998</v>
      </c>
      <c r="EQ38">
        <v>12.82401091</v>
      </c>
      <c r="ER38">
        <v>10.777626189999999</v>
      </c>
      <c r="ES38">
        <v>2.1828103680000002</v>
      </c>
      <c r="ET38">
        <v>3.9563437929999998</v>
      </c>
      <c r="EU38">
        <v>3.9563437929999998</v>
      </c>
      <c r="EV38">
        <v>10.2319236</v>
      </c>
      <c r="EW38">
        <v>10.2319236</v>
      </c>
      <c r="EX38">
        <v>0</v>
      </c>
      <c r="EY38">
        <v>27237</v>
      </c>
      <c r="EZ38">
        <v>9462</v>
      </c>
      <c r="FA38">
        <v>600</v>
      </c>
      <c r="FB38">
        <v>206</v>
      </c>
      <c r="FC38">
        <v>4325</v>
      </c>
      <c r="FD38">
        <v>3437</v>
      </c>
      <c r="FE38">
        <v>4454</v>
      </c>
      <c r="FF38">
        <v>2896</v>
      </c>
      <c r="FG38">
        <v>1652</v>
      </c>
      <c r="FH38">
        <v>75</v>
      </c>
      <c r="FI38">
        <v>29</v>
      </c>
      <c r="FJ38">
        <v>98</v>
      </c>
      <c r="FK38">
        <v>3</v>
      </c>
      <c r="FL38">
        <v>22032</v>
      </c>
      <c r="FM38">
        <v>8153</v>
      </c>
      <c r="FN38">
        <v>349</v>
      </c>
      <c r="FO38">
        <v>3048</v>
      </c>
      <c r="FP38">
        <v>3080</v>
      </c>
      <c r="FQ38">
        <v>2378</v>
      </c>
      <c r="FR38">
        <v>1507</v>
      </c>
      <c r="FS38">
        <v>3514</v>
      </c>
      <c r="FT38">
        <v>3</v>
      </c>
      <c r="FU38">
        <v>2916</v>
      </c>
      <c r="FV38">
        <v>848</v>
      </c>
      <c r="FW38">
        <v>251</v>
      </c>
      <c r="FX38" t="s">
        <v>69</v>
      </c>
      <c r="FY38">
        <v>496</v>
      </c>
      <c r="FZ38">
        <v>357</v>
      </c>
      <c r="GA38">
        <v>442</v>
      </c>
      <c r="GB38">
        <v>111</v>
      </c>
      <c r="GC38">
        <v>411</v>
      </c>
      <c r="GD38">
        <v>2289</v>
      </c>
      <c r="GE38">
        <v>781</v>
      </c>
      <c r="GF38">
        <v>529</v>
      </c>
      <c r="GG38">
        <v>461</v>
      </c>
      <c r="GH38">
        <v>206</v>
      </c>
      <c r="GI38">
        <v>76</v>
      </c>
      <c r="GJ38">
        <v>34</v>
      </c>
      <c r="GK38">
        <v>75</v>
      </c>
      <c r="GL38">
        <v>29</v>
      </c>
      <c r="GM38">
        <v>98</v>
      </c>
      <c r="GN38">
        <v>0</v>
      </c>
      <c r="GO38">
        <v>10648</v>
      </c>
      <c r="GP38">
        <v>4215</v>
      </c>
      <c r="GQ38">
        <v>205</v>
      </c>
      <c r="GR38">
        <v>2575</v>
      </c>
      <c r="GS38">
        <v>564</v>
      </c>
      <c r="GT38">
        <v>503</v>
      </c>
      <c r="GU38">
        <v>1636</v>
      </c>
      <c r="GV38">
        <v>765</v>
      </c>
      <c r="GW38">
        <v>618</v>
      </c>
      <c r="GX38">
        <v>68</v>
      </c>
      <c r="GY38">
        <v>79</v>
      </c>
      <c r="GZ38" t="s">
        <v>69</v>
      </c>
      <c r="HA38">
        <v>16</v>
      </c>
      <c r="HB38">
        <v>75</v>
      </c>
      <c r="HC38">
        <v>0</v>
      </c>
      <c r="HD38">
        <v>9392</v>
      </c>
      <c r="HE38">
        <v>4002</v>
      </c>
      <c r="HF38">
        <v>0</v>
      </c>
      <c r="HG38">
        <v>2207</v>
      </c>
      <c r="HH38">
        <v>482</v>
      </c>
      <c r="HI38">
        <v>458</v>
      </c>
      <c r="HJ38">
        <v>1625</v>
      </c>
      <c r="HK38">
        <v>618</v>
      </c>
      <c r="HL38" t="s">
        <v>69</v>
      </c>
      <c r="HM38">
        <v>0</v>
      </c>
      <c r="HN38">
        <v>523</v>
      </c>
      <c r="HO38">
        <v>240</v>
      </c>
      <c r="HP38">
        <v>53</v>
      </c>
      <c r="HQ38">
        <v>45</v>
      </c>
      <c r="HR38">
        <v>106</v>
      </c>
      <c r="HS38">
        <v>68</v>
      </c>
      <c r="HT38">
        <v>11</v>
      </c>
      <c r="HU38" t="s">
        <v>69</v>
      </c>
      <c r="HV38">
        <v>733</v>
      </c>
      <c r="HW38">
        <v>107</v>
      </c>
      <c r="HX38">
        <v>205</v>
      </c>
      <c r="HY38">
        <v>128</v>
      </c>
      <c r="HZ38">
        <v>94</v>
      </c>
      <c r="IA38">
        <v>79</v>
      </c>
      <c r="IB38">
        <v>16</v>
      </c>
      <c r="IC38">
        <v>29</v>
      </c>
      <c r="ID38">
        <v>75</v>
      </c>
      <c r="IE38">
        <v>0</v>
      </c>
      <c r="IG38">
        <v>65.548919999999995</v>
      </c>
    </row>
    <row r="39" spans="1:241" x14ac:dyDescent="0.25">
      <c r="A39" t="s">
        <v>66</v>
      </c>
      <c r="B39">
        <v>16.591189790000001</v>
      </c>
      <c r="C39">
        <v>19.70632633</v>
      </c>
      <c r="D39">
        <v>25.236722929999999</v>
      </c>
      <c r="E39">
        <v>22.83518595</v>
      </c>
      <c r="F39">
        <v>9.3728557709999993</v>
      </c>
      <c r="G39">
        <v>5.5852888710000004</v>
      </c>
      <c r="H39">
        <v>0.27446136999999998</v>
      </c>
      <c r="I39">
        <v>0.21956909599999999</v>
      </c>
      <c r="J39">
        <v>4.1169205E-2</v>
      </c>
      <c r="K39">
        <v>0.13723068499999999</v>
      </c>
      <c r="L39">
        <v>16</v>
      </c>
      <c r="M39">
        <v>7287</v>
      </c>
      <c r="N39">
        <v>1209</v>
      </c>
      <c r="O39">
        <v>1436</v>
      </c>
      <c r="P39">
        <v>1839</v>
      </c>
      <c r="Q39">
        <v>1664</v>
      </c>
      <c r="R39">
        <v>683</v>
      </c>
      <c r="S39">
        <v>407</v>
      </c>
      <c r="T39">
        <v>20</v>
      </c>
      <c r="U39">
        <v>16</v>
      </c>
      <c r="V39">
        <v>3</v>
      </c>
      <c r="W39">
        <v>10</v>
      </c>
      <c r="X39">
        <v>3598</v>
      </c>
      <c r="Y39">
        <v>965</v>
      </c>
      <c r="Z39">
        <v>977</v>
      </c>
      <c r="AA39">
        <v>932</v>
      </c>
      <c r="AB39">
        <v>416</v>
      </c>
      <c r="AC39">
        <v>210</v>
      </c>
      <c r="AD39">
        <v>67</v>
      </c>
      <c r="AE39">
        <v>5</v>
      </c>
      <c r="AF39">
        <v>16</v>
      </c>
      <c r="AG39">
        <v>10</v>
      </c>
      <c r="AH39">
        <v>3689</v>
      </c>
      <c r="AI39">
        <v>1248</v>
      </c>
      <c r="AJ39">
        <v>907</v>
      </c>
      <c r="AK39">
        <v>616</v>
      </c>
      <c r="AL39">
        <v>459</v>
      </c>
      <c r="AM39">
        <v>197</v>
      </c>
      <c r="AN39">
        <v>244</v>
      </c>
      <c r="AO39">
        <v>15</v>
      </c>
      <c r="AP39">
        <v>3</v>
      </c>
      <c r="AQ39">
        <v>0</v>
      </c>
      <c r="AR39">
        <v>35.522168093000005</v>
      </c>
      <c r="AS39">
        <v>33.311499570000002</v>
      </c>
      <c r="AT39">
        <v>1.9322880419999999</v>
      </c>
      <c r="AU39">
        <v>0.27838048100000001</v>
      </c>
      <c r="AV39">
        <v>28.996602119999999</v>
      </c>
      <c r="AW39">
        <v>16.215662999999999</v>
      </c>
      <c r="AX39">
        <v>12.780939119999999</v>
      </c>
      <c r="AY39">
        <v>14.979326159999999</v>
      </c>
      <c r="AZ39">
        <v>14.979326159999999</v>
      </c>
      <c r="BA39">
        <v>19.613542395</v>
      </c>
      <c r="BB39">
        <v>11.900765549999999</v>
      </c>
      <c r="BC39">
        <v>7.7127768449999996</v>
      </c>
      <c r="BD39">
        <v>0.450321366</v>
      </c>
      <c r="BE39">
        <v>0.106439596</v>
      </c>
      <c r="BF39">
        <v>0.106439596</v>
      </c>
      <c r="BG39">
        <v>0.31113112500000001</v>
      </c>
      <c r="BH39">
        <v>2.0469153E-2</v>
      </c>
      <c r="BI39">
        <v>99.999999998000007</v>
      </c>
      <c r="BJ39">
        <v>37.234784339000001</v>
      </c>
      <c r="BK39">
        <v>35.989640399999999</v>
      </c>
      <c r="BL39">
        <v>1.2451439390000001</v>
      </c>
      <c r="BM39">
        <v>27.75176811</v>
      </c>
      <c r="BN39">
        <v>13.8460006</v>
      </c>
      <c r="BO39">
        <v>13.90576751</v>
      </c>
      <c r="BP39">
        <v>20.584719589999999</v>
      </c>
      <c r="BQ39">
        <v>12.336886140000001</v>
      </c>
      <c r="BR39">
        <v>8.2478334499999999</v>
      </c>
      <c r="BS39">
        <v>14.403825080000001</v>
      </c>
      <c r="BT39">
        <v>14.403825080000001</v>
      </c>
      <c r="BU39">
        <v>2.4902878999999999E-2</v>
      </c>
      <c r="BV39">
        <v>99.999999989000003</v>
      </c>
      <c r="BW39">
        <v>33.711824585000002</v>
      </c>
      <c r="BX39">
        <v>25.019577129999998</v>
      </c>
      <c r="BY39">
        <v>8.6922474550000004</v>
      </c>
      <c r="BZ39">
        <v>32.223962409999999</v>
      </c>
      <c r="CA39">
        <v>19.303054029999998</v>
      </c>
      <c r="CB39">
        <v>12.92090838</v>
      </c>
      <c r="CC39">
        <v>20.321064994</v>
      </c>
      <c r="CD39">
        <v>13.58653093</v>
      </c>
      <c r="CE39">
        <v>6.734534064</v>
      </c>
      <c r="CF39">
        <v>13.743148</v>
      </c>
      <c r="CG39">
        <v>13.743148</v>
      </c>
      <c r="CH39">
        <v>100.00000000599999</v>
      </c>
      <c r="CI39">
        <v>38.328690809999998</v>
      </c>
      <c r="CJ39">
        <v>38.328690809999998</v>
      </c>
      <c r="CK39">
        <v>23.17548747</v>
      </c>
      <c r="CL39">
        <v>23.17548747</v>
      </c>
      <c r="CM39">
        <v>18.941504175999999</v>
      </c>
      <c r="CN39">
        <v>15.153203339999999</v>
      </c>
      <c r="CO39">
        <v>3.7883008359999999</v>
      </c>
      <c r="CP39">
        <v>7.7437325909999997</v>
      </c>
      <c r="CQ39">
        <v>4.6239554319999998</v>
      </c>
      <c r="CR39">
        <v>3.1197771589999999</v>
      </c>
      <c r="CS39">
        <v>6.1281337049999998</v>
      </c>
      <c r="CT39">
        <v>1.448467967</v>
      </c>
      <c r="CU39">
        <v>1.448467967</v>
      </c>
      <c r="CV39">
        <v>4.233983287</v>
      </c>
      <c r="CW39">
        <v>0</v>
      </c>
      <c r="CX39">
        <v>99.737508197000011</v>
      </c>
      <c r="CY39">
        <v>38.605043590000001</v>
      </c>
      <c r="CZ39">
        <v>36.673853940000001</v>
      </c>
      <c r="DA39">
        <v>1.9311896500000001</v>
      </c>
      <c r="DB39">
        <v>29.220961840000001</v>
      </c>
      <c r="DC39">
        <v>9.7590700290000001</v>
      </c>
      <c r="DD39">
        <v>5.4279553759999999</v>
      </c>
      <c r="DE39">
        <v>4.3311146530000002</v>
      </c>
      <c r="DF39">
        <v>13.75269523</v>
      </c>
      <c r="DG39">
        <v>6.9372832100000004</v>
      </c>
      <c r="DH39" t="s">
        <v>69</v>
      </c>
      <c r="DI39">
        <v>1.1999625009999999</v>
      </c>
      <c r="DJ39">
        <v>0.26249179700000003</v>
      </c>
      <c r="DK39">
        <v>0.26249179700000003</v>
      </c>
      <c r="DL39">
        <v>0</v>
      </c>
      <c r="DM39">
        <v>99.999999998999996</v>
      </c>
      <c r="DN39">
        <v>40.831428879999997</v>
      </c>
      <c r="DO39">
        <v>40.831428879999997</v>
      </c>
      <c r="DP39">
        <v>0</v>
      </c>
      <c r="DQ39">
        <v>25.998476440000001</v>
      </c>
      <c r="DR39">
        <v>25.998476440000001</v>
      </c>
      <c r="DS39">
        <v>10.414626183999999</v>
      </c>
      <c r="DT39">
        <v>5.8983567309999998</v>
      </c>
      <c r="DU39">
        <v>4.5162694529999996</v>
      </c>
      <c r="DV39">
        <v>15.823266950000001</v>
      </c>
      <c r="DW39">
        <v>6.9322015449999999</v>
      </c>
      <c r="DX39" t="s">
        <v>69</v>
      </c>
      <c r="DY39">
        <v>0</v>
      </c>
      <c r="DZ39">
        <v>99.999999993999992</v>
      </c>
      <c r="EA39">
        <v>72.636262509999995</v>
      </c>
      <c r="EB39">
        <v>72.636262509999995</v>
      </c>
      <c r="EC39">
        <v>7.3414905450000001</v>
      </c>
      <c r="ED39">
        <v>2.1134593989999999</v>
      </c>
      <c r="EE39">
        <v>5.2280311460000002</v>
      </c>
      <c r="EF39">
        <v>10.678531700000001</v>
      </c>
      <c r="EG39">
        <v>10.678531700000001</v>
      </c>
      <c r="EH39">
        <v>7.8976640710000003</v>
      </c>
      <c r="EI39">
        <v>1.4460511680000001</v>
      </c>
      <c r="EJ39" t="s">
        <v>69</v>
      </c>
      <c r="EK39">
        <v>100.00000000800001</v>
      </c>
      <c r="EL39">
        <v>46.632124360000006</v>
      </c>
      <c r="EM39">
        <v>11.053540590000001</v>
      </c>
      <c r="EN39">
        <v>35.578583770000002</v>
      </c>
      <c r="EO39">
        <v>12.95336788</v>
      </c>
      <c r="EP39">
        <v>12.95336788</v>
      </c>
      <c r="EQ39">
        <v>4.835924007</v>
      </c>
      <c r="ER39">
        <v>5.5267702940000003</v>
      </c>
      <c r="ES39">
        <v>22.107081170000001</v>
      </c>
      <c r="ET39">
        <v>3.1088082899999998</v>
      </c>
      <c r="EU39">
        <v>3.1088082899999998</v>
      </c>
      <c r="EV39">
        <v>4.835924007</v>
      </c>
      <c r="EW39">
        <v>4.835924007</v>
      </c>
      <c r="EX39">
        <v>0</v>
      </c>
      <c r="EY39">
        <v>24427</v>
      </c>
      <c r="EZ39">
        <v>8137</v>
      </c>
      <c r="FA39">
        <v>472</v>
      </c>
      <c r="FB39">
        <v>68</v>
      </c>
      <c r="FC39">
        <v>3961</v>
      </c>
      <c r="FD39">
        <v>3122</v>
      </c>
      <c r="FE39">
        <v>3659</v>
      </c>
      <c r="FF39">
        <v>2907</v>
      </c>
      <c r="FG39">
        <v>1884</v>
      </c>
      <c r="FH39">
        <v>110</v>
      </c>
      <c r="FI39">
        <v>26</v>
      </c>
      <c r="FJ39">
        <v>76</v>
      </c>
      <c r="FK39">
        <v>5</v>
      </c>
      <c r="FL39">
        <v>20078</v>
      </c>
      <c r="FM39">
        <v>7226</v>
      </c>
      <c r="FN39">
        <v>250</v>
      </c>
      <c r="FO39">
        <v>2780</v>
      </c>
      <c r="FP39">
        <v>2792</v>
      </c>
      <c r="FQ39">
        <v>2477</v>
      </c>
      <c r="FR39">
        <v>1656</v>
      </c>
      <c r="FS39">
        <v>2892</v>
      </c>
      <c r="FT39">
        <v>5</v>
      </c>
      <c r="FU39">
        <v>2554</v>
      </c>
      <c r="FV39">
        <v>639</v>
      </c>
      <c r="FW39">
        <v>222</v>
      </c>
      <c r="FX39" t="s">
        <v>69</v>
      </c>
      <c r="FY39">
        <v>493</v>
      </c>
      <c r="FZ39">
        <v>330</v>
      </c>
      <c r="GA39">
        <v>347</v>
      </c>
      <c r="GB39">
        <v>172</v>
      </c>
      <c r="GC39">
        <v>351</v>
      </c>
      <c r="GD39">
        <v>1795</v>
      </c>
      <c r="GE39">
        <v>688</v>
      </c>
      <c r="GF39">
        <v>416</v>
      </c>
      <c r="GG39">
        <v>272</v>
      </c>
      <c r="GH39">
        <v>68</v>
      </c>
      <c r="GI39">
        <v>83</v>
      </c>
      <c r="GJ39">
        <v>56</v>
      </c>
      <c r="GK39">
        <v>110</v>
      </c>
      <c r="GL39">
        <v>26</v>
      </c>
      <c r="GM39">
        <v>76</v>
      </c>
      <c r="GN39">
        <v>0</v>
      </c>
      <c r="GO39">
        <v>10667</v>
      </c>
      <c r="GP39">
        <v>3912</v>
      </c>
      <c r="GQ39">
        <v>206</v>
      </c>
      <c r="GR39">
        <v>3117</v>
      </c>
      <c r="GS39">
        <v>579</v>
      </c>
      <c r="GT39">
        <v>462</v>
      </c>
      <c r="GU39">
        <v>1467</v>
      </c>
      <c r="GV39">
        <v>740</v>
      </c>
      <c r="GW39">
        <v>637</v>
      </c>
      <c r="GX39">
        <v>71</v>
      </c>
      <c r="GY39">
        <v>32</v>
      </c>
      <c r="GZ39" t="s">
        <v>69</v>
      </c>
      <c r="HA39">
        <v>128</v>
      </c>
      <c r="HB39">
        <v>28</v>
      </c>
      <c r="HC39">
        <v>0</v>
      </c>
      <c r="HD39">
        <v>9189</v>
      </c>
      <c r="HE39">
        <v>3752</v>
      </c>
      <c r="HF39">
        <v>0</v>
      </c>
      <c r="HG39">
        <v>2389</v>
      </c>
      <c r="HH39">
        <v>542</v>
      </c>
      <c r="HI39">
        <v>415</v>
      </c>
      <c r="HJ39">
        <v>1454</v>
      </c>
      <c r="HK39">
        <v>637</v>
      </c>
      <c r="HL39" t="s">
        <v>69</v>
      </c>
      <c r="HM39">
        <v>0</v>
      </c>
      <c r="HN39">
        <v>899</v>
      </c>
      <c r="HO39">
        <v>653</v>
      </c>
      <c r="HP39">
        <v>19</v>
      </c>
      <c r="HQ39">
        <v>47</v>
      </c>
      <c r="HR39">
        <v>96</v>
      </c>
      <c r="HS39">
        <v>71</v>
      </c>
      <c r="HT39">
        <v>13</v>
      </c>
      <c r="HU39" t="s">
        <v>69</v>
      </c>
      <c r="HV39">
        <v>579</v>
      </c>
      <c r="HW39">
        <v>64</v>
      </c>
      <c r="HX39">
        <v>206</v>
      </c>
      <c r="HY39">
        <v>75</v>
      </c>
      <c r="HZ39">
        <v>28</v>
      </c>
      <c r="IA39">
        <v>32</v>
      </c>
      <c r="IB39">
        <v>128</v>
      </c>
      <c r="IC39">
        <v>18</v>
      </c>
      <c r="ID39">
        <v>28</v>
      </c>
      <c r="IE39">
        <v>0</v>
      </c>
      <c r="IG39">
        <v>67.941001999999997</v>
      </c>
    </row>
    <row r="40" spans="1:241" x14ac:dyDescent="0.25">
      <c r="A40" t="s">
        <v>67</v>
      </c>
      <c r="B40">
        <v>15.212527959999999</v>
      </c>
      <c r="C40">
        <v>22.678970920000001</v>
      </c>
      <c r="D40">
        <v>24.203020129999999</v>
      </c>
      <c r="E40">
        <v>22.525167790000001</v>
      </c>
      <c r="F40">
        <v>9.395973154</v>
      </c>
      <c r="G40">
        <v>5.2153243849999997</v>
      </c>
      <c r="H40">
        <v>0.447427293</v>
      </c>
      <c r="I40">
        <v>0.195749441</v>
      </c>
      <c r="J40">
        <v>5.5928411999999997E-2</v>
      </c>
      <c r="K40">
        <v>6.9910515000000006E-2</v>
      </c>
      <c r="L40">
        <v>14</v>
      </c>
      <c r="M40">
        <v>7152</v>
      </c>
      <c r="N40">
        <v>1088</v>
      </c>
      <c r="O40">
        <v>1622</v>
      </c>
      <c r="P40">
        <v>1731</v>
      </c>
      <c r="Q40">
        <v>1611</v>
      </c>
      <c r="R40">
        <v>672</v>
      </c>
      <c r="S40">
        <v>373</v>
      </c>
      <c r="T40">
        <v>32</v>
      </c>
      <c r="U40">
        <v>14</v>
      </c>
      <c r="V40">
        <v>4</v>
      </c>
      <c r="W40">
        <v>5</v>
      </c>
      <c r="X40">
        <v>3571</v>
      </c>
      <c r="Y40">
        <v>871</v>
      </c>
      <c r="Z40">
        <v>1116</v>
      </c>
      <c r="AA40">
        <v>814</v>
      </c>
      <c r="AB40">
        <v>467</v>
      </c>
      <c r="AC40">
        <v>195</v>
      </c>
      <c r="AD40">
        <v>86</v>
      </c>
      <c r="AE40">
        <v>4</v>
      </c>
      <c r="AF40">
        <v>14</v>
      </c>
      <c r="AG40">
        <v>4</v>
      </c>
      <c r="AH40">
        <v>3581</v>
      </c>
      <c r="AI40">
        <v>1144</v>
      </c>
      <c r="AJ40">
        <v>917</v>
      </c>
      <c r="AK40">
        <v>586</v>
      </c>
      <c r="AL40">
        <v>506</v>
      </c>
      <c r="AM40">
        <v>178</v>
      </c>
      <c r="AN40">
        <v>217</v>
      </c>
      <c r="AO40">
        <v>28</v>
      </c>
      <c r="AP40">
        <v>4</v>
      </c>
      <c r="AQ40">
        <v>1</v>
      </c>
      <c r="AR40">
        <v>36.493327200000003</v>
      </c>
      <c r="AS40">
        <v>33.761452540000001</v>
      </c>
      <c r="AT40">
        <v>2.346985734</v>
      </c>
      <c r="AU40">
        <v>0.38488892600000002</v>
      </c>
      <c r="AV40">
        <v>28.21403171</v>
      </c>
      <c r="AW40">
        <v>15.893402500000001</v>
      </c>
      <c r="AX40">
        <v>12.32062921</v>
      </c>
      <c r="AY40">
        <v>14.680165669999999</v>
      </c>
      <c r="AZ40">
        <v>14.680165669999999</v>
      </c>
      <c r="BA40">
        <v>20.227586491</v>
      </c>
      <c r="BB40">
        <v>11.580136380000001</v>
      </c>
      <c r="BC40">
        <v>8.6474501109999995</v>
      </c>
      <c r="BD40">
        <v>0.100405807</v>
      </c>
      <c r="BE40">
        <v>4.1835753000000003E-2</v>
      </c>
      <c r="BF40">
        <v>4.1835753000000003E-2</v>
      </c>
      <c r="BG40">
        <v>0.196628038</v>
      </c>
      <c r="BH40">
        <v>4.6019327999999998E-2</v>
      </c>
      <c r="BI40">
        <v>100.00000000199999</v>
      </c>
      <c r="BJ40">
        <v>37.687878939999997</v>
      </c>
      <c r="BK40">
        <v>35.802720739999998</v>
      </c>
      <c r="BL40">
        <v>1.8851582</v>
      </c>
      <c r="BM40">
        <v>26.84567178</v>
      </c>
      <c r="BN40">
        <v>13.420288380000001</v>
      </c>
      <c r="BO40">
        <v>13.425383399999999</v>
      </c>
      <c r="BP40">
        <v>21.337952817999998</v>
      </c>
      <c r="BQ40">
        <v>11.85102155</v>
      </c>
      <c r="BR40">
        <v>9.4869312679999993</v>
      </c>
      <c r="BS40">
        <v>14.07245122</v>
      </c>
      <c r="BT40">
        <v>14.07245122</v>
      </c>
      <c r="BU40">
        <v>5.6045244000000001E-2</v>
      </c>
      <c r="BV40">
        <v>99.999999991999999</v>
      </c>
      <c r="BW40">
        <v>33.889661562000001</v>
      </c>
      <c r="BX40">
        <v>25.034770510000001</v>
      </c>
      <c r="BY40">
        <v>8.8548910519999993</v>
      </c>
      <c r="BZ40">
        <v>33.657858130000001</v>
      </c>
      <c r="CA40">
        <v>19.286045430000001</v>
      </c>
      <c r="CB40">
        <v>14.3718127</v>
      </c>
      <c r="CC40">
        <v>22.855818269</v>
      </c>
      <c r="CD40">
        <v>15.15994437</v>
      </c>
      <c r="CE40">
        <v>7.6958738990000004</v>
      </c>
      <c r="CF40">
        <v>9.5966620309999993</v>
      </c>
      <c r="CG40">
        <v>9.5966620309999993</v>
      </c>
      <c r="CH40">
        <v>100.00000000600001</v>
      </c>
      <c r="CI40">
        <v>35.346861730000001</v>
      </c>
      <c r="CJ40">
        <v>35.346861730000001</v>
      </c>
      <c r="CK40">
        <v>25.48371874</v>
      </c>
      <c r="CL40">
        <v>25.48371874</v>
      </c>
      <c r="CM40">
        <v>28.079282679000002</v>
      </c>
      <c r="CN40">
        <v>23.737612080000002</v>
      </c>
      <c r="CO40">
        <v>4.3416705990000004</v>
      </c>
      <c r="CP40">
        <v>7.2675790469999999</v>
      </c>
      <c r="CQ40">
        <v>5.4270882489999996</v>
      </c>
      <c r="CR40">
        <v>1.840490798</v>
      </c>
      <c r="CS40">
        <v>1.132609722</v>
      </c>
      <c r="CT40">
        <v>0.47192071699999999</v>
      </c>
      <c r="CU40">
        <v>0.47192071699999999</v>
      </c>
      <c r="CV40">
        <v>2.2180273709999998</v>
      </c>
      <c r="CW40">
        <v>0</v>
      </c>
      <c r="CX40">
        <v>99.728014513999995</v>
      </c>
      <c r="CY40">
        <v>42.218192809000001</v>
      </c>
      <c r="CZ40">
        <v>39.397602499999998</v>
      </c>
      <c r="DA40">
        <v>2.820590309</v>
      </c>
      <c r="DB40">
        <v>26.735166719999999</v>
      </c>
      <c r="DC40">
        <v>9.6907424199999994</v>
      </c>
      <c r="DD40">
        <v>5.1777979250000001</v>
      </c>
      <c r="DE40">
        <v>4.5129444950000002</v>
      </c>
      <c r="DF40">
        <v>13.21648031</v>
      </c>
      <c r="DG40">
        <v>7.3133877299999996</v>
      </c>
      <c r="DH40" t="s">
        <v>69</v>
      </c>
      <c r="DI40">
        <v>0.29213256799999998</v>
      </c>
      <c r="DJ40">
        <v>0.26191195699999997</v>
      </c>
      <c r="DK40">
        <v>0.26191195699999997</v>
      </c>
      <c r="DL40">
        <v>0</v>
      </c>
      <c r="DM40">
        <v>99.99999999000002</v>
      </c>
      <c r="DN40">
        <v>41.464782409999998</v>
      </c>
      <c r="DO40">
        <v>41.464782409999998</v>
      </c>
      <c r="DP40">
        <v>0</v>
      </c>
      <c r="DQ40">
        <v>27.288021530000002</v>
      </c>
      <c r="DR40">
        <v>27.288021530000002</v>
      </c>
      <c r="DS40">
        <v>9.5109914760000009</v>
      </c>
      <c r="DT40">
        <v>4.9125168239999999</v>
      </c>
      <c r="DU40">
        <v>4.5984746520000002</v>
      </c>
      <c r="DV40">
        <v>14.50201884</v>
      </c>
      <c r="DW40">
        <v>7.2341857340000004</v>
      </c>
      <c r="DX40" t="s">
        <v>69</v>
      </c>
      <c r="DY40">
        <v>0</v>
      </c>
      <c r="DZ40">
        <v>99.999999999000011</v>
      </c>
      <c r="EA40">
        <v>31.443298970000001</v>
      </c>
      <c r="EB40">
        <v>31.443298970000001</v>
      </c>
      <c r="EC40">
        <v>24.226804123000001</v>
      </c>
      <c r="ED40">
        <v>14.432989689999999</v>
      </c>
      <c r="EE40">
        <v>9.7938144329999997</v>
      </c>
      <c r="EF40">
        <v>24.484536080000002</v>
      </c>
      <c r="EG40">
        <v>24.484536080000002</v>
      </c>
      <c r="EH40">
        <v>14.94845361</v>
      </c>
      <c r="EI40">
        <v>4.8969072159999998</v>
      </c>
      <c r="EJ40" t="s">
        <v>69</v>
      </c>
      <c r="EK40">
        <v>99.999999997000003</v>
      </c>
      <c r="EL40">
        <v>64.04494382</v>
      </c>
      <c r="EM40">
        <v>19.101123600000001</v>
      </c>
      <c r="EN40">
        <v>44.943820219999999</v>
      </c>
      <c r="EO40">
        <v>15.89085072</v>
      </c>
      <c r="EP40">
        <v>15.89085072</v>
      </c>
      <c r="EQ40">
        <v>4.3338683790000001</v>
      </c>
      <c r="ER40">
        <v>3.6918138040000001</v>
      </c>
      <c r="ES40">
        <v>4.6548956659999998</v>
      </c>
      <c r="ET40">
        <v>3.2102728730000001</v>
      </c>
      <c r="EU40">
        <v>3.2102728730000001</v>
      </c>
      <c r="EV40">
        <v>4.1733547350000002</v>
      </c>
      <c r="EW40">
        <v>4.1733547350000002</v>
      </c>
      <c r="EX40">
        <v>0</v>
      </c>
      <c r="EY40">
        <v>23903</v>
      </c>
      <c r="EZ40">
        <v>8070</v>
      </c>
      <c r="FA40">
        <v>561</v>
      </c>
      <c r="FB40">
        <v>92</v>
      </c>
      <c r="FC40">
        <v>3799</v>
      </c>
      <c r="FD40">
        <v>2945</v>
      </c>
      <c r="FE40">
        <v>3509</v>
      </c>
      <c r="FF40">
        <v>2768</v>
      </c>
      <c r="FG40">
        <v>2067</v>
      </c>
      <c r="FH40">
        <v>24</v>
      </c>
      <c r="FI40">
        <v>10</v>
      </c>
      <c r="FJ40">
        <v>47</v>
      </c>
      <c r="FK40">
        <v>11</v>
      </c>
      <c r="FL40">
        <v>19627</v>
      </c>
      <c r="FM40">
        <v>7027</v>
      </c>
      <c r="FN40">
        <v>370</v>
      </c>
      <c r="FO40">
        <v>2634</v>
      </c>
      <c r="FP40">
        <v>2635</v>
      </c>
      <c r="FQ40">
        <v>2326</v>
      </c>
      <c r="FR40">
        <v>1862</v>
      </c>
      <c r="FS40">
        <v>2762</v>
      </c>
      <c r="FT40">
        <v>11</v>
      </c>
      <c r="FU40">
        <v>2157</v>
      </c>
      <c r="FV40">
        <v>540</v>
      </c>
      <c r="FW40">
        <v>191</v>
      </c>
      <c r="FX40" t="s">
        <v>69</v>
      </c>
      <c r="FY40">
        <v>416</v>
      </c>
      <c r="FZ40">
        <v>310</v>
      </c>
      <c r="GA40">
        <v>327</v>
      </c>
      <c r="GB40">
        <v>166</v>
      </c>
      <c r="GC40">
        <v>207</v>
      </c>
      <c r="GD40">
        <v>2119</v>
      </c>
      <c r="GE40">
        <v>749</v>
      </c>
      <c r="GF40">
        <v>540</v>
      </c>
      <c r="GG40">
        <v>503</v>
      </c>
      <c r="GH40">
        <v>92</v>
      </c>
      <c r="GI40">
        <v>115</v>
      </c>
      <c r="GJ40">
        <v>39</v>
      </c>
      <c r="GK40">
        <v>24</v>
      </c>
      <c r="GL40">
        <v>10</v>
      </c>
      <c r="GM40">
        <v>47</v>
      </c>
      <c r="GN40">
        <v>0</v>
      </c>
      <c r="GO40">
        <v>9927</v>
      </c>
      <c r="GP40">
        <v>3911</v>
      </c>
      <c r="GQ40">
        <v>280</v>
      </c>
      <c r="GR40">
        <v>2654</v>
      </c>
      <c r="GS40">
        <v>514</v>
      </c>
      <c r="GT40">
        <v>448</v>
      </c>
      <c r="GU40">
        <v>1312</v>
      </c>
      <c r="GV40">
        <v>726</v>
      </c>
      <c r="GW40">
        <v>645</v>
      </c>
      <c r="GX40">
        <v>58</v>
      </c>
      <c r="GY40">
        <v>23</v>
      </c>
      <c r="GZ40" t="s">
        <v>69</v>
      </c>
      <c r="HA40">
        <v>29</v>
      </c>
      <c r="HB40">
        <v>26</v>
      </c>
      <c r="HC40">
        <v>0</v>
      </c>
      <c r="HD40">
        <v>8916</v>
      </c>
      <c r="HE40">
        <v>3697</v>
      </c>
      <c r="HF40">
        <v>0</v>
      </c>
      <c r="HG40">
        <v>2433</v>
      </c>
      <c r="HH40">
        <v>438</v>
      </c>
      <c r="HI40">
        <v>410</v>
      </c>
      <c r="HJ40">
        <v>1293</v>
      </c>
      <c r="HK40">
        <v>645</v>
      </c>
      <c r="HL40" t="s">
        <v>69</v>
      </c>
      <c r="HM40">
        <v>0</v>
      </c>
      <c r="HN40">
        <v>388</v>
      </c>
      <c r="HO40">
        <v>122</v>
      </c>
      <c r="HP40">
        <v>56</v>
      </c>
      <c r="HQ40">
        <v>38</v>
      </c>
      <c r="HR40">
        <v>95</v>
      </c>
      <c r="HS40">
        <v>58</v>
      </c>
      <c r="HT40">
        <v>19</v>
      </c>
      <c r="HU40" t="s">
        <v>69</v>
      </c>
      <c r="HV40">
        <v>623</v>
      </c>
      <c r="HW40">
        <v>119</v>
      </c>
      <c r="HX40">
        <v>280</v>
      </c>
      <c r="HY40">
        <v>99</v>
      </c>
      <c r="HZ40">
        <v>27</v>
      </c>
      <c r="IA40">
        <v>23</v>
      </c>
      <c r="IB40">
        <v>29</v>
      </c>
      <c r="IC40">
        <v>20</v>
      </c>
      <c r="ID40">
        <v>26</v>
      </c>
      <c r="IE40">
        <v>0</v>
      </c>
      <c r="IG40">
        <v>65.836760999999996</v>
      </c>
    </row>
    <row r="41" spans="1:241" x14ac:dyDescent="0.25">
      <c r="A41" t="s">
        <v>68</v>
      </c>
      <c r="B41">
        <v>14.275318370000001</v>
      </c>
      <c r="C41">
        <v>19.090357789999999</v>
      </c>
      <c r="D41">
        <v>26.610066710000002</v>
      </c>
      <c r="E41">
        <v>21.758641600000001</v>
      </c>
      <c r="F41">
        <v>10.93996361</v>
      </c>
      <c r="G41">
        <v>5.627653123</v>
      </c>
      <c r="H41">
        <v>1.152213463</v>
      </c>
      <c r="I41">
        <v>0.375985446</v>
      </c>
      <c r="J41">
        <v>7.2771376999999998E-2</v>
      </c>
      <c r="K41">
        <v>9.7028502000000003E-2</v>
      </c>
      <c r="L41">
        <v>31</v>
      </c>
      <c r="M41">
        <v>8245</v>
      </c>
      <c r="N41">
        <v>1177</v>
      </c>
      <c r="O41">
        <v>1574</v>
      </c>
      <c r="P41">
        <v>2194</v>
      </c>
      <c r="Q41">
        <v>1794</v>
      </c>
      <c r="R41">
        <v>902</v>
      </c>
      <c r="S41">
        <v>464</v>
      </c>
      <c r="T41">
        <v>95</v>
      </c>
      <c r="U41">
        <v>31</v>
      </c>
      <c r="V41">
        <v>6</v>
      </c>
      <c r="W41">
        <v>8</v>
      </c>
      <c r="X41">
        <v>4121</v>
      </c>
      <c r="Y41">
        <v>977</v>
      </c>
      <c r="Z41">
        <v>1110</v>
      </c>
      <c r="AA41">
        <v>1192</v>
      </c>
      <c r="AB41">
        <v>492</v>
      </c>
      <c r="AC41">
        <v>186</v>
      </c>
      <c r="AD41">
        <v>123</v>
      </c>
      <c r="AE41">
        <v>3</v>
      </c>
      <c r="AF41">
        <v>31</v>
      </c>
      <c r="AG41">
        <v>7</v>
      </c>
      <c r="AH41">
        <v>4124</v>
      </c>
      <c r="AI41">
        <v>1302</v>
      </c>
      <c r="AJ41">
        <v>1002</v>
      </c>
      <c r="AK41">
        <v>779</v>
      </c>
      <c r="AL41">
        <v>464</v>
      </c>
      <c r="AM41">
        <v>278</v>
      </c>
      <c r="AN41">
        <v>200</v>
      </c>
      <c r="AO41">
        <v>92</v>
      </c>
      <c r="AP41">
        <v>6</v>
      </c>
      <c r="AQ41">
        <v>1</v>
      </c>
      <c r="AR41">
        <v>34.137504796000002</v>
      </c>
      <c r="AS41">
        <v>32.253527130000002</v>
      </c>
      <c r="AT41">
        <v>1.8157793790000001</v>
      </c>
      <c r="AU41">
        <v>6.8198286999999996E-2</v>
      </c>
      <c r="AV41">
        <v>28.336388050000004</v>
      </c>
      <c r="AW41">
        <v>16.128894760000001</v>
      </c>
      <c r="AX41">
        <v>12.20749329</v>
      </c>
      <c r="AY41">
        <v>17.774178419999998</v>
      </c>
      <c r="AZ41">
        <v>17.774178419999998</v>
      </c>
      <c r="BA41">
        <v>19.248966367000001</v>
      </c>
      <c r="BB41">
        <v>10.178594260000001</v>
      </c>
      <c r="BC41">
        <v>9.0703721070000007</v>
      </c>
      <c r="BD41">
        <v>1.2787178999999999E-2</v>
      </c>
      <c r="BE41">
        <v>0.144921359</v>
      </c>
      <c r="BF41">
        <v>0.144921359</v>
      </c>
      <c r="BG41">
        <v>0.29410511099999997</v>
      </c>
      <c r="BH41">
        <v>5.1148714999999997E-2</v>
      </c>
      <c r="BI41">
        <v>99.999999988999988</v>
      </c>
      <c r="BJ41">
        <v>35.502580746</v>
      </c>
      <c r="BK41">
        <v>34.326610969999997</v>
      </c>
      <c r="BL41">
        <v>1.1759697760000001</v>
      </c>
      <c r="BM41">
        <v>27.76565742</v>
      </c>
      <c r="BN41">
        <v>14.356409299999999</v>
      </c>
      <c r="BO41">
        <v>13.409248120000001</v>
      </c>
      <c r="BP41">
        <v>20.23625818</v>
      </c>
      <c r="BQ41">
        <v>10.2697813</v>
      </c>
      <c r="BR41">
        <v>9.9664768800000001</v>
      </c>
      <c r="BS41">
        <v>16.431650080000001</v>
      </c>
      <c r="BT41">
        <v>16.431650080000001</v>
      </c>
      <c r="BU41">
        <v>6.3853563000000002E-2</v>
      </c>
      <c r="BV41">
        <v>100.00000000300001</v>
      </c>
      <c r="BW41">
        <v>32.097791794999999</v>
      </c>
      <c r="BX41">
        <v>24.014195579999999</v>
      </c>
      <c r="BY41">
        <v>8.083596215</v>
      </c>
      <c r="BZ41">
        <v>30.08675079</v>
      </c>
      <c r="CA41">
        <v>16.522082019999999</v>
      </c>
      <c r="CB41">
        <v>13.564668770000001</v>
      </c>
      <c r="CC41">
        <v>22.555205047999998</v>
      </c>
      <c r="CD41">
        <v>13.32807571</v>
      </c>
      <c r="CE41">
        <v>9.2271293379999992</v>
      </c>
      <c r="CF41">
        <v>15.26025237</v>
      </c>
      <c r="CG41">
        <v>15.26025237</v>
      </c>
      <c r="CH41">
        <v>99.999999998000007</v>
      </c>
      <c r="CI41">
        <v>31.28517824</v>
      </c>
      <c r="CJ41">
        <v>31.28517824</v>
      </c>
      <c r="CK41">
        <v>32.598499060000002</v>
      </c>
      <c r="CL41">
        <v>32.598499060000002</v>
      </c>
      <c r="CM41">
        <v>24.530956842999998</v>
      </c>
      <c r="CN41">
        <v>23.7804878</v>
      </c>
      <c r="CO41">
        <v>0.75046904299999995</v>
      </c>
      <c r="CP41">
        <v>6.6135084430000006</v>
      </c>
      <c r="CQ41">
        <v>5.6285178240000002</v>
      </c>
      <c r="CR41">
        <v>0.98499061899999996</v>
      </c>
      <c r="CS41">
        <v>0.14071294600000001</v>
      </c>
      <c r="CT41">
        <v>1.594746717</v>
      </c>
      <c r="CU41">
        <v>1.594746717</v>
      </c>
      <c r="CV41">
        <v>3.236397749</v>
      </c>
      <c r="CW41">
        <v>0</v>
      </c>
      <c r="CX41">
        <v>99.775523029000013</v>
      </c>
      <c r="CY41">
        <v>40.405854357000003</v>
      </c>
      <c r="CZ41">
        <v>38.161084670000001</v>
      </c>
      <c r="DA41">
        <v>2.2447696869999998</v>
      </c>
      <c r="DB41">
        <v>31.05863338</v>
      </c>
      <c r="DC41">
        <v>10.864685284</v>
      </c>
      <c r="DD41">
        <v>6.491873934</v>
      </c>
      <c r="DE41">
        <v>4.3728113500000001</v>
      </c>
      <c r="DF41">
        <v>10.909580679999999</v>
      </c>
      <c r="DG41">
        <v>6.2853551230000004</v>
      </c>
      <c r="DH41" t="s">
        <v>69</v>
      </c>
      <c r="DI41">
        <v>8.0811708999999995E-2</v>
      </c>
      <c r="DJ41">
        <v>0.17060249599999999</v>
      </c>
      <c r="DK41">
        <v>0.17060249599999999</v>
      </c>
      <c r="DL41">
        <v>0</v>
      </c>
      <c r="DM41">
        <v>100</v>
      </c>
      <c r="DN41">
        <v>39.944713200000002</v>
      </c>
      <c r="DO41">
        <v>39.944713200000002</v>
      </c>
      <c r="DP41">
        <v>0</v>
      </c>
      <c r="DQ41">
        <v>31.602329940000001</v>
      </c>
      <c r="DR41">
        <v>31.602329940000001</v>
      </c>
      <c r="DS41">
        <v>10.672326982</v>
      </c>
      <c r="DT41">
        <v>6.4369631749999998</v>
      </c>
      <c r="DU41">
        <v>4.2353638069999997</v>
      </c>
      <c r="DV41">
        <v>11.87678942</v>
      </c>
      <c r="DW41">
        <v>5.9038404580000003</v>
      </c>
      <c r="DX41" t="s">
        <v>69</v>
      </c>
      <c r="DY41">
        <v>0</v>
      </c>
      <c r="DZ41">
        <v>100.00000000999999</v>
      </c>
      <c r="EA41">
        <v>36.781609199999998</v>
      </c>
      <c r="EB41">
        <v>36.781609199999998</v>
      </c>
      <c r="EC41">
        <v>26.436781610000001</v>
      </c>
      <c r="ED41">
        <v>13.10344828</v>
      </c>
      <c r="EE41">
        <v>13.33333333</v>
      </c>
      <c r="EF41">
        <v>17.241379309999999</v>
      </c>
      <c r="EG41">
        <v>17.241379309999999</v>
      </c>
      <c r="EH41">
        <v>16.781609199999998</v>
      </c>
      <c r="EI41">
        <v>2.7586206899999999</v>
      </c>
      <c r="EJ41" t="s">
        <v>69</v>
      </c>
      <c r="EK41">
        <v>100.00000000000001</v>
      </c>
      <c r="EL41">
        <v>66.143106459999998</v>
      </c>
      <c r="EM41">
        <v>22.513089010000002</v>
      </c>
      <c r="EN41">
        <v>43.630017449999997</v>
      </c>
      <c r="EO41">
        <v>17.102966840000001</v>
      </c>
      <c r="EP41">
        <v>17.102966840000001</v>
      </c>
      <c r="EQ41">
        <v>4.363001745</v>
      </c>
      <c r="ER41">
        <v>5.0610820240000001</v>
      </c>
      <c r="ES41">
        <v>1.5706806280000001</v>
      </c>
      <c r="ET41">
        <v>2.4432809770000001</v>
      </c>
      <c r="EU41">
        <v>2.4432809770000001</v>
      </c>
      <c r="EV41">
        <v>3.315881326</v>
      </c>
      <c r="EW41">
        <v>3.315881326</v>
      </c>
      <c r="EX41">
        <v>0</v>
      </c>
      <c r="EY41">
        <v>23461</v>
      </c>
      <c r="EZ41">
        <v>7567</v>
      </c>
      <c r="FA41">
        <v>426</v>
      </c>
      <c r="FB41">
        <v>16</v>
      </c>
      <c r="FC41">
        <v>3784</v>
      </c>
      <c r="FD41">
        <v>2864</v>
      </c>
      <c r="FE41">
        <v>4170</v>
      </c>
      <c r="FF41">
        <v>2388</v>
      </c>
      <c r="FG41">
        <v>2128</v>
      </c>
      <c r="FH41">
        <v>3</v>
      </c>
      <c r="FI41">
        <v>34</v>
      </c>
      <c r="FJ41">
        <v>69</v>
      </c>
      <c r="FK41">
        <v>12</v>
      </c>
      <c r="FL41">
        <v>18793</v>
      </c>
      <c r="FM41">
        <v>6451</v>
      </c>
      <c r="FN41">
        <v>221</v>
      </c>
      <c r="FO41">
        <v>2698</v>
      </c>
      <c r="FP41">
        <v>2520</v>
      </c>
      <c r="FQ41">
        <v>1930</v>
      </c>
      <c r="FR41">
        <v>1873</v>
      </c>
      <c r="FS41">
        <v>3088</v>
      </c>
      <c r="FT41">
        <v>12</v>
      </c>
      <c r="FU41">
        <v>2536</v>
      </c>
      <c r="FV41">
        <v>609</v>
      </c>
      <c r="FW41">
        <v>205</v>
      </c>
      <c r="FX41" t="s">
        <v>69</v>
      </c>
      <c r="FY41">
        <v>419</v>
      </c>
      <c r="FZ41">
        <v>344</v>
      </c>
      <c r="GA41">
        <v>338</v>
      </c>
      <c r="GB41">
        <v>234</v>
      </c>
      <c r="GC41">
        <v>387</v>
      </c>
      <c r="GD41">
        <v>2132</v>
      </c>
      <c r="GE41">
        <v>667</v>
      </c>
      <c r="GF41">
        <v>695</v>
      </c>
      <c r="GG41">
        <v>507</v>
      </c>
      <c r="GH41">
        <v>16</v>
      </c>
      <c r="GI41">
        <v>120</v>
      </c>
      <c r="GJ41">
        <v>21</v>
      </c>
      <c r="GK41">
        <v>3</v>
      </c>
      <c r="GL41">
        <v>34</v>
      </c>
      <c r="GM41">
        <v>69</v>
      </c>
      <c r="GN41">
        <v>0</v>
      </c>
      <c r="GO41">
        <v>11137</v>
      </c>
      <c r="GP41">
        <v>4250</v>
      </c>
      <c r="GQ41">
        <v>250</v>
      </c>
      <c r="GR41">
        <v>3459</v>
      </c>
      <c r="GS41">
        <v>723</v>
      </c>
      <c r="GT41">
        <v>487</v>
      </c>
      <c r="GU41">
        <v>1215</v>
      </c>
      <c r="GV41">
        <v>700</v>
      </c>
      <c r="GW41">
        <v>598</v>
      </c>
      <c r="GX41">
        <v>73</v>
      </c>
      <c r="GY41">
        <v>29</v>
      </c>
      <c r="GZ41" t="s">
        <v>69</v>
      </c>
      <c r="HA41">
        <v>9</v>
      </c>
      <c r="HB41">
        <v>19</v>
      </c>
      <c r="HC41">
        <v>0</v>
      </c>
      <c r="HD41">
        <v>10129</v>
      </c>
      <c r="HE41">
        <v>4046</v>
      </c>
      <c r="HF41">
        <v>0</v>
      </c>
      <c r="HG41">
        <v>3201</v>
      </c>
      <c r="HH41">
        <v>652</v>
      </c>
      <c r="HI41">
        <v>429</v>
      </c>
      <c r="HJ41">
        <v>1203</v>
      </c>
      <c r="HK41">
        <v>598</v>
      </c>
      <c r="HL41" t="s">
        <v>69</v>
      </c>
      <c r="HM41">
        <v>0</v>
      </c>
      <c r="HN41">
        <v>435</v>
      </c>
      <c r="HO41">
        <v>160</v>
      </c>
      <c r="HP41">
        <v>57</v>
      </c>
      <c r="HQ41">
        <v>58</v>
      </c>
      <c r="HR41">
        <v>75</v>
      </c>
      <c r="HS41">
        <v>73</v>
      </c>
      <c r="HT41">
        <v>12</v>
      </c>
      <c r="HU41" t="s">
        <v>69</v>
      </c>
      <c r="HV41">
        <v>573</v>
      </c>
      <c r="HW41">
        <v>129</v>
      </c>
      <c r="HX41">
        <v>250</v>
      </c>
      <c r="HY41">
        <v>98</v>
      </c>
      <c r="HZ41">
        <v>25</v>
      </c>
      <c r="IA41">
        <v>29</v>
      </c>
      <c r="IB41">
        <v>9</v>
      </c>
      <c r="IC41">
        <v>14</v>
      </c>
      <c r="ID41">
        <v>19</v>
      </c>
      <c r="IE41">
        <v>0</v>
      </c>
      <c r="IG41">
        <v>72.080116000000004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G110"/>
  <sheetViews>
    <sheetView topLeftCell="A2" workbookViewId="0">
      <selection activeCell="F26" sqref="F26:CG26"/>
    </sheetView>
  </sheetViews>
  <sheetFormatPr defaultColWidth="8.85546875" defaultRowHeight="15" x14ac:dyDescent="0.25"/>
  <cols>
    <col min="1" max="1" width="56.28515625" customWidth="1"/>
    <col min="2" max="2" width="15.85546875" customWidth="1"/>
    <col min="3" max="85" width="9.140625" bestFit="1" customWidth="1"/>
  </cols>
  <sheetData>
    <row r="1" spans="1:8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</row>
    <row r="2" spans="1:85" x14ac:dyDescent="0.25">
      <c r="A2" s="1" t="str">
        <f>"Description"</f>
        <v>Description</v>
      </c>
      <c r="B2" s="1" t="str">
        <f>"Ticker"</f>
        <v>Ticker</v>
      </c>
      <c r="C2" s="1" t="str">
        <f>"Field ID"</f>
        <v>Field ID</v>
      </c>
      <c r="D2" s="1" t="str">
        <f>"Field Mnemonic"</f>
        <v>Field Mnemonic</v>
      </c>
      <c r="E2" s="1" t="str">
        <f>"Data State"</f>
        <v>Data State</v>
      </c>
      <c r="F2" s="1" t="str">
        <f ca="1">ReferenceData!$C$103</f>
        <v>10/2017</v>
      </c>
      <c r="G2" s="1" t="str">
        <f ca="1">ReferenceData!$D$103</f>
        <v>9/2017</v>
      </c>
      <c r="H2" s="1" t="str">
        <f ca="1">ReferenceData!$E$103</f>
        <v>8/2017</v>
      </c>
      <c r="I2" s="1" t="str">
        <f ca="1">ReferenceData!$F$103</f>
        <v>7/2017</v>
      </c>
      <c r="J2" s="1" t="str">
        <f ca="1">ReferenceData!$G$103</f>
        <v>6/2017</v>
      </c>
      <c r="K2" s="1" t="str">
        <f ca="1">ReferenceData!$H$103</f>
        <v>5/2017</v>
      </c>
      <c r="L2" s="1" t="str">
        <f ca="1">ReferenceData!$I$103</f>
        <v>4/2017</v>
      </c>
      <c r="M2" s="1" t="str">
        <f ca="1">ReferenceData!$J$103</f>
        <v>3/2017</v>
      </c>
      <c r="N2" s="1" t="str">
        <f ca="1">ReferenceData!$K$103</f>
        <v>2/2017</v>
      </c>
      <c r="O2" s="1" t="str">
        <f ca="1">ReferenceData!$L$103</f>
        <v>1/2017</v>
      </c>
      <c r="P2" s="1" t="str">
        <f ca="1">ReferenceData!$M$103</f>
        <v>12/2016</v>
      </c>
      <c r="Q2" s="1" t="str">
        <f ca="1">ReferenceData!$N$103</f>
        <v>11/2016</v>
      </c>
      <c r="R2" s="1" t="str">
        <f ca="1">ReferenceData!$O$103</f>
        <v>10/2016</v>
      </c>
      <c r="S2" s="1" t="str">
        <f ca="1">ReferenceData!$P$103</f>
        <v>9/2016</v>
      </c>
      <c r="T2" s="1" t="str">
        <f ca="1">ReferenceData!$Q$103</f>
        <v>8/2016</v>
      </c>
      <c r="U2" s="1" t="str">
        <f ca="1">ReferenceData!$R$103</f>
        <v>7/2016</v>
      </c>
      <c r="V2" s="1" t="str">
        <f ca="1">ReferenceData!$S$103</f>
        <v>6/2016</v>
      </c>
      <c r="W2" s="1" t="str">
        <f ca="1">ReferenceData!$T$103</f>
        <v>5/2016</v>
      </c>
      <c r="X2" s="1" t="str">
        <f ca="1">ReferenceData!$U$103</f>
        <v>4/2016</v>
      </c>
      <c r="Y2" s="1" t="str">
        <f ca="1">ReferenceData!$V$103</f>
        <v>3/2016</v>
      </c>
      <c r="Z2" s="1" t="str">
        <f ca="1">ReferenceData!$W$103</f>
        <v>2/2016</v>
      </c>
      <c r="AA2" s="1" t="str">
        <f ca="1">ReferenceData!$X$103</f>
        <v>1/2016</v>
      </c>
      <c r="AB2" s="1" t="str">
        <f ca="1">ReferenceData!$Y$103</f>
        <v>12/2015</v>
      </c>
      <c r="AC2" s="1" t="str">
        <f ca="1">ReferenceData!$Z$103</f>
        <v>11/2015</v>
      </c>
      <c r="AD2" s="1" t="str">
        <f ca="1">ReferenceData!$AA$103</f>
        <v>10/2015</v>
      </c>
      <c r="AE2" s="1" t="str">
        <f ca="1">ReferenceData!$AB$103</f>
        <v>9/2015</v>
      </c>
      <c r="AF2" s="1" t="str">
        <f ca="1">ReferenceData!$AC$103</f>
        <v>8/2015</v>
      </c>
      <c r="AG2" s="1" t="str">
        <f ca="1">ReferenceData!$AD$103</f>
        <v>7/2015</v>
      </c>
      <c r="AH2" s="1" t="str">
        <f ca="1">ReferenceData!$AE$103</f>
        <v>6/2015</v>
      </c>
      <c r="AI2" s="1" t="str">
        <f ca="1">ReferenceData!$AF$103</f>
        <v>5/2015</v>
      </c>
      <c r="AJ2" s="1" t="str">
        <f ca="1">ReferenceData!$AG$103</f>
        <v>4/2015</v>
      </c>
      <c r="AK2" s="1" t="str">
        <f ca="1">ReferenceData!$AH$103</f>
        <v>3/2015</v>
      </c>
      <c r="AL2" s="1" t="str">
        <f ca="1">ReferenceData!$AI$103</f>
        <v>2/2015</v>
      </c>
      <c r="AM2" s="1" t="str">
        <f ca="1">ReferenceData!$AJ$103</f>
        <v>1/2015</v>
      </c>
      <c r="AN2" s="1" t="str">
        <f ca="1">ReferenceData!$AK$103</f>
        <v>12/2014</v>
      </c>
      <c r="AO2" s="1" t="str">
        <f ca="1">ReferenceData!$AL$103</f>
        <v>11/2014</v>
      </c>
      <c r="AP2" s="1" t="str">
        <f ca="1">ReferenceData!$AM$103</f>
        <v>10/2014</v>
      </c>
      <c r="AQ2" s="1" t="str">
        <f ca="1">ReferenceData!$AN$103</f>
        <v>9/2014</v>
      </c>
      <c r="AR2" s="1" t="str">
        <f ca="1">ReferenceData!$AO$103</f>
        <v>8/2014</v>
      </c>
      <c r="AS2" s="1" t="str">
        <f ca="1">ReferenceData!$AP$103</f>
        <v>7/2014</v>
      </c>
      <c r="AT2" t="str">
        <f ca="1">$C$103</f>
        <v>10/2017</v>
      </c>
      <c r="AU2" t="str">
        <f ca="1">$D$103</f>
        <v>9/2017</v>
      </c>
      <c r="AV2" t="str">
        <f ca="1">$E$103</f>
        <v>8/2017</v>
      </c>
      <c r="AW2" t="str">
        <f ca="1">$F$103</f>
        <v>7/2017</v>
      </c>
      <c r="AX2" t="str">
        <f ca="1">$G$103</f>
        <v>6/2017</v>
      </c>
      <c r="AY2" t="str">
        <f ca="1">$H$103</f>
        <v>5/2017</v>
      </c>
      <c r="AZ2" t="str">
        <f ca="1">$I$103</f>
        <v>4/2017</v>
      </c>
      <c r="BA2" t="str">
        <f ca="1">$J$103</f>
        <v>3/2017</v>
      </c>
      <c r="BB2" t="str">
        <f ca="1">$K$103</f>
        <v>2/2017</v>
      </c>
      <c r="BC2" t="str">
        <f ca="1">$L$103</f>
        <v>1/2017</v>
      </c>
      <c r="BD2" t="str">
        <f ca="1">$M$103</f>
        <v>12/2016</v>
      </c>
      <c r="BE2" t="str">
        <f ca="1">$N$103</f>
        <v>11/2016</v>
      </c>
      <c r="BF2" t="str">
        <f ca="1">$O$103</f>
        <v>10/2016</v>
      </c>
      <c r="BG2" t="str">
        <f ca="1">$P$103</f>
        <v>9/2016</v>
      </c>
      <c r="BH2" t="str">
        <f ca="1">$Q$103</f>
        <v>8/2016</v>
      </c>
      <c r="BI2" t="str">
        <f ca="1">$R$103</f>
        <v>7/2016</v>
      </c>
      <c r="BJ2" t="str">
        <f ca="1">$S$103</f>
        <v>6/2016</v>
      </c>
      <c r="BK2" t="str">
        <f ca="1">$T$103</f>
        <v>5/2016</v>
      </c>
      <c r="BL2" t="str">
        <f ca="1">$U$103</f>
        <v>4/2016</v>
      </c>
      <c r="BM2" t="str">
        <f ca="1">$V$103</f>
        <v>3/2016</v>
      </c>
      <c r="BN2" t="str">
        <f ca="1">$W$103</f>
        <v>2/2016</v>
      </c>
      <c r="BO2" t="str">
        <f ca="1">$X$103</f>
        <v>1/2016</v>
      </c>
      <c r="BP2" t="str">
        <f ca="1">$Y$103</f>
        <v>12/2015</v>
      </c>
      <c r="BQ2" t="str">
        <f ca="1">$Z$103</f>
        <v>11/2015</v>
      </c>
      <c r="BR2" t="str">
        <f ca="1">$AA$103</f>
        <v>10/2015</v>
      </c>
      <c r="BS2" t="str">
        <f ca="1">$AB$103</f>
        <v>9/2015</v>
      </c>
      <c r="BT2" t="str">
        <f ca="1">$AC$103</f>
        <v>8/2015</v>
      </c>
      <c r="BU2" t="str">
        <f ca="1">$AD$103</f>
        <v>7/2015</v>
      </c>
      <c r="BV2" t="str">
        <f ca="1">$AE$103</f>
        <v>6/2015</v>
      </c>
      <c r="BW2" t="str">
        <f ca="1">$AF$103</f>
        <v>5/2015</v>
      </c>
      <c r="BX2" t="str">
        <f ca="1">$AG$103</f>
        <v>4/2015</v>
      </c>
      <c r="BY2" t="str">
        <f ca="1">$AH$103</f>
        <v>3/2015</v>
      </c>
      <c r="BZ2" t="str">
        <f ca="1">$AI$103</f>
        <v>2/2015</v>
      </c>
      <c r="CA2" t="str">
        <f ca="1">$AJ$103</f>
        <v>1/2015</v>
      </c>
      <c r="CB2" t="str">
        <f ca="1">$AK$103</f>
        <v>12/2014</v>
      </c>
      <c r="CC2" t="str">
        <f ca="1">$AL$103</f>
        <v>11/2014</v>
      </c>
      <c r="CD2" t="str">
        <f ca="1">$AM$103</f>
        <v>10/2014</v>
      </c>
      <c r="CE2" t="str">
        <f ca="1">$AN$103</f>
        <v>9/2014</v>
      </c>
      <c r="CF2" t="str">
        <f ca="1">$AO$103</f>
        <v>8/2014</v>
      </c>
      <c r="CG2" t="str">
        <f ca="1">$AP$103</f>
        <v>7/2014</v>
      </c>
    </row>
    <row r="3" spans="1:85" x14ac:dyDescent="0.25">
      <c r="A3" t="str">
        <f>"Brazil Truck Registrations"</f>
        <v>Brazil Truck Registrations</v>
      </c>
      <c r="B3" t="str">
        <f>""</f>
        <v/>
      </c>
      <c r="E3" t="str">
        <f>"Heading"</f>
        <v>Heading</v>
      </c>
      <c r="AT3" t="str">
        <f>""</f>
        <v/>
      </c>
      <c r="AU3" t="str">
        <f>""</f>
        <v/>
      </c>
      <c r="AV3" t="str">
        <f>""</f>
        <v/>
      </c>
      <c r="AW3" t="str">
        <f>""</f>
        <v/>
      </c>
      <c r="AX3" t="str">
        <f>""</f>
        <v/>
      </c>
      <c r="AY3" t="str">
        <f>""</f>
        <v/>
      </c>
      <c r="AZ3" t="str">
        <f>""</f>
        <v/>
      </c>
      <c r="BA3" t="str">
        <f>""</f>
        <v/>
      </c>
      <c r="BB3" t="str">
        <f>""</f>
        <v/>
      </c>
      <c r="BC3" t="str">
        <f>""</f>
        <v/>
      </c>
      <c r="BD3" t="str">
        <f>""</f>
        <v/>
      </c>
      <c r="BE3" t="str">
        <f>""</f>
        <v/>
      </c>
      <c r="BF3" t="str">
        <f>""</f>
        <v/>
      </c>
      <c r="BG3" t="str">
        <f>""</f>
        <v/>
      </c>
      <c r="BH3" t="str">
        <f>""</f>
        <v/>
      </c>
      <c r="BI3" t="str">
        <f>""</f>
        <v/>
      </c>
      <c r="BJ3" t="str">
        <f>""</f>
        <v/>
      </c>
      <c r="BK3" t="str">
        <f>""</f>
        <v/>
      </c>
      <c r="BL3" t="str">
        <f>""</f>
        <v/>
      </c>
      <c r="BM3" t="str">
        <f>""</f>
        <v/>
      </c>
      <c r="BN3" t="str">
        <f>""</f>
        <v/>
      </c>
      <c r="BO3" t="str">
        <f>""</f>
        <v/>
      </c>
      <c r="BP3" t="str">
        <f>""</f>
        <v/>
      </c>
      <c r="BQ3" t="str">
        <f>""</f>
        <v/>
      </c>
      <c r="BR3" t="str">
        <f>""</f>
        <v/>
      </c>
      <c r="BS3" t="str">
        <f>""</f>
        <v/>
      </c>
      <c r="BT3" t="str">
        <f>""</f>
        <v/>
      </c>
      <c r="BU3" t="str">
        <f>""</f>
        <v/>
      </c>
      <c r="BV3" t="str">
        <f>""</f>
        <v/>
      </c>
      <c r="BW3" t="str">
        <f>""</f>
        <v/>
      </c>
      <c r="BX3" t="str">
        <f>""</f>
        <v/>
      </c>
      <c r="BY3" t="str">
        <f>""</f>
        <v/>
      </c>
      <c r="BZ3" t="str">
        <f>""</f>
        <v/>
      </c>
      <c r="CA3" t="str">
        <f>""</f>
        <v/>
      </c>
      <c r="CB3" t="str">
        <f>""</f>
        <v/>
      </c>
      <c r="CC3" t="str">
        <f>""</f>
        <v/>
      </c>
      <c r="CD3" t="str">
        <f>""</f>
        <v/>
      </c>
      <c r="CE3" t="str">
        <f>""</f>
        <v/>
      </c>
      <c r="CF3" t="str">
        <f>""</f>
        <v/>
      </c>
      <c r="CG3" t="str">
        <f>""</f>
        <v/>
      </c>
    </row>
    <row r="4" spans="1:85" x14ac:dyDescent="0.25">
      <c r="A4" t="str">
        <f>"Locally Manufactured &amp; Imported"</f>
        <v>Locally Manufactured &amp; Imported</v>
      </c>
      <c r="B4" t="str">
        <f>""</f>
        <v/>
      </c>
      <c r="E4" t="str">
        <f>"Heading"</f>
        <v>Heading</v>
      </c>
      <c r="AT4" t="str">
        <f>""</f>
        <v/>
      </c>
      <c r="AU4" t="str">
        <f>""</f>
        <v/>
      </c>
      <c r="AV4" t="str">
        <f>""</f>
        <v/>
      </c>
      <c r="AW4" t="str">
        <f>""</f>
        <v/>
      </c>
      <c r="AX4" t="str">
        <f>""</f>
        <v/>
      </c>
      <c r="AY4" t="str">
        <f>""</f>
        <v/>
      </c>
      <c r="AZ4" t="str">
        <f>""</f>
        <v/>
      </c>
      <c r="BA4" t="str">
        <f>""</f>
        <v/>
      </c>
      <c r="BB4" t="str">
        <f>""</f>
        <v/>
      </c>
      <c r="BC4" t="str">
        <f>""</f>
        <v/>
      </c>
      <c r="BD4" t="str">
        <f>""</f>
        <v/>
      </c>
      <c r="BE4" t="str">
        <f>""</f>
        <v/>
      </c>
      <c r="BF4" t="str">
        <f>""</f>
        <v/>
      </c>
      <c r="BG4" t="str">
        <f>""</f>
        <v/>
      </c>
      <c r="BH4" t="str">
        <f>""</f>
        <v/>
      </c>
      <c r="BI4" t="str">
        <f>""</f>
        <v/>
      </c>
      <c r="BJ4" t="str">
        <f>""</f>
        <v/>
      </c>
      <c r="BK4" t="str">
        <f>""</f>
        <v/>
      </c>
      <c r="BL4" t="str">
        <f>""</f>
        <v/>
      </c>
      <c r="BM4" t="str">
        <f>""</f>
        <v/>
      </c>
      <c r="BN4" t="str">
        <f>""</f>
        <v/>
      </c>
      <c r="BO4" t="str">
        <f>""</f>
        <v/>
      </c>
      <c r="BP4" t="str">
        <f>""</f>
        <v/>
      </c>
      <c r="BQ4" t="str">
        <f>""</f>
        <v/>
      </c>
      <c r="BR4" t="str">
        <f>""</f>
        <v/>
      </c>
      <c r="BS4" t="str">
        <f>""</f>
        <v/>
      </c>
      <c r="BT4" t="str">
        <f>""</f>
        <v/>
      </c>
      <c r="BU4" t="str">
        <f>""</f>
        <v/>
      </c>
      <c r="BV4" t="str">
        <f>""</f>
        <v/>
      </c>
      <c r="BW4" t="str">
        <f>""</f>
        <v/>
      </c>
      <c r="BX4" t="str">
        <f>""</f>
        <v/>
      </c>
      <c r="BY4" t="str">
        <f>""</f>
        <v/>
      </c>
      <c r="BZ4" t="str">
        <f>""</f>
        <v/>
      </c>
      <c r="CA4" t="str">
        <f>""</f>
        <v/>
      </c>
      <c r="CB4" t="str">
        <f>""</f>
        <v/>
      </c>
      <c r="CC4" t="str">
        <f>""</f>
        <v/>
      </c>
      <c r="CD4" t="str">
        <f>""</f>
        <v/>
      </c>
      <c r="CE4" t="str">
        <f>""</f>
        <v/>
      </c>
      <c r="CF4" t="str">
        <f>""</f>
        <v/>
      </c>
      <c r="CG4" t="str">
        <f>""</f>
        <v/>
      </c>
    </row>
    <row r="5" spans="1:85" x14ac:dyDescent="0.25">
      <c r="A5" t="str">
        <f>"Market Share By Brand"</f>
        <v>Market Share By Brand</v>
      </c>
      <c r="B5" t="str">
        <f>""</f>
        <v/>
      </c>
      <c r="E5" t="str">
        <f>"Heading"</f>
        <v>Heading</v>
      </c>
      <c r="AT5" t="str">
        <f>""</f>
        <v/>
      </c>
      <c r="AU5" t="str">
        <f>""</f>
        <v/>
      </c>
      <c r="AV5" t="str">
        <f>""</f>
        <v/>
      </c>
      <c r="AW5" t="str">
        <f>""</f>
        <v/>
      </c>
      <c r="AX5" t="str">
        <f>""</f>
        <v/>
      </c>
      <c r="AY5" t="str">
        <f>""</f>
        <v/>
      </c>
      <c r="AZ5" t="str">
        <f>""</f>
        <v/>
      </c>
      <c r="BA5" t="str">
        <f>""</f>
        <v/>
      </c>
      <c r="BB5" t="str">
        <f>""</f>
        <v/>
      </c>
      <c r="BC5" t="str">
        <f>""</f>
        <v/>
      </c>
      <c r="BD5" t="str">
        <f>""</f>
        <v/>
      </c>
      <c r="BE5" t="str">
        <f>""</f>
        <v/>
      </c>
      <c r="BF5" t="str">
        <f>""</f>
        <v/>
      </c>
      <c r="BG5" t="str">
        <f>""</f>
        <v/>
      </c>
      <c r="BH5" t="str">
        <f>""</f>
        <v/>
      </c>
      <c r="BI5" t="str">
        <f>""</f>
        <v/>
      </c>
      <c r="BJ5" t="str">
        <f>""</f>
        <v/>
      </c>
      <c r="BK5" t="str">
        <f>""</f>
        <v/>
      </c>
      <c r="BL5" t="str">
        <f>""</f>
        <v/>
      </c>
      <c r="BM5" t="str">
        <f>""</f>
        <v/>
      </c>
      <c r="BN5" t="str">
        <f>""</f>
        <v/>
      </c>
      <c r="BO5" t="str">
        <f>""</f>
        <v/>
      </c>
      <c r="BP5" t="str">
        <f>""</f>
        <v/>
      </c>
      <c r="BQ5" t="str">
        <f>""</f>
        <v/>
      </c>
      <c r="BR5" t="str">
        <f>""</f>
        <v/>
      </c>
      <c r="BS5" t="str">
        <f>""</f>
        <v/>
      </c>
      <c r="BT5" t="str">
        <f>""</f>
        <v/>
      </c>
      <c r="BU5" t="str">
        <f>""</f>
        <v/>
      </c>
      <c r="BV5" t="str">
        <f>""</f>
        <v/>
      </c>
      <c r="BW5" t="str">
        <f>""</f>
        <v/>
      </c>
      <c r="BX5" t="str">
        <f>""</f>
        <v/>
      </c>
      <c r="BY5" t="str">
        <f>""</f>
        <v/>
      </c>
      <c r="BZ5" t="str">
        <f>""</f>
        <v/>
      </c>
      <c r="CA5" t="str">
        <f>""</f>
        <v/>
      </c>
      <c r="CB5" t="str">
        <f>""</f>
        <v/>
      </c>
      <c r="CC5" t="str">
        <f>""</f>
        <v/>
      </c>
      <c r="CD5" t="str">
        <f>""</f>
        <v/>
      </c>
      <c r="CE5" t="str">
        <f>""</f>
        <v/>
      </c>
      <c r="CF5" t="str">
        <f>""</f>
        <v/>
      </c>
      <c r="CG5" t="str">
        <f>""</f>
        <v/>
      </c>
    </row>
    <row r="6" spans="1:85" x14ac:dyDescent="0.25">
      <c r="A6" t="str">
        <f>"Total Heavy (GCV &gt;15t)"</f>
        <v>Total Heavy (GCV &gt;15t)</v>
      </c>
      <c r="B6" t="str">
        <f>""</f>
        <v/>
      </c>
      <c r="E6" t="str">
        <f>"Sum"</f>
        <v>Sum</v>
      </c>
      <c r="F6">
        <f ca="1">IF(ISERROR(IF(SUM($F$7:$F$16) = 0, "", SUM($F$7:$F$16))), "", (IF(SUM($F$7:$F$16) = 0, "", SUM($F$7:$F$16))))</f>
        <v>99.999999994999996</v>
      </c>
      <c r="G6">
        <f ca="1">IF(ISERROR(IF(SUM($G$7:$G$16) = 0, "", SUM($G$7:$G$16))), "", (IF(SUM($G$7:$G$16) = 0, "", SUM($G$7:$G$16))))</f>
        <v>99.999999998999982</v>
      </c>
      <c r="H6">
        <f ca="1">IF(ISERROR(IF(SUM($H$7:$H$16) = 0, "", SUM($H$7:$H$16))), "", (IF(SUM($H$7:$H$16) = 0, "", SUM($H$7:$H$16))))</f>
        <v>100.000000005</v>
      </c>
      <c r="I6">
        <f ca="1">IF(ISERROR(IF(SUM($I$7:$I$16) = 0, "", SUM($I$7:$I$16))), "", (IF(SUM($I$7:$I$16) = 0, "", SUM($I$7:$I$16))))</f>
        <v>99.999999983999999</v>
      </c>
      <c r="J6">
        <f ca="1">IF(ISERROR(IF(SUM($J$7:$J$16) = 0, "", SUM($J$7:$J$16))), "", (IF(SUM($J$7:$J$16) = 0, "", SUM($J$7:$J$16))))</f>
        <v>99.999999996000014</v>
      </c>
      <c r="K6">
        <f ca="1">IF(ISERROR(IF(SUM($K$7:$K$16) = 0, "", SUM($K$7:$K$16))), "", (IF(SUM($K$7:$K$16) = 0, "", SUM($K$7:$K$16))))</f>
        <v>99.999999996000014</v>
      </c>
      <c r="L6">
        <f ca="1">IF(ISERROR(IF(SUM($L$7:$L$16) = 0, "", SUM($L$7:$L$16))), "", (IF(SUM($L$7:$L$16) = 0, "", SUM($L$7:$L$16))))</f>
        <v>99.999999999000011</v>
      </c>
      <c r="M6">
        <f ca="1">IF(ISERROR(IF(SUM($M$7:$M$16) = 0, "", SUM($M$7:$M$16))), "", (IF(SUM($M$7:$M$16) = 0, "", SUM($M$7:$M$16))))</f>
        <v>100.000000007</v>
      </c>
      <c r="N6">
        <f ca="1">IF(ISERROR(IF(SUM($N$7:$N$16) = 0, "", SUM($N$7:$N$16))), "", (IF(SUM($N$7:$N$16) = 0, "", SUM($N$7:$N$16))))</f>
        <v>100.00000001000001</v>
      </c>
      <c r="O6">
        <f ca="1">IF(ISERROR(IF(SUM($O$7:$O$16) = 0, "", SUM($O$7:$O$16))), "", (IF(SUM($O$7:$O$16) = 0, "", SUM($O$7:$O$16))))</f>
        <v>100.000000005</v>
      </c>
      <c r="P6">
        <f ca="1">IF(ISERROR(IF(SUM($P$7:$P$16) = 0, "", SUM($P$7:$P$16))), "", (IF(SUM($P$7:$P$16) = 0, "", SUM($P$7:$P$16))))</f>
        <v>100.00000000199999</v>
      </c>
      <c r="Q6">
        <f ca="1">IF(ISERROR(IF(SUM($Q$7:$Q$16) = 0, "", SUM($Q$7:$Q$16))), "", (IF(SUM($Q$7:$Q$16) = 0, "", SUM($Q$7:$Q$16))))</f>
        <v>100.00000000000004</v>
      </c>
      <c r="R6">
        <f ca="1">IF(ISERROR(IF(SUM($R$7:$R$16) = 0, "", SUM($R$7:$R$16))), "", (IF(SUM($R$7:$R$16) = 0, "", SUM($R$7:$R$16))))</f>
        <v>100.000000009</v>
      </c>
      <c r="S6">
        <f ca="1">IF(ISERROR(IF(SUM($S$7:$S$16) = 0, "", SUM($S$7:$S$16))), "", (IF(SUM($S$7:$S$16) = 0, "", SUM($S$7:$S$16))))</f>
        <v>100.00000000900002</v>
      </c>
      <c r="T6">
        <f ca="1">IF(ISERROR(IF(SUM($T$7:$T$16) = 0, "", SUM($T$7:$T$16))), "", (IF(SUM($T$7:$T$16) = 0, "", SUM($T$7:$T$16))))</f>
        <v>99.999999990999981</v>
      </c>
      <c r="U6">
        <f ca="1">IF(ISERROR(IF(SUM($U$7:$U$16) = 0, "", SUM($U$7:$U$16))), "", (IF(SUM($U$7:$U$16) = 0, "", SUM($U$7:$U$16))))</f>
        <v>100.00000000600001</v>
      </c>
      <c r="V6">
        <f ca="1">IF(ISERROR(IF(SUM($V$7:$V$16) = 0, "", SUM($V$7:$V$16))), "", (IF(SUM($V$7:$V$16) = 0, "", SUM($V$7:$V$16))))</f>
        <v>99.999999998999996</v>
      </c>
      <c r="W6">
        <f ca="1">IF(ISERROR(IF(SUM($W$7:$W$16) = 0, "", SUM($W$7:$W$16))), "", (IF(SUM($W$7:$W$16) = 0, "", SUM($W$7:$W$16))))</f>
        <v>99.999999995999985</v>
      </c>
      <c r="X6">
        <f ca="1">IF(ISERROR(IF(SUM($X$7:$X$16) = 0, "", SUM($X$7:$X$16))), "", (IF(SUM($X$7:$X$16) = 0, "", SUM($X$7:$X$16))))</f>
        <v>99.999999996</v>
      </c>
      <c r="Y6">
        <f ca="1">IF(ISERROR(IF(SUM($Y$7:$Y$16) = 0, "", SUM($Y$7:$Y$16))), "", (IF(SUM($Y$7:$Y$16) = 0, "", SUM($Y$7:$Y$16))))</f>
        <v>99.999999997000003</v>
      </c>
      <c r="Z6">
        <f ca="1">IF(ISERROR(IF(SUM($Z$7:$Z$16) = 0, "", SUM($Z$7:$Z$16))), "", (IF(SUM($Z$7:$Z$16) = 0, "", SUM($Z$7:$Z$16))))</f>
        <v>99.999999993000003</v>
      </c>
      <c r="AA6">
        <f ca="1">IF(ISERROR(IF(SUM($AA$7:$AA$16) = 0, "", SUM($AA$7:$AA$16))), "", (IF(SUM($AA$7:$AA$16) = 0, "", SUM($AA$7:$AA$16))))</f>
        <v>100.00000000899999</v>
      </c>
      <c r="AB6">
        <f ca="1">IF(ISERROR(IF(SUM($AB$7:$AB$16) = 0, "", SUM($AB$7:$AB$16))), "", (IF(SUM($AB$7:$AB$16) = 0, "", SUM($AB$7:$AB$16))))</f>
        <v>99.999999989999992</v>
      </c>
      <c r="AC6">
        <f ca="1">IF(ISERROR(IF(SUM($AC$7:$AC$16) = 0, "", SUM($AC$7:$AC$16))), "", (IF(SUM($AC$7:$AC$16) = 0, "", SUM($AC$7:$AC$16))))</f>
        <v>99.999999994999996</v>
      </c>
      <c r="AD6">
        <f ca="1">IF(ISERROR(IF(SUM($AD$7:$AD$16) = 0, "", SUM($AD$7:$AD$16))), "", (IF(SUM($AD$7:$AD$16) = 0, "", SUM($AD$7:$AD$16))))</f>
        <v>100.00000000300001</v>
      </c>
      <c r="AE6">
        <f ca="1">IF(ISERROR(IF(SUM($AE$7:$AE$16) = 0, "", SUM($AE$7:$AE$16))), "", (IF(SUM($AE$7:$AE$16) = 0, "", SUM($AE$7:$AE$16))))</f>
        <v>100.000000003</v>
      </c>
      <c r="AF6">
        <f ca="1">IF(ISERROR(IF(SUM($AF$7:$AF$16) = 0, "", SUM($AF$7:$AF$16))), "", (IF(SUM($AF$7:$AF$16) = 0, "", SUM($AF$7:$AF$16))))</f>
        <v>99.999999998999996</v>
      </c>
      <c r="AG6">
        <f ca="1">IF(ISERROR(IF(SUM($AG$7:$AG$16) = 0, "", SUM($AG$7:$AG$16))), "", (IF(SUM($AG$7:$AG$16) = 0, "", SUM($AG$7:$AG$16))))</f>
        <v>99.999999998999996</v>
      </c>
      <c r="AH6">
        <f ca="1">IF(ISERROR(IF(SUM($AH$7:$AH$16) = 0, "", SUM($AH$7:$AH$16))), "", (IF(SUM($AH$7:$AH$16) = 0, "", SUM($AH$7:$AH$16))))</f>
        <v>100.000000007</v>
      </c>
      <c r="AI6">
        <f ca="1">IF(ISERROR(IF(SUM($AI$7:$AI$16) = 0, "", SUM($AI$7:$AI$16))), "", (IF(SUM($AI$7:$AI$16) = 0, "", SUM($AI$7:$AI$16))))</f>
        <v>100.00000000199999</v>
      </c>
      <c r="AJ6">
        <f ca="1">IF(ISERROR(IF(SUM($AJ$7:$AJ$16) = 0, "", SUM($AJ$7:$AJ$16))), "", (IF(SUM($AJ$7:$AJ$16) = 0, "", SUM($AJ$7:$AJ$16))))</f>
        <v>100.000000004</v>
      </c>
      <c r="AK6">
        <f ca="1">IF(ISERROR(IF(SUM($AK$7:$AK$16) = 0, "", SUM($AK$7:$AK$16))), "", (IF(SUM($AK$7:$AK$16) = 0, "", SUM($AK$7:$AK$16))))</f>
        <v>100.000000008</v>
      </c>
      <c r="AL6">
        <f ca="1">IF(ISERROR(IF(SUM($AL$7:$AL$16) = 0, "", SUM($AL$7:$AL$16))), "", (IF(SUM($AL$7:$AL$16) = 0, "", SUM($AL$7:$AL$16))))</f>
        <v>100.00000000000001</v>
      </c>
      <c r="AM6">
        <f ca="1">IF(ISERROR(IF(SUM($AM$7:$AM$16) = 0, "", SUM($AM$7:$AM$16))), "", (IF(SUM($AM$7:$AM$16) = 0, "", SUM($AM$7:$AM$16))))</f>
        <v>100.00000000199999</v>
      </c>
      <c r="AN6">
        <f ca="1">IF(ISERROR(IF(SUM($AN$7:$AN$16) = 0, "", SUM($AN$7:$AN$16))), "", (IF(SUM($AN$7:$AN$16) = 0, "", SUM($AN$7:$AN$16))))</f>
        <v>100.00000000199999</v>
      </c>
      <c r="AO6">
        <f ca="1">IF(ISERROR(IF(SUM($AO$7:$AO$16) = 0, "", SUM($AO$7:$AO$16))), "", (IF(SUM($AO$7:$AO$16) = 0, "", SUM($AO$7:$AO$16))))</f>
        <v>100.00000000000001</v>
      </c>
      <c r="AP6">
        <f ca="1">IF(ISERROR(IF(SUM($AP$7:$AP$16) = 0, "", SUM($AP$7:$AP$16))), "", (IF(SUM($AP$7:$AP$16) = 0, "", SUM($AP$7:$AP$16))))</f>
        <v>100.000000009</v>
      </c>
      <c r="AQ6">
        <f ca="1">IF(ISERROR(IF(SUM($AQ$7:$AQ$16) = 0, "", SUM($AQ$7:$AQ$16))), "", (IF(SUM($AQ$7:$AQ$16) = 0, "", SUM($AQ$7:$AQ$16))))</f>
        <v>99.999999998000007</v>
      </c>
      <c r="AR6">
        <f ca="1">IF(ISERROR(IF(SUM($AR$7:$AR$16) = 0, "", SUM($AR$7:$AR$16))), "", (IF(SUM($AR$7:$AR$16) = 0, "", SUM($AR$7:$AR$16))))</f>
        <v>100.00000000000001</v>
      </c>
      <c r="AS6">
        <f ca="1">IF(ISERROR(IF(SUM($AS$7:$AS$16) = 0, "", SUM($AS$7:$AS$16))), "", (IF(SUM($AS$7:$AS$16) = 0, "", SUM($AS$7:$AS$16))))</f>
        <v>99.99999999100001</v>
      </c>
      <c r="AT6">
        <f>100</f>
        <v>100</v>
      </c>
      <c r="AU6">
        <f>100</f>
        <v>100</v>
      </c>
      <c r="AV6">
        <f>100</f>
        <v>100</v>
      </c>
      <c r="AW6">
        <f>100</f>
        <v>100</v>
      </c>
      <c r="AX6">
        <f>100</f>
        <v>100</v>
      </c>
      <c r="AY6">
        <f>100</f>
        <v>100</v>
      </c>
      <c r="AZ6">
        <f>100</f>
        <v>100</v>
      </c>
      <c r="BA6">
        <f>100</f>
        <v>100</v>
      </c>
      <c r="BB6">
        <f>100</f>
        <v>100</v>
      </c>
      <c r="BC6">
        <f>100</f>
        <v>100</v>
      </c>
      <c r="BD6">
        <f>100</f>
        <v>100</v>
      </c>
      <c r="BE6">
        <f>100</f>
        <v>100</v>
      </c>
      <c r="BF6">
        <f>100</f>
        <v>100</v>
      </c>
      <c r="BG6">
        <f>100</f>
        <v>100</v>
      </c>
      <c r="BH6">
        <f>100</f>
        <v>100</v>
      </c>
      <c r="BI6">
        <f>100</f>
        <v>100</v>
      </c>
      <c r="BJ6">
        <f>100</f>
        <v>100</v>
      </c>
      <c r="BK6">
        <f>100</f>
        <v>100</v>
      </c>
      <c r="BL6">
        <f>100</f>
        <v>100</v>
      </c>
      <c r="BM6">
        <f>100</f>
        <v>100</v>
      </c>
      <c r="BN6">
        <f>100</f>
        <v>100</v>
      </c>
      <c r="BO6">
        <f>100</f>
        <v>100</v>
      </c>
      <c r="BP6">
        <f>100</f>
        <v>100</v>
      </c>
      <c r="BQ6">
        <f>100</f>
        <v>100</v>
      </c>
      <c r="BR6">
        <f>100</f>
        <v>100</v>
      </c>
      <c r="BS6">
        <f>100</f>
        <v>100</v>
      </c>
      <c r="BT6">
        <f>100</f>
        <v>100</v>
      </c>
      <c r="BU6">
        <f>100</f>
        <v>100</v>
      </c>
      <c r="BV6">
        <f>100</f>
        <v>100</v>
      </c>
      <c r="BW6">
        <f>100</f>
        <v>100</v>
      </c>
      <c r="BX6">
        <f>100</f>
        <v>100</v>
      </c>
      <c r="BY6">
        <f>100</f>
        <v>100</v>
      </c>
      <c r="BZ6">
        <f>100</f>
        <v>100</v>
      </c>
      <c r="CA6">
        <f>100</f>
        <v>100</v>
      </c>
      <c r="CB6">
        <f>100</f>
        <v>100</v>
      </c>
      <c r="CC6">
        <f>100</f>
        <v>100</v>
      </c>
      <c r="CD6">
        <f>100</f>
        <v>100</v>
      </c>
      <c r="CE6">
        <f>100</f>
        <v>100</v>
      </c>
      <c r="CF6">
        <f>100</f>
        <v>100</v>
      </c>
      <c r="CG6">
        <f>100</f>
        <v>100</v>
      </c>
    </row>
    <row r="7" spans="1:85" x14ac:dyDescent="0.25">
      <c r="A7" t="str">
        <f>"    Scania"</f>
        <v xml:space="preserve">    Scania</v>
      </c>
      <c r="B7" t="str">
        <f>""</f>
        <v/>
      </c>
      <c r="E7" t="str">
        <f t="shared" ref="E7:E16" si="0">"Expression"</f>
        <v>Expression</v>
      </c>
      <c r="F7">
        <f ca="1">IF(AND($B$64=1,LEN($F$19) * LEN($F$18)&gt;0),$F$19/$F$18*100,HLOOKUP(INDIRECT(ADDRESS(2,COLUMN())),OFFSET($AT$2,0,0,ROW()-1,40),ROW()-1,FALSE))</f>
        <v>18.60465116</v>
      </c>
      <c r="G7">
        <f ca="1">IF(AND($B$64=1,LEN($G$19) * LEN($G$18)&gt;0),$G$19/$G$18*100,HLOOKUP(INDIRECT(ADDRESS(2,COLUMN())),OFFSET($AT$2,0,0,ROW()-1,40),ROW()-1,FALSE))</f>
        <v>16.49205813</v>
      </c>
      <c r="H7">
        <f ca="1">IF(AND($B$64=1,LEN($H$19) * LEN($H$18)&gt;0),$H$19/$H$18*100,HLOOKUP(INDIRECT(ADDRESS(2,COLUMN())),OFFSET($AT$2,0,0,ROW()-1,40),ROW()-1,FALSE))</f>
        <v>14.05440415</v>
      </c>
      <c r="I7">
        <f ca="1">IF(AND($B$64=1,LEN($I$19) * LEN($I$18)&gt;0),$I$19/$I$18*100,HLOOKUP(INDIRECT(ADDRESS(2,COLUMN())),OFFSET($AT$2,0,0,ROW()-1,40),ROW()-1,FALSE))</f>
        <v>19.302152929999998</v>
      </c>
      <c r="J7">
        <f ca="1">IF(AND($B$64=1,LEN($J$19) * LEN($J$18)&gt;0),$J$19/$J$18*100,HLOOKUP(INDIRECT(ADDRESS(2,COLUMN())),OFFSET($AT$2,0,0,ROW()-1,40),ROW()-1,FALSE))</f>
        <v>17.246835440000002</v>
      </c>
      <c r="K7">
        <f ca="1">IF(AND($B$64=1,LEN($K$19) * LEN($K$18)&gt;0),$K$19/$K$18*100,HLOOKUP(INDIRECT(ADDRESS(2,COLUMN())),OFFSET($AT$2,0,0,ROW()-1,40),ROW()-1,FALSE))</f>
        <v>17.11250983</v>
      </c>
      <c r="L7">
        <f ca="1">IF(AND($B$64=1,LEN($L$19) * LEN($L$18)&gt;0),$L$19/$L$18*100,HLOOKUP(INDIRECT(ADDRESS(2,COLUMN())),OFFSET($AT$2,0,0,ROW()-1,40),ROW()-1,FALSE))</f>
        <v>15.54921541</v>
      </c>
      <c r="M7">
        <f ca="1">IF(AND($B$64=1,LEN($M$19) * LEN($M$18)&gt;0),$M$19/$M$18*100,HLOOKUP(INDIRECT(ADDRESS(2,COLUMN())),OFFSET($AT$2,0,0,ROW()-1,40),ROW()-1,FALSE))</f>
        <v>21.025020179999999</v>
      </c>
      <c r="N7">
        <f ca="1">IF(AND($B$64=1,LEN($N$19) * LEN($N$18)&gt;0),$N$19/$N$18*100,HLOOKUP(INDIRECT(ADDRESS(2,COLUMN())),OFFSET($AT$2,0,0,ROW()-1,40),ROW()-1,FALSE))</f>
        <v>15.335051549999999</v>
      </c>
      <c r="O7">
        <f ca="1">IF(AND($B$64=1,LEN($O$19) * LEN($O$18)&gt;0),$O$19/$O$18*100,HLOOKUP(INDIRECT(ADDRESS(2,COLUMN())),OFFSET($AT$2,0,0,ROW()-1,40),ROW()-1,FALSE))</f>
        <v>17.037037040000001</v>
      </c>
      <c r="P7">
        <f ca="1">IF(AND($B$64=1,LEN($P$19) * LEN($P$18)&gt;0),$P$19/$P$18*100,HLOOKUP(INDIRECT(ADDRESS(2,COLUMN())),OFFSET($AT$2,0,0,ROW()-1,40),ROW()-1,FALSE))</f>
        <v>11.936936940000001</v>
      </c>
      <c r="Q7">
        <f ca="1">IF(AND($B$64=1,LEN($Q$19) * LEN($Q$18)&gt;0),$Q$19/$Q$18*100,HLOOKUP(INDIRECT(ADDRESS(2,COLUMN())),OFFSET($AT$2,0,0,ROW()-1,40),ROW()-1,FALSE))</f>
        <v>15.199637020000001</v>
      </c>
      <c r="R7">
        <f ca="1">IF(AND($B$64=1,LEN($R$19) * LEN($R$18)&gt;0),$R$19/$R$18*100,HLOOKUP(INDIRECT(ADDRESS(2,COLUMN())),OFFSET($AT$2,0,0,ROW()-1,40),ROW()-1,FALSE))</f>
        <v>17.163412130000001</v>
      </c>
      <c r="S7">
        <f ca="1">IF(AND($B$64=1,LEN($S$19) * LEN($S$18)&gt;0),$S$19/$S$18*100,HLOOKUP(INDIRECT(ADDRESS(2,COLUMN())),OFFSET($AT$2,0,0,ROW()-1,40),ROW()-1,FALSE))</f>
        <v>15.40997116</v>
      </c>
      <c r="T7">
        <f ca="1">IF(AND($B$64=1,LEN($T$19) * LEN($T$18)&gt;0),$T$19/$T$18*100,HLOOKUP(INDIRECT(ADDRESS(2,COLUMN())),OFFSET($AT$2,0,0,ROW()-1,40),ROW()-1,FALSE))</f>
        <v>14.95401839</v>
      </c>
      <c r="U7">
        <f ca="1">IF(AND($B$64=1,LEN($U$19) * LEN($U$18)&gt;0),$U$19/$U$18*100,HLOOKUP(INDIRECT(ADDRESS(2,COLUMN())),OFFSET($AT$2,0,0,ROW()-1,40),ROW()-1,FALSE))</f>
        <v>15.39553033</v>
      </c>
      <c r="V7">
        <f ca="1">IF(AND($B$64=1,LEN($V$19) * LEN($V$18)&gt;0),$V$19/$V$18*100,HLOOKUP(INDIRECT(ADDRESS(2,COLUMN())),OFFSET($AT$2,0,0,ROW()-1,40),ROW()-1,FALSE))</f>
        <v>18.059071729999999</v>
      </c>
      <c r="W7">
        <f ca="1">IF(AND($B$64=1,LEN($W$19) * LEN($W$18)&gt;0),$W$19/$W$18*100,HLOOKUP(INDIRECT(ADDRESS(2,COLUMN())),OFFSET($AT$2,0,0,ROW()-1,40),ROW()-1,FALSE))</f>
        <v>16.396242529999999</v>
      </c>
      <c r="X7">
        <f ca="1">IF(AND($B$64=1,LEN($X$19) * LEN($X$18)&gt;0),$X$19/$X$18*100,HLOOKUP(INDIRECT(ADDRESS(2,COLUMN())),OFFSET($AT$2,0,0,ROW()-1,40),ROW()-1,FALSE))</f>
        <v>11.274509800000001</v>
      </c>
      <c r="Y7">
        <f ca="1">IF(AND($B$64=1,LEN($Y$19) * LEN($Y$18)&gt;0),$Y$19/$Y$18*100,HLOOKUP(INDIRECT(ADDRESS(2,COLUMN())),OFFSET($AT$2,0,0,ROW()-1,40),ROW()-1,FALSE))</f>
        <v>14.069192749999999</v>
      </c>
      <c r="Z7">
        <f ca="1">IF(AND($B$64=1,LEN($Z$19) * LEN($Z$18)&gt;0),$Z$19/$Z$18*100,HLOOKUP(INDIRECT(ADDRESS(2,COLUMN())),OFFSET($AT$2,0,0,ROW()-1,40),ROW()-1,FALSE))</f>
        <v>10.10498688</v>
      </c>
      <c r="AA7">
        <f ca="1">IF(AND($B$64=1,LEN($AA$19) * LEN($AA$18)&gt;0),$AA$19/$AA$18*100,HLOOKUP(INDIRECT(ADDRESS(2,COLUMN())),OFFSET($AT$2,0,0,ROW()-1,40),ROW()-1,FALSE))</f>
        <v>12.58581236</v>
      </c>
      <c r="AB7">
        <f ca="1">IF(AND($B$64=1,LEN($AB$19) * LEN($AB$18)&gt;0),$AB$19/$AB$18*100,HLOOKUP(INDIRECT(ADDRESS(2,COLUMN())),OFFSET($AT$2,0,0,ROW()-1,40),ROW()-1,FALSE))</f>
        <v>13.72956909</v>
      </c>
      <c r="AC7">
        <f ca="1">IF(AND($B$64=1,LEN($AC$19) * LEN($AC$18)&gt;0),$AC$19/$AC$18*100,HLOOKUP(INDIRECT(ADDRESS(2,COLUMN())),OFFSET($AT$2,0,0,ROW()-1,40),ROW()-1,FALSE))</f>
        <v>14.54956653</v>
      </c>
      <c r="AD7">
        <f ca="1">IF(AND($B$64=1,LEN($AD$19) * LEN($AD$18)&gt;0),$AD$19/$AD$18*100,HLOOKUP(INDIRECT(ADDRESS(2,COLUMN())),OFFSET($AT$2,0,0,ROW()-1,40),ROW()-1,FALSE))</f>
        <v>14.109396909999999</v>
      </c>
      <c r="AE7">
        <f ca="1">IF(AND($B$64=1,LEN($AE$19) * LEN($AE$18)&gt;0),$AE$19/$AE$18*100,HLOOKUP(INDIRECT(ADDRESS(2,COLUMN())),OFFSET($AT$2,0,0,ROW()-1,40),ROW()-1,FALSE))</f>
        <v>14.384548860000001</v>
      </c>
      <c r="AF7">
        <f ca="1">IF(AND($B$64=1,LEN($AF$19) * LEN($AF$18)&gt;0),$AF$19/$AF$18*100,HLOOKUP(INDIRECT(ADDRESS(2,COLUMN())),OFFSET($AT$2,0,0,ROW()-1,40),ROW()-1,FALSE))</f>
        <v>12.685887709999999</v>
      </c>
      <c r="AG7">
        <f ca="1">IF(AND($B$64=1,LEN($AG$19) * LEN($AG$18)&gt;0),$AG$19/$AG$18*100,HLOOKUP(INDIRECT(ADDRESS(2,COLUMN())),OFFSET($AT$2,0,0,ROW()-1,40),ROW()-1,FALSE))</f>
        <v>11.444356750000001</v>
      </c>
      <c r="AH7">
        <f ca="1">IF(AND($B$64=1,LEN($AH$19) * LEN($AH$18)&gt;0),$AH$19/$AH$18*100,HLOOKUP(INDIRECT(ADDRESS(2,COLUMN())),OFFSET($AT$2,0,0,ROW()-1,40),ROW()-1,FALSE))</f>
        <v>11.62472648</v>
      </c>
      <c r="AI7">
        <f ca="1">IF(AND($B$64=1,LEN($AI$19) * LEN($AI$18)&gt;0),$AI$19/$AI$18*100,HLOOKUP(INDIRECT(ADDRESS(2,COLUMN())),OFFSET($AT$2,0,0,ROW()-1,40),ROW()-1,FALSE))</f>
        <v>11.48231331</v>
      </c>
      <c r="AJ7">
        <f ca="1">IF(AND($B$64=1,LEN($AJ$19) * LEN($AJ$18)&gt;0),$AJ$19/$AJ$18*100,HLOOKUP(INDIRECT(ADDRESS(2,COLUMN())),OFFSET($AT$2,0,0,ROW()-1,40),ROW()-1,FALSE))</f>
        <v>13.85632702</v>
      </c>
      <c r="AK7">
        <f ca="1">IF(AND($B$64=1,LEN($AK$19) * LEN($AK$18)&gt;0),$AK$19/$AK$18*100,HLOOKUP(INDIRECT(ADDRESS(2,COLUMN())),OFFSET($AT$2,0,0,ROW()-1,40),ROW()-1,FALSE))</f>
        <v>8.768554151</v>
      </c>
      <c r="AL7">
        <f ca="1">IF(AND($B$64=1,LEN($AL$19) * LEN($AL$18)&gt;0),$AL$19/$AL$18*100,HLOOKUP(INDIRECT(ADDRESS(2,COLUMN())),OFFSET($AT$2,0,0,ROW()-1,40),ROW()-1,FALSE))</f>
        <v>12.18922652</v>
      </c>
      <c r="AM7">
        <f ca="1">IF(AND($B$64=1,LEN($AM$19) * LEN($AM$18)&gt;0),$AM$19/$AM$18*100,HLOOKUP(INDIRECT(ADDRESS(2,COLUMN())),OFFSET($AT$2,0,0,ROW()-1,40),ROW()-1,FALSE))</f>
        <v>12.65996344</v>
      </c>
      <c r="AN7">
        <f ca="1">IF(AND($B$64=1,LEN($AN$19) * LEN($AN$18)&gt;0),$AN$19/$AN$18*100,HLOOKUP(INDIRECT(ADDRESS(2,COLUMN())),OFFSET($AT$2,0,0,ROW()-1,40),ROW()-1,FALSE))</f>
        <v>14.93761553</v>
      </c>
      <c r="AO7">
        <f ca="1">IF(AND($B$64=1,LEN($AO$19) * LEN($AO$18)&gt;0),$AO$19/$AO$18*100,HLOOKUP(INDIRECT(ADDRESS(2,COLUMN())),OFFSET($AT$2,0,0,ROW()-1,40),ROW()-1,FALSE))</f>
        <v>15.709969790000001</v>
      </c>
      <c r="AP7">
        <f ca="1">IF(AND($B$64=1,LEN($AP$19) * LEN($AP$18)&gt;0),$AP$19/$AP$18*100,HLOOKUP(INDIRECT(ADDRESS(2,COLUMN())),OFFSET($AT$2,0,0,ROW()-1,40),ROW()-1,FALSE))</f>
        <v>15.21496717</v>
      </c>
      <c r="AQ7">
        <f ca="1">IF(AND($B$64=1,LEN($AQ$19) * LEN($AQ$18)&gt;0),$AQ$19/$AQ$18*100,HLOOKUP(INDIRECT(ADDRESS(2,COLUMN())),OFFSET($AT$2,0,0,ROW()-1,40),ROW()-1,FALSE))</f>
        <v>16.591189790000001</v>
      </c>
      <c r="AR7">
        <f ca="1">IF(AND($B$64=1,LEN($AR$19) * LEN($AR$18)&gt;0),$AR$19/$AR$18*100,HLOOKUP(INDIRECT(ADDRESS(2,COLUMN())),OFFSET($AT$2,0,0,ROW()-1,40),ROW()-1,FALSE))</f>
        <v>15.212527959999999</v>
      </c>
      <c r="AS7">
        <f ca="1">IF(AND($B$64=1,LEN($AS$19) * LEN($AS$18)&gt;0),$AS$19/$AS$18*100,HLOOKUP(INDIRECT(ADDRESS(2,COLUMN())),OFFSET($AT$2,0,0,ROW()-1,40),ROW()-1,FALSE))</f>
        <v>14.275318370000001</v>
      </c>
      <c r="AT7">
        <f>18.60465116</f>
        <v>18.60465116</v>
      </c>
      <c r="AU7">
        <f>16.49205813</f>
        <v>16.49205813</v>
      </c>
      <c r="AV7">
        <f>14.05440415</f>
        <v>14.05440415</v>
      </c>
      <c r="AW7">
        <f>19.30215293</f>
        <v>19.302152929999998</v>
      </c>
      <c r="AX7">
        <f>17.24683544</f>
        <v>17.246835440000002</v>
      </c>
      <c r="AY7">
        <f>17.11250983</f>
        <v>17.11250983</v>
      </c>
      <c r="AZ7">
        <f>15.54921541</f>
        <v>15.54921541</v>
      </c>
      <c r="BA7">
        <f>21.02502018</f>
        <v>21.025020179999999</v>
      </c>
      <c r="BB7">
        <f>15.33505155</f>
        <v>15.335051549999999</v>
      </c>
      <c r="BC7">
        <f>17.03703704</f>
        <v>17.037037040000001</v>
      </c>
      <c r="BD7">
        <f>11.93693694</f>
        <v>11.936936940000001</v>
      </c>
      <c r="BE7">
        <f>15.19963702</f>
        <v>15.199637020000001</v>
      </c>
      <c r="BF7">
        <f>17.16341213</f>
        <v>17.163412130000001</v>
      </c>
      <c r="BG7">
        <f>15.40997116</f>
        <v>15.40997116</v>
      </c>
      <c r="BH7">
        <f>14.95401839</f>
        <v>14.95401839</v>
      </c>
      <c r="BI7">
        <f>15.39553033</f>
        <v>15.39553033</v>
      </c>
      <c r="BJ7">
        <f>18.05907173</f>
        <v>18.059071729999999</v>
      </c>
      <c r="BK7">
        <f>16.39624253</f>
        <v>16.396242529999999</v>
      </c>
      <c r="BL7">
        <f>11.2745098</f>
        <v>11.274509800000001</v>
      </c>
      <c r="BM7">
        <f>14.06919275</f>
        <v>14.069192749999999</v>
      </c>
      <c r="BN7">
        <f>10.10498688</f>
        <v>10.10498688</v>
      </c>
      <c r="BO7">
        <f>12.58581236</f>
        <v>12.58581236</v>
      </c>
      <c r="BP7">
        <f>13.72956909</f>
        <v>13.72956909</v>
      </c>
      <c r="BQ7">
        <f>14.54956653</f>
        <v>14.54956653</v>
      </c>
      <c r="BR7">
        <f>14.10939691</f>
        <v>14.109396909999999</v>
      </c>
      <c r="BS7">
        <f>14.38454886</f>
        <v>14.384548860000001</v>
      </c>
      <c r="BT7">
        <f>12.68588771</f>
        <v>12.685887709999999</v>
      </c>
      <c r="BU7">
        <f>11.44435675</f>
        <v>11.444356750000001</v>
      </c>
      <c r="BV7">
        <f>11.62472648</f>
        <v>11.62472648</v>
      </c>
      <c r="BW7">
        <f>11.48231331</f>
        <v>11.48231331</v>
      </c>
      <c r="BX7">
        <f>13.85632702</f>
        <v>13.85632702</v>
      </c>
      <c r="BY7">
        <f>8.768554151</f>
        <v>8.768554151</v>
      </c>
      <c r="BZ7">
        <f>12.18922652</f>
        <v>12.18922652</v>
      </c>
      <c r="CA7">
        <f>12.65996344</f>
        <v>12.65996344</v>
      </c>
      <c r="CB7">
        <f>14.93761553</f>
        <v>14.93761553</v>
      </c>
      <c r="CC7">
        <f>15.70996979</f>
        <v>15.709969790000001</v>
      </c>
      <c r="CD7">
        <f>15.21496717</f>
        <v>15.21496717</v>
      </c>
      <c r="CE7">
        <f>16.59118979</f>
        <v>16.591189790000001</v>
      </c>
      <c r="CF7">
        <f>15.21252796</f>
        <v>15.212527959999999</v>
      </c>
      <c r="CG7">
        <f>14.27531837</f>
        <v>14.275318370000001</v>
      </c>
    </row>
    <row r="8" spans="1:85" x14ac:dyDescent="0.25">
      <c r="A8" t="str">
        <f>"    Volvo"</f>
        <v xml:space="preserve">    Volvo</v>
      </c>
      <c r="B8" t="str">
        <f>""</f>
        <v/>
      </c>
      <c r="E8" t="str">
        <f t="shared" si="0"/>
        <v>Expression</v>
      </c>
      <c r="F8">
        <f ca="1">IF(AND($B$64=1,LEN($F$20) * LEN($F$18)&gt;0),$F$20/$F$18*100,HLOOKUP(INDIRECT(ADDRESS(2,COLUMN())),OFFSET($AT$2,0,0,ROW()-1,40),ROW()-1,FALSE))</f>
        <v>20.806201550000001</v>
      </c>
      <c r="G8">
        <f ca="1">IF(AND($B$64=1,LEN($G$20) * LEN($G$18)&gt;0),$G$20/$G$18*100,HLOOKUP(INDIRECT(ADDRESS(2,COLUMN())),OFFSET($AT$2,0,0,ROW()-1,40),ROW()-1,FALSE))</f>
        <v>17.134166950000001</v>
      </c>
      <c r="H8">
        <f ca="1">IF(AND($B$64=1,LEN($H$20) * LEN($H$18)&gt;0),$H$20/$H$18*100,HLOOKUP(INDIRECT(ADDRESS(2,COLUMN())),OFFSET($AT$2,0,0,ROW()-1,40),ROW()-1,FALSE))</f>
        <v>15.479274609999999</v>
      </c>
      <c r="I8">
        <f ca="1">IF(AND($B$64=1,LEN($I$20) * LEN($I$18)&gt;0),$I$20/$I$18*100,HLOOKUP(INDIRECT(ADDRESS(2,COLUMN())),OFFSET($AT$2,0,0,ROW()-1,40),ROW()-1,FALSE))</f>
        <v>18.634001479999998</v>
      </c>
      <c r="J8">
        <f ca="1">IF(AND($B$64=1,LEN($J$20) * LEN($J$18)&gt;0),$J$20/$J$18*100,HLOOKUP(INDIRECT(ADDRESS(2,COLUMN())),OFFSET($AT$2,0,0,ROW()-1,40),ROW()-1,FALSE))</f>
        <v>18.789556959999999</v>
      </c>
      <c r="K8">
        <f ca="1">IF(AND($B$64=1,LEN($K$20) * LEN($K$18)&gt;0),$K$20/$K$18*100,HLOOKUP(INDIRECT(ADDRESS(2,COLUMN())),OFFSET($AT$2,0,0,ROW()-1,40),ROW()-1,FALSE))</f>
        <v>17.427222660000002</v>
      </c>
      <c r="L8">
        <f ca="1">IF(AND($B$64=1,LEN($L$20) * LEN($L$18)&gt;0),$L$20/$L$18*100,HLOOKUP(INDIRECT(ADDRESS(2,COLUMN())),OFFSET($AT$2,0,0,ROW()-1,40),ROW()-1,FALSE))</f>
        <v>19.163100329999999</v>
      </c>
      <c r="M8">
        <f ca="1">IF(AND($B$64=1,LEN($M$20) * LEN($M$18)&gt;0),$M$20/$M$18*100,HLOOKUP(INDIRECT(ADDRESS(2,COLUMN())),OFFSET($AT$2,0,0,ROW()-1,40),ROW()-1,FALSE))</f>
        <v>14.527845040000001</v>
      </c>
      <c r="N8">
        <f ca="1">IF(AND($B$64=1,LEN($N$20) * LEN($N$18)&gt;0),$N$20/$N$18*100,HLOOKUP(INDIRECT(ADDRESS(2,COLUMN())),OFFSET($AT$2,0,0,ROW()-1,40),ROW()-1,FALSE))</f>
        <v>23.7757732</v>
      </c>
      <c r="O8">
        <f ca="1">IF(AND($B$64=1,LEN($O$20) * LEN($O$18)&gt;0),$O$20/$O$18*100,HLOOKUP(INDIRECT(ADDRESS(2,COLUMN())),OFFSET($AT$2,0,0,ROW()-1,40),ROW()-1,FALSE))</f>
        <v>17.195767199999999</v>
      </c>
      <c r="P8">
        <f ca="1">IF(AND($B$64=1,LEN($P$20) * LEN($P$18)&gt;0),$P$20/$P$18*100,HLOOKUP(INDIRECT(ADDRESS(2,COLUMN())),OFFSET($AT$2,0,0,ROW()-1,40),ROW()-1,FALSE))</f>
        <v>22.147147149999999</v>
      </c>
      <c r="Q8">
        <f ca="1">IF(AND($B$64=1,LEN($Q$20) * LEN($Q$18)&gt;0),$Q$20/$Q$18*100,HLOOKUP(INDIRECT(ADDRESS(2,COLUMN())),OFFSET($AT$2,0,0,ROW()-1,40),ROW()-1,FALSE))</f>
        <v>17.967332119999998</v>
      </c>
      <c r="R8">
        <f ca="1">IF(AND($B$64=1,LEN($R$20) * LEN($R$18)&gt;0),$R$20/$R$18*100,HLOOKUP(INDIRECT(ADDRESS(2,COLUMN())),OFFSET($AT$2,0,0,ROW()-1,40),ROW()-1,FALSE))</f>
        <v>15.36485098</v>
      </c>
      <c r="S8">
        <f ca="1">IF(AND($B$64=1,LEN($S$20) * LEN($S$18)&gt;0),$S$20/$S$18*100,HLOOKUP(INDIRECT(ADDRESS(2,COLUMN())),OFFSET($AT$2,0,0,ROW()-1,40),ROW()-1,FALSE))</f>
        <v>17.923362180000002</v>
      </c>
      <c r="T8">
        <f ca="1">IF(AND($B$64=1,LEN($T$20) * LEN($T$18)&gt;0),$T$20/$T$18*100,HLOOKUP(INDIRECT(ADDRESS(2,COLUMN())),OFFSET($AT$2,0,0,ROW()-1,40),ROW()-1,FALSE))</f>
        <v>20.591763289999999</v>
      </c>
      <c r="U8">
        <f ca="1">IF(AND($B$64=1,LEN($U$20) * LEN($U$18)&gt;0),$U$20/$U$18*100,HLOOKUP(INDIRECT(ADDRESS(2,COLUMN())),OFFSET($AT$2,0,0,ROW()-1,40),ROW()-1,FALSE))</f>
        <v>16.885420360000001</v>
      </c>
      <c r="V8">
        <f ca="1">IF(AND($B$64=1,LEN($V$20) * LEN($V$18)&gt;0),$V$20/$V$18*100,HLOOKUP(INDIRECT(ADDRESS(2,COLUMN())),OFFSET($AT$2,0,0,ROW()-1,40),ROW()-1,FALSE))</f>
        <v>17.426160339999999</v>
      </c>
      <c r="W8">
        <f ca="1">IF(AND($B$64=1,LEN($W$20) * LEN($W$18)&gt;0),$W$20/$W$18*100,HLOOKUP(INDIRECT(ADDRESS(2,COLUMN())),OFFSET($AT$2,0,0,ROW()-1,40),ROW()-1,FALSE))</f>
        <v>18.061485909999998</v>
      </c>
      <c r="X8">
        <f ca="1">IF(AND($B$64=1,LEN($X$20) * LEN($X$18)&gt;0),$X$20/$X$18*100,HLOOKUP(INDIRECT(ADDRESS(2,COLUMN())),OFFSET($AT$2,0,0,ROW()-1,40),ROW()-1,FALSE))</f>
        <v>19.035947709999999</v>
      </c>
      <c r="Y8">
        <f ca="1">IF(AND($B$64=1,LEN($Y$20) * LEN($Y$18)&gt;0),$Y$20/$Y$18*100,HLOOKUP(INDIRECT(ADDRESS(2,COLUMN())),OFFSET($AT$2,0,0,ROW()-1,40),ROW()-1,FALSE))</f>
        <v>17.693574959999999</v>
      </c>
      <c r="Z8">
        <f ca="1">IF(AND($B$64=1,LEN($Z$20) * LEN($Z$18)&gt;0),$Z$20/$Z$18*100,HLOOKUP(INDIRECT(ADDRESS(2,COLUMN())),OFFSET($AT$2,0,0,ROW()-1,40),ROW()-1,FALSE))</f>
        <v>21.828521429999999</v>
      </c>
      <c r="AA8">
        <f ca="1">IF(AND($B$64=1,LEN($AA$20) * LEN($AA$18)&gt;0),$AA$20/$AA$18*100,HLOOKUP(INDIRECT(ADDRESS(2,COLUMN())),OFFSET($AT$2,0,0,ROW()-1,40),ROW()-1,FALSE))</f>
        <v>21.54843631</v>
      </c>
      <c r="AB8">
        <f ca="1">IF(AND($B$64=1,LEN($AB$20) * LEN($AB$18)&gt;0),$AB$20/$AB$18*100,HLOOKUP(INDIRECT(ADDRESS(2,COLUMN())),OFFSET($AT$2,0,0,ROW()-1,40),ROW()-1,FALSE))</f>
        <v>19.286775630000001</v>
      </c>
      <c r="AC8">
        <f ca="1">IF(AND($B$64=1,LEN($AC$20) * LEN($AC$18)&gt;0),$AC$20/$AC$18*100,HLOOKUP(INDIRECT(ADDRESS(2,COLUMN())),OFFSET($AT$2,0,0,ROW()-1,40),ROW()-1,FALSE))</f>
        <v>21.070486240000001</v>
      </c>
      <c r="AD8">
        <f ca="1">IF(AND($B$64=1,LEN($AD$20) * LEN($AD$18)&gt;0),$AD$20/$AD$18*100,HLOOKUP(INDIRECT(ADDRESS(2,COLUMN())),OFFSET($AT$2,0,0,ROW()-1,40),ROW()-1,FALSE))</f>
        <v>20.84151473</v>
      </c>
      <c r="AE8">
        <f ca="1">IF(AND($B$64=1,LEN($AE$20) * LEN($AE$18)&gt;0),$AE$20/$AE$18*100,HLOOKUP(INDIRECT(ADDRESS(2,COLUMN())),OFFSET($AT$2,0,0,ROW()-1,40),ROW()-1,FALSE))</f>
        <v>18.76621505</v>
      </c>
      <c r="AF8">
        <f ca="1">IF(AND($B$64=1,LEN($AF$20) * LEN($AF$18)&gt;0),$AF$20/$AF$18*100,HLOOKUP(INDIRECT(ADDRESS(2,COLUMN())),OFFSET($AT$2,0,0,ROW()-1,40),ROW()-1,FALSE))</f>
        <v>20.606980270000001</v>
      </c>
      <c r="AG8">
        <f ca="1">IF(AND($B$64=1,LEN($AG$20) * LEN($AG$18)&gt;0),$AG$20/$AG$18*100,HLOOKUP(INDIRECT(ADDRESS(2,COLUMN())),OFFSET($AT$2,0,0,ROW()-1,40),ROW()-1,FALSE))</f>
        <v>20.02104709</v>
      </c>
      <c r="AH8">
        <f ca="1">IF(AND($B$64=1,LEN($AH$20) * LEN($AH$18)&gt;0),$AH$20/$AH$18*100,HLOOKUP(INDIRECT(ADDRESS(2,COLUMN())),OFFSET($AT$2,0,0,ROW()-1,40),ROW()-1,FALSE))</f>
        <v>20.815098469999999</v>
      </c>
      <c r="AI8">
        <f ca="1">IF(AND($B$64=1,LEN($AI$20) * LEN($AI$18)&gt;0),$AI$20/$AI$18*100,HLOOKUP(INDIRECT(ADDRESS(2,COLUMN())),OFFSET($AT$2,0,0,ROW()-1,40),ROW()-1,FALSE))</f>
        <v>23.048848960000001</v>
      </c>
      <c r="AJ8">
        <f ca="1">IF(AND($B$64=1,LEN($AJ$20) * LEN($AJ$18)&gt;0),$AJ$20/$AJ$18*100,HLOOKUP(INDIRECT(ADDRESS(2,COLUMN())),OFFSET($AT$2,0,0,ROW()-1,40),ROW()-1,FALSE))</f>
        <v>19.98797716</v>
      </c>
      <c r="AK8">
        <f ca="1">IF(AND($B$64=1,LEN($AK$20) * LEN($AK$18)&gt;0),$AK$20/$AK$18*100,HLOOKUP(INDIRECT(ADDRESS(2,COLUMN())),OFFSET($AT$2,0,0,ROW()-1,40),ROW()-1,FALSE))</f>
        <v>19.2413414</v>
      </c>
      <c r="AL8">
        <f ca="1">IF(AND($B$64=1,LEN($AL$20) * LEN($AL$18)&gt;0),$AL$20/$AL$18*100,HLOOKUP(INDIRECT(ADDRESS(2,COLUMN())),OFFSET($AT$2,0,0,ROW()-1,40),ROW()-1,FALSE))</f>
        <v>17.679558010000001</v>
      </c>
      <c r="AM8">
        <f ca="1">IF(AND($B$64=1,LEN($AM$20) * LEN($AM$18)&gt;0),$AM$20/$AM$18*100,HLOOKUP(INDIRECT(ADDRESS(2,COLUMN())),OFFSET($AT$2,0,0,ROW()-1,40),ROW()-1,FALSE))</f>
        <v>19.37842779</v>
      </c>
      <c r="AN8">
        <f ca="1">IF(AND($B$64=1,LEN($AN$20) * LEN($AN$18)&gt;0),$AN$20/$AN$18*100,HLOOKUP(INDIRECT(ADDRESS(2,COLUMN())),OFFSET($AT$2,0,0,ROW()-1,40),ROW()-1,FALSE))</f>
        <v>23.740757859999999</v>
      </c>
      <c r="AO8">
        <f ca="1">IF(AND($B$64=1,LEN($AO$20) * LEN($AO$18)&gt;0),$AO$20/$AO$18*100,HLOOKUP(INDIRECT(ADDRESS(2,COLUMN())),OFFSET($AT$2,0,0,ROW()-1,40),ROW()-1,FALSE))</f>
        <v>22.75931521</v>
      </c>
      <c r="AP8">
        <f ca="1">IF(AND($B$64=1,LEN($AP$20) * LEN($AP$18)&gt;0),$AP$20/$AP$18*100,HLOOKUP(INDIRECT(ADDRESS(2,COLUMN())),OFFSET($AT$2,0,0,ROW()-1,40),ROW()-1,FALSE))</f>
        <v>18.88241854</v>
      </c>
      <c r="AQ8">
        <f ca="1">IF(AND($B$64=1,LEN($AQ$20) * LEN($AQ$18)&gt;0),$AQ$20/$AQ$18*100,HLOOKUP(INDIRECT(ADDRESS(2,COLUMN())),OFFSET($AT$2,0,0,ROW()-1,40),ROW()-1,FALSE))</f>
        <v>19.70632633</v>
      </c>
      <c r="AR8">
        <f ca="1">IF(AND($B$64=1,LEN($AR$20) * LEN($AR$18)&gt;0),$AR$20/$AR$18*100,HLOOKUP(INDIRECT(ADDRESS(2,COLUMN())),OFFSET($AT$2,0,0,ROW()-1,40),ROW()-1,FALSE))</f>
        <v>22.678970920000001</v>
      </c>
      <c r="AS8">
        <f ca="1">IF(AND($B$64=1,LEN($AS$20) * LEN($AS$18)&gt;0),$AS$20/$AS$18*100,HLOOKUP(INDIRECT(ADDRESS(2,COLUMN())),OFFSET($AT$2,0,0,ROW()-1,40),ROW()-1,FALSE))</f>
        <v>19.090357789999999</v>
      </c>
      <c r="AT8">
        <f>20.80620155</f>
        <v>20.806201550000001</v>
      </c>
      <c r="AU8">
        <f>17.13416695</f>
        <v>17.134166950000001</v>
      </c>
      <c r="AV8">
        <f>15.47927461</f>
        <v>15.479274609999999</v>
      </c>
      <c r="AW8">
        <f>18.63400148</f>
        <v>18.634001479999998</v>
      </c>
      <c r="AX8">
        <f>18.78955696</f>
        <v>18.789556959999999</v>
      </c>
      <c r="AY8">
        <f>17.42722266</f>
        <v>17.427222660000002</v>
      </c>
      <c r="AZ8">
        <f>19.16310033</f>
        <v>19.163100329999999</v>
      </c>
      <c r="BA8">
        <f>14.52784504</f>
        <v>14.527845040000001</v>
      </c>
      <c r="BB8">
        <f>23.7757732</f>
        <v>23.7757732</v>
      </c>
      <c r="BC8">
        <f>17.1957672</f>
        <v>17.195767199999999</v>
      </c>
      <c r="BD8">
        <f>22.14714715</f>
        <v>22.147147149999999</v>
      </c>
      <c r="BE8">
        <f>17.96733212</f>
        <v>17.967332119999998</v>
      </c>
      <c r="BF8">
        <f>15.36485098</f>
        <v>15.36485098</v>
      </c>
      <c r="BG8">
        <f>17.92336218</f>
        <v>17.923362180000002</v>
      </c>
      <c r="BH8">
        <f>20.59176329</f>
        <v>20.591763289999999</v>
      </c>
      <c r="BI8">
        <f>16.88542036</f>
        <v>16.885420360000001</v>
      </c>
      <c r="BJ8">
        <f>17.42616034</f>
        <v>17.426160339999999</v>
      </c>
      <c r="BK8">
        <f>18.06148591</f>
        <v>18.061485909999998</v>
      </c>
      <c r="BL8">
        <f>19.03594771</f>
        <v>19.035947709999999</v>
      </c>
      <c r="BM8">
        <f>17.69357496</f>
        <v>17.693574959999999</v>
      </c>
      <c r="BN8">
        <f>21.82852143</f>
        <v>21.828521429999999</v>
      </c>
      <c r="BO8">
        <f>21.54843631</f>
        <v>21.54843631</v>
      </c>
      <c r="BP8">
        <f>19.28677563</f>
        <v>19.286775630000001</v>
      </c>
      <c r="BQ8">
        <f>21.07048624</f>
        <v>21.070486240000001</v>
      </c>
      <c r="BR8">
        <f>20.84151473</f>
        <v>20.84151473</v>
      </c>
      <c r="BS8">
        <f>18.76621505</f>
        <v>18.76621505</v>
      </c>
      <c r="BT8">
        <f>20.60698027</f>
        <v>20.606980270000001</v>
      </c>
      <c r="BU8">
        <f>20.02104709</f>
        <v>20.02104709</v>
      </c>
      <c r="BV8">
        <f>20.81509847</f>
        <v>20.815098469999999</v>
      </c>
      <c r="BW8">
        <f>23.04884896</f>
        <v>23.048848960000001</v>
      </c>
      <c r="BX8">
        <f>19.98797716</f>
        <v>19.98797716</v>
      </c>
      <c r="BY8">
        <f>19.2413414</f>
        <v>19.2413414</v>
      </c>
      <c r="BZ8">
        <f>17.67955801</f>
        <v>17.679558010000001</v>
      </c>
      <c r="CA8">
        <f>19.37842779</f>
        <v>19.37842779</v>
      </c>
      <c r="CB8">
        <f>23.74075786</f>
        <v>23.740757859999999</v>
      </c>
      <c r="CC8">
        <f>22.75931521</f>
        <v>22.75931521</v>
      </c>
      <c r="CD8">
        <f>18.88241854</f>
        <v>18.88241854</v>
      </c>
      <c r="CE8">
        <f>19.70632633</f>
        <v>19.70632633</v>
      </c>
      <c r="CF8">
        <f>22.67897092</f>
        <v>22.678970920000001</v>
      </c>
      <c r="CG8">
        <f>19.09035779</f>
        <v>19.090357789999999</v>
      </c>
    </row>
    <row r="9" spans="1:85" x14ac:dyDescent="0.25">
      <c r="A9" t="str">
        <f>"    Mercedes-Benz"</f>
        <v xml:space="preserve">    Mercedes-Benz</v>
      </c>
      <c r="B9" t="str">
        <f>""</f>
        <v/>
      </c>
      <c r="E9" t="str">
        <f t="shared" si="0"/>
        <v>Expression</v>
      </c>
      <c r="F9">
        <f ca="1">IF(AND($B$64=1,LEN($F$21) * LEN($F$18)&gt;0),$F$21/$F$18*100,HLOOKUP(INDIRECT(ADDRESS(2,COLUMN())),OFFSET($AT$2,0,0,ROW()-1,40),ROW()-1,FALSE))</f>
        <v>23.348837209999999</v>
      </c>
      <c r="G9">
        <f ca="1">IF(AND($B$64=1,LEN($G$21) * LEN($G$18)&gt;0),$G$21/$G$18*100,HLOOKUP(INDIRECT(ADDRESS(2,COLUMN())),OFFSET($AT$2,0,0,ROW()-1,40),ROW()-1,FALSE))</f>
        <v>26.08989523</v>
      </c>
      <c r="H9">
        <f ca="1">IF(AND($B$64=1,LEN($H$21) * LEN($H$18)&gt;0),$H$21/$H$18*100,HLOOKUP(INDIRECT(ADDRESS(2,COLUMN())),OFFSET($AT$2,0,0,ROW()-1,40),ROW()-1,FALSE))</f>
        <v>31.25</v>
      </c>
      <c r="I9">
        <f ca="1">IF(AND($B$64=1,LEN($I$21) * LEN($I$18)&gt;0),$I$21/$I$18*100,HLOOKUP(INDIRECT(ADDRESS(2,COLUMN())),OFFSET($AT$2,0,0,ROW()-1,40),ROW()-1,FALSE))</f>
        <v>25.798069779999999</v>
      </c>
      <c r="J9">
        <f ca="1">IF(AND($B$64=1,LEN($J$21) * LEN($J$18)&gt;0),$J$21/$J$18*100,HLOOKUP(INDIRECT(ADDRESS(2,COLUMN())),OFFSET($AT$2,0,0,ROW()-1,40),ROW()-1,FALSE))</f>
        <v>28.955696199999998</v>
      </c>
      <c r="K9">
        <f ca="1">IF(AND($B$64=1,LEN($K$21) * LEN($K$18)&gt;0),$K$21/$K$18*100,HLOOKUP(INDIRECT(ADDRESS(2,COLUMN())),OFFSET($AT$2,0,0,ROW()-1,40),ROW()-1,FALSE))</f>
        <v>28.363493309999999</v>
      </c>
      <c r="L9">
        <f ca="1">IF(AND($B$64=1,LEN($L$21) * LEN($L$18)&gt;0),$L$21/$L$18*100,HLOOKUP(INDIRECT(ADDRESS(2,COLUMN())),OFFSET($AT$2,0,0,ROW()-1,40),ROW()-1,FALSE))</f>
        <v>25.3447456</v>
      </c>
      <c r="M9">
        <f ca="1">IF(AND($B$64=1,LEN($M$21) * LEN($M$18)&gt;0),$M$21/$M$18*100,HLOOKUP(INDIRECT(ADDRESS(2,COLUMN())),OFFSET($AT$2,0,0,ROW()-1,40),ROW()-1,FALSE))</f>
        <v>32.728006460000003</v>
      </c>
      <c r="N9">
        <f ca="1">IF(AND($B$64=1,LEN($N$21) * LEN($N$18)&gt;0),$N$21/$N$18*100,HLOOKUP(INDIRECT(ADDRESS(2,COLUMN())),OFFSET($AT$2,0,0,ROW()-1,40),ROW()-1,FALSE))</f>
        <v>32.152061860000003</v>
      </c>
      <c r="O9">
        <f ca="1">IF(AND($B$64=1,LEN($O$21) * LEN($O$18)&gt;0),$O$21/$O$18*100,HLOOKUP(INDIRECT(ADDRESS(2,COLUMN())),OFFSET($AT$2,0,0,ROW()-1,40),ROW()-1,FALSE))</f>
        <v>28.62433862</v>
      </c>
      <c r="P9">
        <f ca="1">IF(AND($B$64=1,LEN($P$21) * LEN($P$18)&gt;0),$P$21/$P$18*100,HLOOKUP(INDIRECT(ADDRESS(2,COLUMN())),OFFSET($AT$2,0,0,ROW()-1,40),ROW()-1,FALSE))</f>
        <v>27.364864860000001</v>
      </c>
      <c r="Q9">
        <f ca="1">IF(AND($B$64=1,LEN($Q$21) * LEN($Q$18)&gt;0),$Q$21/$Q$18*100,HLOOKUP(INDIRECT(ADDRESS(2,COLUMN())),OFFSET($AT$2,0,0,ROW()-1,40),ROW()-1,FALSE))</f>
        <v>32.078039930000003</v>
      </c>
      <c r="R9">
        <f ca="1">IF(AND($B$64=1,LEN($R$21) * LEN($R$18)&gt;0),$R$21/$R$18*100,HLOOKUP(INDIRECT(ADDRESS(2,COLUMN())),OFFSET($AT$2,0,0,ROW()-1,40),ROW()-1,FALSE))</f>
        <v>28.520041110000001</v>
      </c>
      <c r="S9">
        <f ca="1">IF(AND($B$64=1,LEN($S$21) * LEN($S$18)&gt;0),$S$21/$S$18*100,HLOOKUP(INDIRECT(ADDRESS(2,COLUMN())),OFFSET($AT$2,0,0,ROW()-1,40),ROW()-1,FALSE))</f>
        <v>30.037082819999998</v>
      </c>
      <c r="T9">
        <f ca="1">IF(AND($B$64=1,LEN($T$21) * LEN($T$18)&gt;0),$T$21/$T$18*100,HLOOKUP(INDIRECT(ADDRESS(2,COLUMN())),OFFSET($AT$2,0,0,ROW()-1,40),ROW()-1,FALSE))</f>
        <v>28.828468610000002</v>
      </c>
      <c r="U9">
        <f ca="1">IF(AND($B$64=1,LEN($U$21) * LEN($U$18)&gt;0),$U$21/$U$18*100,HLOOKUP(INDIRECT(ADDRESS(2,COLUMN())),OFFSET($AT$2,0,0,ROW()-1,40),ROW()-1,FALSE))</f>
        <v>24.902447680000002</v>
      </c>
      <c r="V9">
        <f ca="1">IF(AND($B$64=1,LEN($V$21) * LEN($V$18)&gt;0),$V$21/$V$18*100,HLOOKUP(INDIRECT(ADDRESS(2,COLUMN())),OFFSET($AT$2,0,0,ROW()-1,40),ROW()-1,FALSE))</f>
        <v>25.527426160000001</v>
      </c>
      <c r="W9">
        <f ca="1">IF(AND($B$64=1,LEN($W$21) * LEN($W$18)&gt;0),$W$21/$W$18*100,HLOOKUP(INDIRECT(ADDRESS(2,COLUMN())),OFFSET($AT$2,0,0,ROW()-1,40),ROW()-1,FALSE))</f>
        <v>29.163108449999999</v>
      </c>
      <c r="X9">
        <f ca="1">IF(AND($B$64=1,LEN($X$21) * LEN($X$18)&gt;0),$X$21/$X$18*100,HLOOKUP(INDIRECT(ADDRESS(2,COLUMN())),OFFSET($AT$2,0,0,ROW()-1,40),ROW()-1,FALSE))</f>
        <v>30.473856210000001</v>
      </c>
      <c r="Y9">
        <f ca="1">IF(AND($B$64=1,LEN($Y$21) * LEN($Y$18)&gt;0),$Y$21/$Y$18*100,HLOOKUP(INDIRECT(ADDRESS(2,COLUMN())),OFFSET($AT$2,0,0,ROW()-1,40),ROW()-1,FALSE))</f>
        <v>33.574958809999998</v>
      </c>
      <c r="Z9">
        <f ca="1">IF(AND($B$64=1,LEN($Z$21) * LEN($Z$18)&gt;0),$Z$21/$Z$18*100,HLOOKUP(INDIRECT(ADDRESS(2,COLUMN())),OFFSET($AT$2,0,0,ROW()-1,40),ROW()-1,FALSE))</f>
        <v>30.35870516</v>
      </c>
      <c r="AA9">
        <f ca="1">IF(AND($B$64=1,LEN($AA$21) * LEN($AA$18)&gt;0),$AA$21/$AA$18*100,HLOOKUP(INDIRECT(ADDRESS(2,COLUMN())),OFFSET($AT$2,0,0,ROW()-1,40),ROW()-1,FALSE))</f>
        <v>27.23112128</v>
      </c>
      <c r="AB9">
        <f ca="1">IF(AND($B$64=1,LEN($AB$21) * LEN($AB$18)&gt;0),$AB$21/$AB$18*100,HLOOKUP(INDIRECT(ADDRESS(2,COLUMN())),OFFSET($AT$2,0,0,ROW()-1,40),ROW()-1,FALSE))</f>
        <v>25.58692422</v>
      </c>
      <c r="AC9">
        <f ca="1">IF(AND($B$64=1,LEN($AC$21) * LEN($AC$18)&gt;0),$AC$21/$AC$18*100,HLOOKUP(INDIRECT(ADDRESS(2,COLUMN())),OFFSET($AT$2,0,0,ROW()-1,40),ROW()-1,FALSE))</f>
        <v>26.385224269999998</v>
      </c>
      <c r="AD9">
        <f ca="1">IF(AND($B$64=1,LEN($AD$21) * LEN($AD$18)&gt;0),$AD$21/$AD$18*100,HLOOKUP(INDIRECT(ADDRESS(2,COLUMN())),OFFSET($AT$2,0,0,ROW()-1,40),ROW()-1,FALSE))</f>
        <v>27.208976159999999</v>
      </c>
      <c r="AE9">
        <f ca="1">IF(AND($B$64=1,LEN($AE$21) * LEN($AE$18)&gt;0),$AE$21/$AE$18*100,HLOOKUP(INDIRECT(ADDRESS(2,COLUMN())),OFFSET($AT$2,0,0,ROW()-1,40),ROW()-1,FALSE))</f>
        <v>24.963966559999999</v>
      </c>
      <c r="AF9">
        <f ca="1">IF(AND($B$64=1,LEN($AF$21) * LEN($AF$18)&gt;0),$AF$21/$AF$18*100,HLOOKUP(INDIRECT(ADDRESS(2,COLUMN())),OFFSET($AT$2,0,0,ROW()-1,40),ROW()-1,FALSE))</f>
        <v>29.377845220000001</v>
      </c>
      <c r="AG9">
        <f ca="1">IF(AND($B$64=1,LEN($AG$21) * LEN($AG$18)&gt;0),$AG$21/$AG$18*100,HLOOKUP(INDIRECT(ADDRESS(2,COLUMN())),OFFSET($AT$2,0,0,ROW()-1,40),ROW()-1,FALSE))</f>
        <v>30.518284659999999</v>
      </c>
      <c r="AH9">
        <f ca="1">IF(AND($B$64=1,LEN($AH$21) * LEN($AH$18)&gt;0),$AH$21/$AH$18*100,HLOOKUP(INDIRECT(ADDRESS(2,COLUMN())),OFFSET($AT$2,0,0,ROW()-1,40),ROW()-1,FALSE))</f>
        <v>26.96936543</v>
      </c>
      <c r="AI9">
        <f ca="1">IF(AND($B$64=1,LEN($AI$21) * LEN($AI$18)&gt;0),$AI$21/$AI$18*100,HLOOKUP(INDIRECT(ADDRESS(2,COLUMN())),OFFSET($AT$2,0,0,ROW()-1,40),ROW()-1,FALSE))</f>
        <v>26.754632229999999</v>
      </c>
      <c r="AJ9">
        <f ca="1">IF(AND($B$64=1,LEN($AJ$21) * LEN($AJ$18)&gt;0),$AJ$21/$AJ$18*100,HLOOKUP(INDIRECT(ADDRESS(2,COLUMN())),OFFSET($AT$2,0,0,ROW()-1,40),ROW()-1,FALSE))</f>
        <v>27.562368500000002</v>
      </c>
      <c r="AK9">
        <f ca="1">IF(AND($B$64=1,LEN($AK$21) * LEN($AK$18)&gt;0),$AK$21/$AK$18*100,HLOOKUP(INDIRECT(ADDRESS(2,COLUMN())),OFFSET($AT$2,0,0,ROW()-1,40),ROW()-1,FALSE))</f>
        <v>24.84881803</v>
      </c>
      <c r="AL9">
        <f ca="1">IF(AND($B$64=1,LEN($AL$21) * LEN($AL$18)&gt;0),$AL$21/$AL$18*100,HLOOKUP(INDIRECT(ADDRESS(2,COLUMN())),OFFSET($AT$2,0,0,ROW()-1,40),ROW()-1,FALSE))</f>
        <v>22.790055250000002</v>
      </c>
      <c r="AM9">
        <f ca="1">IF(AND($B$64=1,LEN($AM$21) * LEN($AM$18)&gt;0),$AM$21/$AM$18*100,HLOOKUP(INDIRECT(ADDRESS(2,COLUMN())),OFFSET($AT$2,0,0,ROW()-1,40),ROW()-1,FALSE))</f>
        <v>22.966179159999999</v>
      </c>
      <c r="AN9">
        <f ca="1">IF(AND($B$64=1,LEN($AN$21) * LEN($AN$18)&gt;0),$AN$21/$AN$18*100,HLOOKUP(INDIRECT(ADDRESS(2,COLUMN())),OFFSET($AT$2,0,0,ROW()-1,40),ROW()-1,FALSE))</f>
        <v>24.584103509999998</v>
      </c>
      <c r="AO9">
        <f ca="1">IF(AND($B$64=1,LEN($AO$21) * LEN($AO$18)&gt;0),$AO$21/$AO$18*100,HLOOKUP(INDIRECT(ADDRESS(2,COLUMN())),OFFSET($AT$2,0,0,ROW()-1,40),ROW()-1,FALSE))</f>
        <v>23.917421950000001</v>
      </c>
      <c r="AP9">
        <f ca="1">IF(AND($B$64=1,LEN($AP$21) * LEN($AP$18)&gt;0),$AP$21/$AP$18*100,HLOOKUP(INDIRECT(ADDRESS(2,COLUMN())),OFFSET($AT$2,0,0,ROW()-1,40),ROW()-1,FALSE))</f>
        <v>28.051046960000001</v>
      </c>
      <c r="AQ9">
        <f ca="1">IF(AND($B$64=1,LEN($AQ$21) * LEN($AQ$18)&gt;0),$AQ$21/$AQ$18*100,HLOOKUP(INDIRECT(ADDRESS(2,COLUMN())),OFFSET($AT$2,0,0,ROW()-1,40),ROW()-1,FALSE))</f>
        <v>25.236722929999999</v>
      </c>
      <c r="AR9">
        <f ca="1">IF(AND($B$64=1,LEN($AR$21) * LEN($AR$18)&gt;0),$AR$21/$AR$18*100,HLOOKUP(INDIRECT(ADDRESS(2,COLUMN())),OFFSET($AT$2,0,0,ROW()-1,40),ROW()-1,FALSE))</f>
        <v>24.203020129999999</v>
      </c>
      <c r="AS9">
        <f ca="1">IF(AND($B$64=1,LEN($AS$21) * LEN($AS$18)&gt;0),$AS$21/$AS$18*100,HLOOKUP(INDIRECT(ADDRESS(2,COLUMN())),OFFSET($AT$2,0,0,ROW()-1,40),ROW()-1,FALSE))</f>
        <v>26.610066710000002</v>
      </c>
      <c r="AT9">
        <f>23.34883721</f>
        <v>23.348837209999999</v>
      </c>
      <c r="AU9">
        <f>26.08989523</f>
        <v>26.08989523</v>
      </c>
      <c r="AV9">
        <f>31.25</f>
        <v>31.25</v>
      </c>
      <c r="AW9">
        <f>25.79806978</f>
        <v>25.798069779999999</v>
      </c>
      <c r="AX9">
        <f>28.9556962</f>
        <v>28.955696199999998</v>
      </c>
      <c r="AY9">
        <f>28.36349331</f>
        <v>28.363493309999999</v>
      </c>
      <c r="AZ9">
        <f>25.3447456</f>
        <v>25.3447456</v>
      </c>
      <c r="BA9">
        <f>32.72800646</f>
        <v>32.728006460000003</v>
      </c>
      <c r="BB9">
        <f>32.15206186</f>
        <v>32.152061860000003</v>
      </c>
      <c r="BC9">
        <f>28.62433862</f>
        <v>28.62433862</v>
      </c>
      <c r="BD9">
        <f>27.36486486</f>
        <v>27.364864860000001</v>
      </c>
      <c r="BE9">
        <f>32.07803993</f>
        <v>32.078039930000003</v>
      </c>
      <c r="BF9">
        <f>28.52004111</f>
        <v>28.520041110000001</v>
      </c>
      <c r="BG9">
        <f>30.03708282</f>
        <v>30.037082819999998</v>
      </c>
      <c r="BH9">
        <f>28.82846861</f>
        <v>28.828468610000002</v>
      </c>
      <c r="BI9">
        <f>24.90244768</f>
        <v>24.902447680000002</v>
      </c>
      <c r="BJ9">
        <f>25.52742616</f>
        <v>25.527426160000001</v>
      </c>
      <c r="BK9">
        <f>29.16310845</f>
        <v>29.163108449999999</v>
      </c>
      <c r="BL9">
        <f>30.47385621</f>
        <v>30.473856210000001</v>
      </c>
      <c r="BM9">
        <f>33.57495881</f>
        <v>33.574958809999998</v>
      </c>
      <c r="BN9">
        <f>30.35870516</f>
        <v>30.35870516</v>
      </c>
      <c r="BO9">
        <f>27.23112128</f>
        <v>27.23112128</v>
      </c>
      <c r="BP9">
        <f>25.58692422</f>
        <v>25.58692422</v>
      </c>
      <c r="BQ9">
        <f>26.38522427</f>
        <v>26.385224269999998</v>
      </c>
      <c r="BR9">
        <f>27.20897616</f>
        <v>27.208976159999999</v>
      </c>
      <c r="BS9">
        <f>24.96396656</f>
        <v>24.963966559999999</v>
      </c>
      <c r="BT9">
        <f>29.37784522</f>
        <v>29.377845220000001</v>
      </c>
      <c r="BU9">
        <f>30.51828466</f>
        <v>30.518284659999999</v>
      </c>
      <c r="BV9">
        <f>26.96936543</f>
        <v>26.96936543</v>
      </c>
      <c r="BW9">
        <f>26.75463223</f>
        <v>26.754632229999999</v>
      </c>
      <c r="BX9">
        <f>27.5623685</f>
        <v>27.562368500000002</v>
      </c>
      <c r="BY9">
        <f>24.84881803</f>
        <v>24.84881803</v>
      </c>
      <c r="BZ9">
        <f>22.79005525</f>
        <v>22.790055250000002</v>
      </c>
      <c r="CA9">
        <f>22.96617916</f>
        <v>22.966179159999999</v>
      </c>
      <c r="CB9">
        <f>24.58410351</f>
        <v>24.584103509999998</v>
      </c>
      <c r="CC9">
        <f>23.91742195</f>
        <v>23.917421950000001</v>
      </c>
      <c r="CD9">
        <f>28.05104696</f>
        <v>28.051046960000001</v>
      </c>
      <c r="CE9">
        <f>25.23672293</f>
        <v>25.236722929999999</v>
      </c>
      <c r="CF9">
        <f>24.20302013</f>
        <v>24.203020129999999</v>
      </c>
      <c r="CG9">
        <f>26.61006671</f>
        <v>26.610066710000002</v>
      </c>
    </row>
    <row r="10" spans="1:85" x14ac:dyDescent="0.25">
      <c r="A10" t="str">
        <f>"    MAN"</f>
        <v xml:space="preserve">    MAN</v>
      </c>
      <c r="B10" t="str">
        <f>""</f>
        <v/>
      </c>
      <c r="E10" t="str">
        <f t="shared" si="0"/>
        <v>Expression</v>
      </c>
      <c r="F10">
        <f ca="1">IF(AND($B$64=1,LEN($F$22) * LEN($F$18)&gt;0),$F$22/$F$18*100,HLOOKUP(INDIRECT(ADDRESS(2,COLUMN())),OFFSET($AT$2,0,0,ROW()-1,40),ROW()-1,FALSE))</f>
        <v>24.031007750000001</v>
      </c>
      <c r="G10">
        <f ca="1">IF(AND($B$64=1,LEN($G$22) * LEN($G$18)&gt;0),$G$22/$G$18*100,HLOOKUP(INDIRECT(ADDRESS(2,COLUMN())),OFFSET($AT$2,0,0,ROW()-1,40),ROW()-1,FALSE))</f>
        <v>24.400135179999999</v>
      </c>
      <c r="H10">
        <f ca="1">IF(AND($B$64=1,LEN($H$22) * LEN($H$18)&gt;0),$H$22/$H$18*100,HLOOKUP(INDIRECT(ADDRESS(2,COLUMN())),OFFSET($AT$2,0,0,ROW()-1,40),ROW()-1,FALSE))</f>
        <v>22.020725389999999</v>
      </c>
      <c r="I10">
        <f ca="1">IF(AND($B$64=1,LEN($I$22) * LEN($I$18)&gt;0),$I$22/$I$18*100,HLOOKUP(INDIRECT(ADDRESS(2,COLUMN())),OFFSET($AT$2,0,0,ROW()-1,40),ROW()-1,FALSE))</f>
        <v>21.826280619999999</v>
      </c>
      <c r="J10">
        <f ca="1">IF(AND($B$64=1,LEN($J$22) * LEN($J$18)&gt;0),$J$22/$J$18*100,HLOOKUP(INDIRECT(ADDRESS(2,COLUMN())),OFFSET($AT$2,0,0,ROW()-1,40),ROW()-1,FALSE))</f>
        <v>20.45094937</v>
      </c>
      <c r="K10">
        <f ca="1">IF(AND($B$64=1,LEN($K$22) * LEN($K$18)&gt;0),$K$22/$K$18*100,HLOOKUP(INDIRECT(ADDRESS(2,COLUMN())),OFFSET($AT$2,0,0,ROW()-1,40),ROW()-1,FALSE))</f>
        <v>21.36113297</v>
      </c>
      <c r="L10">
        <f ca="1">IF(AND($B$64=1,LEN($L$22) * LEN($L$18)&gt;0),$L$22/$L$18*100,HLOOKUP(INDIRECT(ADDRESS(2,COLUMN())),OFFSET($AT$2,0,0,ROW()-1,40),ROW()-1,FALSE))</f>
        <v>24.63147884</v>
      </c>
      <c r="M10">
        <f ca="1">IF(AND($B$64=1,LEN($M$22) * LEN($M$18)&gt;0),$M$22/$M$18*100,HLOOKUP(INDIRECT(ADDRESS(2,COLUMN())),OFFSET($AT$2,0,0,ROW()-1,40),ROW()-1,FALSE))</f>
        <v>16.787732040000002</v>
      </c>
      <c r="N10">
        <f ca="1">IF(AND($B$64=1,LEN($N$22) * LEN($N$18)&gt;0),$N$22/$N$18*100,HLOOKUP(INDIRECT(ADDRESS(2,COLUMN())),OFFSET($AT$2,0,0,ROW()-1,40),ROW()-1,FALSE))</f>
        <v>16.108247420000001</v>
      </c>
      <c r="O10">
        <f ca="1">IF(AND($B$64=1,LEN($O$22) * LEN($O$18)&gt;0),$O$22/$O$18*100,HLOOKUP(INDIRECT(ADDRESS(2,COLUMN())),OFFSET($AT$2,0,0,ROW()-1,40),ROW()-1,FALSE))</f>
        <v>17.407407410000001</v>
      </c>
      <c r="P10">
        <f ca="1">IF(AND($B$64=1,LEN($P$22) * LEN($P$18)&gt;0),$P$22/$P$18*100,HLOOKUP(INDIRECT(ADDRESS(2,COLUMN())),OFFSET($AT$2,0,0,ROW()-1,40),ROW()-1,FALSE))</f>
        <v>21.058558560000002</v>
      </c>
      <c r="Q10">
        <f ca="1">IF(AND($B$64=1,LEN($Q$22) * LEN($Q$18)&gt;0),$Q$22/$Q$18*100,HLOOKUP(INDIRECT(ADDRESS(2,COLUMN())),OFFSET($AT$2,0,0,ROW()-1,40),ROW()-1,FALSE))</f>
        <v>20.871143379999999</v>
      </c>
      <c r="R10">
        <f ca="1">IF(AND($B$64=1,LEN($R$22) * LEN($R$18)&gt;0),$R$22/$R$18*100,HLOOKUP(INDIRECT(ADDRESS(2,COLUMN())),OFFSET($AT$2,0,0,ROW()-1,40),ROW()-1,FALSE))</f>
        <v>22.764645430000002</v>
      </c>
      <c r="S10">
        <f ca="1">IF(AND($B$64=1,LEN($S$22) * LEN($S$18)&gt;0),$S$22/$S$18*100,HLOOKUP(INDIRECT(ADDRESS(2,COLUMN())),OFFSET($AT$2,0,0,ROW()-1,40),ROW()-1,FALSE))</f>
        <v>20.354346929999998</v>
      </c>
      <c r="T10">
        <f ca="1">IF(AND($B$64=1,LEN($T$22) * LEN($T$18)&gt;0),$T$22/$T$18*100,HLOOKUP(INDIRECT(ADDRESS(2,COLUMN())),OFFSET($AT$2,0,0,ROW()-1,40),ROW()-1,FALSE))</f>
        <v>19.19232307</v>
      </c>
      <c r="U10">
        <f ca="1">IF(AND($B$64=1,LEN($U$22) * LEN($U$18)&gt;0),$U$22/$U$18*100,HLOOKUP(INDIRECT(ADDRESS(2,COLUMN())),OFFSET($AT$2,0,0,ROW()-1,40),ROW()-1,FALSE))</f>
        <v>26.179496279999999</v>
      </c>
      <c r="V10">
        <f ca="1">IF(AND($B$64=1,LEN($V$22) * LEN($V$18)&gt;0),$V$22/$V$18*100,HLOOKUP(INDIRECT(ADDRESS(2,COLUMN())),OFFSET($AT$2,0,0,ROW()-1,40),ROW()-1,FALSE))</f>
        <v>23.92405063</v>
      </c>
      <c r="W10">
        <f ca="1">IF(AND($B$64=1,LEN($W$22) * LEN($W$18)&gt;0),$W$22/$W$18*100,HLOOKUP(INDIRECT(ADDRESS(2,COLUMN())),OFFSET($AT$2,0,0,ROW()-1,40),ROW()-1,FALSE))</f>
        <v>21.391972670000001</v>
      </c>
      <c r="X10">
        <f ca="1">IF(AND($B$64=1,LEN($X$22) * LEN($X$18)&gt;0),$X$22/$X$18*100,HLOOKUP(INDIRECT(ADDRESS(2,COLUMN())),OFFSET($AT$2,0,0,ROW()-1,40),ROW()-1,FALSE))</f>
        <v>23.325163400000001</v>
      </c>
      <c r="Y10">
        <f ca="1">IF(AND($B$64=1,LEN($Y$22) * LEN($Y$18)&gt;0),$Y$22/$Y$18*100,HLOOKUP(INDIRECT(ADDRESS(2,COLUMN())),OFFSET($AT$2,0,0,ROW()-1,40),ROW()-1,FALSE))</f>
        <v>21.614497530000001</v>
      </c>
      <c r="Z10">
        <f ca="1">IF(AND($B$64=1,LEN($Z$22) * LEN($Z$18)&gt;0),$Z$22/$Z$18*100,HLOOKUP(INDIRECT(ADDRESS(2,COLUMN())),OFFSET($AT$2,0,0,ROW()-1,40),ROW()-1,FALSE))</f>
        <v>22.04724409</v>
      </c>
      <c r="AA10">
        <f ca="1">IF(AND($B$64=1,LEN($AA$22) * LEN($AA$18)&gt;0),$AA$22/$AA$18*100,HLOOKUP(INDIRECT(ADDRESS(2,COLUMN())),OFFSET($AT$2,0,0,ROW()-1,40),ROW()-1,FALSE))</f>
        <v>22.959572850000001</v>
      </c>
      <c r="AB10">
        <f ca="1">IF(AND($B$64=1,LEN($AB$22) * LEN($AB$18)&gt;0),$AB$22/$AB$18*100,HLOOKUP(INDIRECT(ADDRESS(2,COLUMN())),OFFSET($AT$2,0,0,ROW()-1,40),ROW()-1,FALSE))</f>
        <v>23.744427930000001</v>
      </c>
      <c r="AC10">
        <f ca="1">IF(AND($B$64=1,LEN($AC$22) * LEN($AC$18)&gt;0),$AC$22/$AC$18*100,HLOOKUP(INDIRECT(ADDRESS(2,COLUMN())),OFFSET($AT$2,0,0,ROW()-1,40),ROW()-1,FALSE))</f>
        <v>24.764417640000001</v>
      </c>
      <c r="AD10">
        <f ca="1">IF(AND($B$64=1,LEN($AD$22) * LEN($AD$18)&gt;0),$AD$22/$AD$18*100,HLOOKUP(INDIRECT(ADDRESS(2,COLUMN())),OFFSET($AT$2,0,0,ROW()-1,40),ROW()-1,FALSE))</f>
        <v>22.524544179999999</v>
      </c>
      <c r="AE10">
        <f ca="1">IF(AND($B$64=1,LEN($AE$22) * LEN($AE$18)&gt;0),$AE$22/$AE$18*100,HLOOKUP(INDIRECT(ADDRESS(2,COLUMN())),OFFSET($AT$2,0,0,ROW()-1,40),ROW()-1,FALSE))</f>
        <v>26.981839149999999</v>
      </c>
      <c r="AF10">
        <f ca="1">IF(AND($B$64=1,LEN($AF$22) * LEN($AF$18)&gt;0),$AF$22/$AF$18*100,HLOOKUP(INDIRECT(ADDRESS(2,COLUMN())),OFFSET($AT$2,0,0,ROW()-1,40),ROW()-1,FALSE))</f>
        <v>20.667678299999999</v>
      </c>
      <c r="AG10">
        <f ca="1">IF(AND($B$64=1,LEN($AG$22) * LEN($AG$18)&gt;0),$AG$22/$AG$18*100,HLOOKUP(INDIRECT(ADDRESS(2,COLUMN())),OFFSET($AT$2,0,0,ROW()-1,40),ROW()-1,FALSE))</f>
        <v>20.731386480000001</v>
      </c>
      <c r="AH10">
        <f ca="1">IF(AND($B$64=1,LEN($AH$22) * LEN($AH$18)&gt;0),$AH$22/$AH$18*100,HLOOKUP(INDIRECT(ADDRESS(2,COLUMN())),OFFSET($AT$2,0,0,ROW()-1,40),ROW()-1,FALSE))</f>
        <v>21.553610500000001</v>
      </c>
      <c r="AI10">
        <f ca="1">IF(AND($B$64=1,LEN($AI$22) * LEN($AI$18)&gt;0),$AI$22/$AI$18*100,HLOOKUP(INDIRECT(ADDRESS(2,COLUMN())),OFFSET($AT$2,0,0,ROW()-1,40),ROW()-1,FALSE))</f>
        <v>21.308253789999998</v>
      </c>
      <c r="AJ10">
        <f ca="1">IF(AND($B$64=1,LEN($AJ$22) * LEN($AJ$18)&gt;0),$AJ$22/$AJ$18*100,HLOOKUP(INDIRECT(ADDRESS(2,COLUMN())),OFFSET($AT$2,0,0,ROW()-1,40),ROW()-1,FALSE))</f>
        <v>21.971746320000001</v>
      </c>
      <c r="AK10">
        <f ca="1">IF(AND($B$64=1,LEN($AK$22) * LEN($AK$18)&gt;0),$AK$22/$AK$18*100,HLOOKUP(INDIRECT(ADDRESS(2,COLUMN())),OFFSET($AT$2,0,0,ROW()-1,40),ROW()-1,FALSE))</f>
        <v>29.38427708</v>
      </c>
      <c r="AL10">
        <f ca="1">IF(AND($B$64=1,LEN($AL$22) * LEN($AL$18)&gt;0),$AL$22/$AL$18*100,HLOOKUP(INDIRECT(ADDRESS(2,COLUMN())),OFFSET($AT$2,0,0,ROW()-1,40),ROW()-1,FALSE))</f>
        <v>27.55524862</v>
      </c>
      <c r="AM10">
        <f ca="1">IF(AND($B$64=1,LEN($AM$22) * LEN($AM$18)&gt;0),$AM$22/$AM$18*100,HLOOKUP(INDIRECT(ADDRESS(2,COLUMN())),OFFSET($AT$2,0,0,ROW()-1,40),ROW()-1,FALSE))</f>
        <v>26.439670929999998</v>
      </c>
      <c r="AN10">
        <f ca="1">IF(AND($B$64=1,LEN($AN$22) * LEN($AN$18)&gt;0),$AN$22/$AN$18*100,HLOOKUP(INDIRECT(ADDRESS(2,COLUMN())),OFFSET($AT$2,0,0,ROW()-1,40),ROW()-1,FALSE))</f>
        <v>21.557301290000002</v>
      </c>
      <c r="AO10">
        <f ca="1">IF(AND($B$64=1,LEN($AO$22) * LEN($AO$18)&gt;0),$AO$22/$AO$18*100,HLOOKUP(INDIRECT(ADDRESS(2,COLUMN())),OFFSET($AT$2,0,0,ROW()-1,40),ROW()-1,FALSE))</f>
        <v>22.06696878</v>
      </c>
      <c r="AP10">
        <f ca="1">IF(AND($B$64=1,LEN($AP$22) * LEN($AP$18)&gt;0),$AP$22/$AP$18*100,HLOOKUP(INDIRECT(ADDRESS(2,COLUMN())),OFFSET($AT$2,0,0,ROW()-1,40),ROW()-1,FALSE))</f>
        <v>21.794077560000002</v>
      </c>
      <c r="AQ10">
        <f ca="1">IF(AND($B$64=1,LEN($AQ$22) * LEN($AQ$18)&gt;0),$AQ$22/$AQ$18*100,HLOOKUP(INDIRECT(ADDRESS(2,COLUMN())),OFFSET($AT$2,0,0,ROW()-1,40),ROW()-1,FALSE))</f>
        <v>22.83518595</v>
      </c>
      <c r="AR10">
        <f ca="1">IF(AND($B$64=1,LEN($AR$22) * LEN($AR$18)&gt;0),$AR$22/$AR$18*100,HLOOKUP(INDIRECT(ADDRESS(2,COLUMN())),OFFSET($AT$2,0,0,ROW()-1,40),ROW()-1,FALSE))</f>
        <v>22.525167790000001</v>
      </c>
      <c r="AS10">
        <f ca="1">IF(AND($B$64=1,LEN($AS$22) * LEN($AS$18)&gt;0),$AS$22/$AS$18*100,HLOOKUP(INDIRECT(ADDRESS(2,COLUMN())),OFFSET($AT$2,0,0,ROW()-1,40),ROW()-1,FALSE))</f>
        <v>21.758641600000001</v>
      </c>
      <c r="AT10">
        <f>24.03100775</f>
        <v>24.031007750000001</v>
      </c>
      <c r="AU10">
        <f>24.40013518</f>
        <v>24.400135179999999</v>
      </c>
      <c r="AV10">
        <f>22.02072539</f>
        <v>22.020725389999999</v>
      </c>
      <c r="AW10">
        <f>21.82628062</f>
        <v>21.826280619999999</v>
      </c>
      <c r="AX10">
        <f>20.45094937</f>
        <v>20.45094937</v>
      </c>
      <c r="AY10">
        <f>21.36113297</f>
        <v>21.36113297</v>
      </c>
      <c r="AZ10">
        <f>24.63147884</f>
        <v>24.63147884</v>
      </c>
      <c r="BA10">
        <f>16.78773204</f>
        <v>16.787732040000002</v>
      </c>
      <c r="BB10">
        <f>16.10824742</f>
        <v>16.108247420000001</v>
      </c>
      <c r="BC10">
        <f>17.40740741</f>
        <v>17.407407410000001</v>
      </c>
      <c r="BD10">
        <f>21.05855856</f>
        <v>21.058558560000002</v>
      </c>
      <c r="BE10">
        <f>20.87114338</f>
        <v>20.871143379999999</v>
      </c>
      <c r="BF10">
        <f>22.76464543</f>
        <v>22.764645430000002</v>
      </c>
      <c r="BG10">
        <f>20.35434693</f>
        <v>20.354346929999998</v>
      </c>
      <c r="BH10">
        <f>19.19232307</f>
        <v>19.19232307</v>
      </c>
      <c r="BI10">
        <f>26.17949628</f>
        <v>26.179496279999999</v>
      </c>
      <c r="BJ10">
        <f>23.92405063</f>
        <v>23.92405063</v>
      </c>
      <c r="BK10">
        <f>21.39197267</f>
        <v>21.391972670000001</v>
      </c>
      <c r="BL10">
        <f>23.3251634</f>
        <v>23.325163400000001</v>
      </c>
      <c r="BM10">
        <f>21.61449753</f>
        <v>21.614497530000001</v>
      </c>
      <c r="BN10">
        <f>22.04724409</f>
        <v>22.04724409</v>
      </c>
      <c r="BO10">
        <f>22.95957285</f>
        <v>22.959572850000001</v>
      </c>
      <c r="BP10">
        <f>23.74442793</f>
        <v>23.744427930000001</v>
      </c>
      <c r="BQ10">
        <f>24.76441764</f>
        <v>24.764417640000001</v>
      </c>
      <c r="BR10">
        <f>22.52454418</f>
        <v>22.524544179999999</v>
      </c>
      <c r="BS10">
        <f>26.98183915</f>
        <v>26.981839149999999</v>
      </c>
      <c r="BT10">
        <f>20.6676783</f>
        <v>20.667678299999999</v>
      </c>
      <c r="BU10">
        <f>20.73138648</f>
        <v>20.731386480000001</v>
      </c>
      <c r="BV10">
        <f>21.5536105</f>
        <v>21.553610500000001</v>
      </c>
      <c r="BW10">
        <f>21.30825379</f>
        <v>21.308253789999998</v>
      </c>
      <c r="BX10">
        <f>21.97174632</f>
        <v>21.971746320000001</v>
      </c>
      <c r="BY10">
        <f>29.38427708</f>
        <v>29.38427708</v>
      </c>
      <c r="BZ10">
        <f>27.55524862</f>
        <v>27.55524862</v>
      </c>
      <c r="CA10">
        <f>26.43967093</f>
        <v>26.439670929999998</v>
      </c>
      <c r="CB10">
        <f>21.55730129</f>
        <v>21.557301290000002</v>
      </c>
      <c r="CC10">
        <f>22.06696878</f>
        <v>22.06696878</v>
      </c>
      <c r="CD10">
        <f>21.79407756</f>
        <v>21.794077560000002</v>
      </c>
      <c r="CE10">
        <f>22.83518595</f>
        <v>22.83518595</v>
      </c>
      <c r="CF10">
        <f>22.52516779</f>
        <v>22.525167790000001</v>
      </c>
      <c r="CG10">
        <f>21.7586416</f>
        <v>21.758641600000001</v>
      </c>
    </row>
    <row r="11" spans="1:85" x14ac:dyDescent="0.25">
      <c r="A11" t="str">
        <f>"    Ford"</f>
        <v xml:space="preserve">    Ford</v>
      </c>
      <c r="B11" t="str">
        <f>""</f>
        <v/>
      </c>
      <c r="E11" t="str">
        <f t="shared" si="0"/>
        <v>Expression</v>
      </c>
      <c r="F11">
        <f ca="1">IF(AND($B$64=1,LEN($F$23) * LEN($F$18)&gt;0),$F$23/$F$18*100,HLOOKUP(INDIRECT(ADDRESS(2,COLUMN())),OFFSET($AT$2,0,0,ROW()-1,40),ROW()-1,FALSE))</f>
        <v>5.4573643409999999</v>
      </c>
      <c r="G11">
        <f ca="1">IF(AND($B$64=1,LEN($G$23) * LEN($G$18)&gt;0),$G$23/$G$18*100,HLOOKUP(INDIRECT(ADDRESS(2,COLUMN())),OFFSET($AT$2,0,0,ROW()-1,40),ROW()-1,FALSE))</f>
        <v>6.8942210209999999</v>
      </c>
      <c r="H11">
        <f ca="1">IF(AND($B$64=1,LEN($H$23) * LEN($H$18)&gt;0),$H$23/$H$18*100,HLOOKUP(INDIRECT(ADDRESS(2,COLUMN())),OFFSET($AT$2,0,0,ROW()-1,40),ROW()-1,FALSE))</f>
        <v>7.8044041450000003</v>
      </c>
      <c r="I11">
        <f ca="1">IF(AND($B$64=1,LEN($I$23) * LEN($I$18)&gt;0),$I$23/$I$18*100,HLOOKUP(INDIRECT(ADDRESS(2,COLUMN())),OFFSET($AT$2,0,0,ROW()-1,40),ROW()-1,FALSE))</f>
        <v>7.2011878249999999</v>
      </c>
      <c r="J11">
        <f ca="1">IF(AND($B$64=1,LEN($J$23) * LEN($J$18)&gt;0),$J$23/$J$18*100,HLOOKUP(INDIRECT(ADDRESS(2,COLUMN())),OFFSET($AT$2,0,0,ROW()-1,40),ROW()-1,FALSE))</f>
        <v>7.2784810130000004</v>
      </c>
      <c r="K11">
        <f ca="1">IF(AND($B$64=1,LEN($K$23) * LEN($K$18)&gt;0),$K$23/$K$18*100,HLOOKUP(INDIRECT(ADDRESS(2,COLUMN())),OFFSET($AT$2,0,0,ROW()-1,40),ROW()-1,FALSE))</f>
        <v>8.0645161289999994</v>
      </c>
      <c r="L11">
        <f ca="1">IF(AND($B$64=1,LEN($L$23) * LEN($L$18)&gt;0),$L$23/$L$18*100,HLOOKUP(INDIRECT(ADDRESS(2,COLUMN())),OFFSET($AT$2,0,0,ROW()-1,40),ROW()-1,FALSE))</f>
        <v>7.5130765569999998</v>
      </c>
      <c r="M11">
        <f ca="1">IF(AND($B$64=1,LEN($M$23) * LEN($M$18)&gt;0),$M$23/$M$18*100,HLOOKUP(INDIRECT(ADDRESS(2,COLUMN())),OFFSET($AT$2,0,0,ROW()-1,40),ROW()-1,FALSE))</f>
        <v>8.1920903949999992</v>
      </c>
      <c r="N11">
        <f ca="1">IF(AND($B$64=1,LEN($N$23) * LEN($N$18)&gt;0),$N$23/$N$18*100,HLOOKUP(INDIRECT(ADDRESS(2,COLUMN())),OFFSET($AT$2,0,0,ROW()-1,40),ROW()-1,FALSE))</f>
        <v>6.0567010310000002</v>
      </c>
      <c r="O11">
        <f ca="1">IF(AND($B$64=1,LEN($O$23) * LEN($O$18)&gt;0),$O$23/$O$18*100,HLOOKUP(INDIRECT(ADDRESS(2,COLUMN())),OFFSET($AT$2,0,0,ROW()-1,40),ROW()-1,FALSE))</f>
        <v>10.211640210000001</v>
      </c>
      <c r="P11">
        <f ca="1">IF(AND($B$64=1,LEN($P$23) * LEN($P$18)&gt;0),$P$23/$P$18*100,HLOOKUP(INDIRECT(ADDRESS(2,COLUMN())),OFFSET($AT$2,0,0,ROW()-1,40),ROW()-1,FALSE))</f>
        <v>7.2822822819999997</v>
      </c>
      <c r="Q11">
        <f ca="1">IF(AND($B$64=1,LEN($Q$23) * LEN($Q$18)&gt;0),$Q$23/$Q$18*100,HLOOKUP(INDIRECT(ADDRESS(2,COLUMN())),OFFSET($AT$2,0,0,ROW()-1,40),ROW()-1,FALSE))</f>
        <v>8.484573503</v>
      </c>
      <c r="R11">
        <f ca="1">IF(AND($B$64=1,LEN($R$23) * LEN($R$18)&gt;0),$R$23/$R$18*100,HLOOKUP(INDIRECT(ADDRESS(2,COLUMN())),OFFSET($AT$2,0,0,ROW()-1,40),ROW()-1,FALSE))</f>
        <v>8.0678314489999998</v>
      </c>
      <c r="S11">
        <f ca="1">IF(AND($B$64=1,LEN($S$23) * LEN($S$18)&gt;0),$S$23/$S$18*100,HLOOKUP(INDIRECT(ADDRESS(2,COLUMN())),OFFSET($AT$2,0,0,ROW()-1,40),ROW()-1,FALSE))</f>
        <v>9.4767202309999998</v>
      </c>
      <c r="T11">
        <f ca="1">IF(AND($B$64=1,LEN($T$23) * LEN($T$18)&gt;0),$T$23/$T$18*100,HLOOKUP(INDIRECT(ADDRESS(2,COLUMN())),OFFSET($AT$2,0,0,ROW()-1,40),ROW()-1,FALSE))</f>
        <v>8.0367852860000006</v>
      </c>
      <c r="U11">
        <f ca="1">IF(AND($B$64=1,LEN($U$23) * LEN($U$18)&gt;0),$U$23/$U$18*100,HLOOKUP(INDIRECT(ADDRESS(2,COLUMN())),OFFSET($AT$2,0,0,ROW()-1,40),ROW()-1,FALSE))</f>
        <v>7.2011351540000001</v>
      </c>
      <c r="V11">
        <f ca="1">IF(AND($B$64=1,LEN($V$23) * LEN($V$18)&gt;0),$V$23/$V$18*100,HLOOKUP(INDIRECT(ADDRESS(2,COLUMN())),OFFSET($AT$2,0,0,ROW()-1,40),ROW()-1,FALSE))</f>
        <v>7.9324894510000004</v>
      </c>
      <c r="W11">
        <f ca="1">IF(AND($B$64=1,LEN($W$23) * LEN($W$18)&gt;0),$W$23/$W$18*100,HLOOKUP(INDIRECT(ADDRESS(2,COLUMN())),OFFSET($AT$2,0,0,ROW()-1,40),ROW()-1,FALSE))</f>
        <v>7.9846285229999996</v>
      </c>
      <c r="X11">
        <f ca="1">IF(AND($B$64=1,LEN($X$23) * LEN($X$18)&gt;0),$X$23/$X$18*100,HLOOKUP(INDIRECT(ADDRESS(2,COLUMN())),OFFSET($AT$2,0,0,ROW()-1,40),ROW()-1,FALSE))</f>
        <v>7.3937908500000002</v>
      </c>
      <c r="Y11">
        <f ca="1">IF(AND($B$64=1,LEN($Y$23) * LEN($Y$18)&gt;0),$Y$23/$Y$18*100,HLOOKUP(INDIRECT(ADDRESS(2,COLUMN())),OFFSET($AT$2,0,0,ROW()-1,40),ROW()-1,FALSE))</f>
        <v>6.65568369</v>
      </c>
      <c r="Z11">
        <f ca="1">IF(AND($B$64=1,LEN($Z$23) * LEN($Z$18)&gt;0),$Z$23/$Z$18*100,HLOOKUP(INDIRECT(ADDRESS(2,COLUMN())),OFFSET($AT$2,0,0,ROW()-1,40),ROW()-1,FALSE))</f>
        <v>8.8801399829999994</v>
      </c>
      <c r="AA11">
        <f ca="1">IF(AND($B$64=1,LEN($AA$23) * LEN($AA$18)&gt;0),$AA$23/$AA$18*100,HLOOKUP(INDIRECT(ADDRESS(2,COLUMN())),OFFSET($AT$2,0,0,ROW()-1,40),ROW()-1,FALSE))</f>
        <v>8.2379862700000004</v>
      </c>
      <c r="AB11">
        <f ca="1">IF(AND($B$64=1,LEN($AB$23) * LEN($AB$18)&gt;0),$AB$23/$AB$18*100,HLOOKUP(INDIRECT(ADDRESS(2,COLUMN())),OFFSET($AT$2,0,0,ROW()-1,40),ROW()-1,FALSE))</f>
        <v>6.9242199109999998</v>
      </c>
      <c r="AC11">
        <f ca="1">IF(AND($B$64=1,LEN($AC$23) * LEN($AC$18)&gt;0),$AC$23/$AC$18*100,HLOOKUP(INDIRECT(ADDRESS(2,COLUMN())),OFFSET($AT$2,0,0,ROW()-1,40),ROW()-1,FALSE))</f>
        <v>6.9732378439999998</v>
      </c>
      <c r="AD11">
        <f ca="1">IF(AND($B$64=1,LEN($AD$23) * LEN($AD$18)&gt;0),$AD$23/$AD$18*100,HLOOKUP(INDIRECT(ADDRESS(2,COLUMN())),OFFSET($AT$2,0,0,ROW()-1,40),ROW()-1,FALSE))</f>
        <v>8.1907433380000008</v>
      </c>
      <c r="AE11">
        <f ca="1">IF(AND($B$64=1,LEN($AE$23) * LEN($AE$18)&gt;0),$AE$23/$AE$18*100,HLOOKUP(INDIRECT(ADDRESS(2,COLUMN())),OFFSET($AT$2,0,0,ROW()-1,40),ROW()-1,FALSE))</f>
        <v>8.0714903430000007</v>
      </c>
      <c r="AF11">
        <f ca="1">IF(AND($B$64=1,LEN($AF$23) * LEN($AF$18)&gt;0),$AF$23/$AF$18*100,HLOOKUP(INDIRECT(ADDRESS(2,COLUMN())),OFFSET($AT$2,0,0,ROW()-1,40),ROW()-1,FALSE))</f>
        <v>9.2261001520000008</v>
      </c>
      <c r="AG11">
        <f ca="1">IF(AND($B$64=1,LEN($AG$23) * LEN($AG$18)&gt;0),$AG$23/$AG$18*100,HLOOKUP(INDIRECT(ADDRESS(2,COLUMN())),OFFSET($AT$2,0,0,ROW()-1,40),ROW()-1,FALSE))</f>
        <v>9.1028676659999999</v>
      </c>
      <c r="AH11">
        <f ca="1">IF(AND($B$64=1,LEN($AH$23) * LEN($AH$18)&gt;0),$AH$23/$AH$18*100,HLOOKUP(INDIRECT(ADDRESS(2,COLUMN())),OFFSET($AT$2,0,0,ROW()-1,40),ROW()-1,FALSE))</f>
        <v>10.366520789999999</v>
      </c>
      <c r="AI11">
        <f ca="1">IF(AND($B$64=1,LEN($AI$23) * LEN($AI$18)&gt;0),$AI$23/$AI$18*100,HLOOKUP(INDIRECT(ADDRESS(2,COLUMN())),OFFSET($AT$2,0,0,ROW()-1,40),ROW()-1,FALSE))</f>
        <v>8.815272319</v>
      </c>
      <c r="AJ11">
        <f ca="1">IF(AND($B$64=1,LEN($AJ$23) * LEN($AJ$18)&gt;0),$AJ$23/$AJ$18*100,HLOOKUP(INDIRECT(ADDRESS(2,COLUMN())),OFFSET($AT$2,0,0,ROW()-1,40),ROW()-1,FALSE))</f>
        <v>8.6263901409999999</v>
      </c>
      <c r="AK11">
        <f ca="1">IF(AND($B$64=1,LEN($AK$23) * LEN($AK$18)&gt;0),$AK$23/$AK$18*100,HLOOKUP(INDIRECT(ADDRESS(2,COLUMN())),OFFSET($AT$2,0,0,ROW()-1,40),ROW()-1,FALSE))</f>
        <v>8.768554151</v>
      </c>
      <c r="AL11">
        <f ca="1">IF(AND($B$64=1,LEN($AL$23) * LEN($AL$18)&gt;0),$AL$23/$AL$18*100,HLOOKUP(INDIRECT(ADDRESS(2,COLUMN())),OFFSET($AT$2,0,0,ROW()-1,40),ROW()-1,FALSE))</f>
        <v>11.740331490000001</v>
      </c>
      <c r="AM11">
        <f ca="1">IF(AND($B$64=1,LEN($AM$23) * LEN($AM$18)&gt;0),$AM$23/$AM$18*100,HLOOKUP(INDIRECT(ADDRESS(2,COLUMN())),OFFSET($AT$2,0,0,ROW()-1,40),ROW()-1,FALSE))</f>
        <v>11.357404020000001</v>
      </c>
      <c r="AN11">
        <f ca="1">IF(AND($B$64=1,LEN($AN$23) * LEN($AN$18)&gt;0),$AN$23/$AN$18*100,HLOOKUP(INDIRECT(ADDRESS(2,COLUMN())),OFFSET($AT$2,0,0,ROW()-1,40),ROW()-1,FALSE))</f>
        <v>9.3807763400000006</v>
      </c>
      <c r="AO11">
        <f ca="1">IF(AND($B$64=1,LEN($AO$23) * LEN($AO$18)&gt;0),$AO$23/$AO$18*100,HLOOKUP(INDIRECT(ADDRESS(2,COLUMN())),OFFSET($AT$2,0,0,ROW()-1,40),ROW()-1,FALSE))</f>
        <v>9.3781470290000009</v>
      </c>
      <c r="AP11">
        <f ca="1">IF(AND($B$64=1,LEN($AP$23) * LEN($AP$18)&gt;0),$AP$23/$AP$18*100,HLOOKUP(INDIRECT(ADDRESS(2,COLUMN())),OFFSET($AT$2,0,0,ROW()-1,40),ROW()-1,FALSE))</f>
        <v>9.7137901129999999</v>
      </c>
      <c r="AQ11">
        <f ca="1">IF(AND($B$64=1,LEN($AQ$23) * LEN($AQ$18)&gt;0),$AQ$23/$AQ$18*100,HLOOKUP(INDIRECT(ADDRESS(2,COLUMN())),OFFSET($AT$2,0,0,ROW()-1,40),ROW()-1,FALSE))</f>
        <v>9.3728557709999993</v>
      </c>
      <c r="AR11">
        <f ca="1">IF(AND($B$64=1,LEN($AR$23) * LEN($AR$18)&gt;0),$AR$23/$AR$18*100,HLOOKUP(INDIRECT(ADDRESS(2,COLUMN())),OFFSET($AT$2,0,0,ROW()-1,40),ROW()-1,FALSE))</f>
        <v>9.395973154</v>
      </c>
      <c r="AS11">
        <f ca="1">IF(AND($B$64=1,LEN($AS$23) * LEN($AS$18)&gt;0),$AS$23/$AS$18*100,HLOOKUP(INDIRECT(ADDRESS(2,COLUMN())),OFFSET($AT$2,0,0,ROW()-1,40),ROW()-1,FALSE))</f>
        <v>10.93996361</v>
      </c>
      <c r="AT11">
        <f>5.457364341</f>
        <v>5.4573643409999999</v>
      </c>
      <c r="AU11">
        <f>6.894221021</f>
        <v>6.8942210209999999</v>
      </c>
      <c r="AV11">
        <f>7.804404145</f>
        <v>7.8044041450000003</v>
      </c>
      <c r="AW11">
        <f>7.201187825</f>
        <v>7.2011878249999999</v>
      </c>
      <c r="AX11">
        <f>7.278481013</f>
        <v>7.2784810130000004</v>
      </c>
      <c r="AY11">
        <f>8.064516129</f>
        <v>8.0645161289999994</v>
      </c>
      <c r="AZ11">
        <f>7.513076557</f>
        <v>7.5130765569999998</v>
      </c>
      <c r="BA11">
        <f>8.192090395</f>
        <v>8.1920903949999992</v>
      </c>
      <c r="BB11">
        <f>6.056701031</f>
        <v>6.0567010310000002</v>
      </c>
      <c r="BC11">
        <f>10.21164021</f>
        <v>10.211640210000001</v>
      </c>
      <c r="BD11">
        <f>7.282282282</f>
        <v>7.2822822819999997</v>
      </c>
      <c r="BE11">
        <f>8.484573503</f>
        <v>8.484573503</v>
      </c>
      <c r="BF11">
        <f>8.067831449</f>
        <v>8.0678314489999998</v>
      </c>
      <c r="BG11">
        <f>9.476720231</f>
        <v>9.4767202309999998</v>
      </c>
      <c r="BH11">
        <f>8.036785286</f>
        <v>8.0367852860000006</v>
      </c>
      <c r="BI11">
        <f>7.201135154</f>
        <v>7.2011351540000001</v>
      </c>
      <c r="BJ11">
        <f>7.932489451</f>
        <v>7.9324894510000004</v>
      </c>
      <c r="BK11">
        <f>7.984628523</f>
        <v>7.9846285229999996</v>
      </c>
      <c r="BL11">
        <f>7.39379085</f>
        <v>7.3937908500000002</v>
      </c>
      <c r="BM11">
        <f>6.65568369</f>
        <v>6.65568369</v>
      </c>
      <c r="BN11">
        <f>8.880139983</f>
        <v>8.8801399829999994</v>
      </c>
      <c r="BO11">
        <f>8.23798627</f>
        <v>8.2379862700000004</v>
      </c>
      <c r="BP11">
        <f>6.924219911</f>
        <v>6.9242199109999998</v>
      </c>
      <c r="BQ11">
        <f>6.973237844</f>
        <v>6.9732378439999998</v>
      </c>
      <c r="BR11">
        <f>8.190743338</f>
        <v>8.1907433380000008</v>
      </c>
      <c r="BS11">
        <f>8.071490343</f>
        <v>8.0714903430000007</v>
      </c>
      <c r="BT11">
        <f>9.226100152</f>
        <v>9.2261001520000008</v>
      </c>
      <c r="BU11">
        <f>9.102867666</f>
        <v>9.1028676659999999</v>
      </c>
      <c r="BV11">
        <f>10.36652079</f>
        <v>10.366520789999999</v>
      </c>
      <c r="BW11">
        <f>8.815272319</f>
        <v>8.815272319</v>
      </c>
      <c r="BX11">
        <f>8.626390141</f>
        <v>8.6263901409999999</v>
      </c>
      <c r="BY11">
        <f>8.768554151</f>
        <v>8.768554151</v>
      </c>
      <c r="BZ11">
        <f>11.74033149</f>
        <v>11.740331490000001</v>
      </c>
      <c r="CA11">
        <f>11.35740402</f>
        <v>11.357404020000001</v>
      </c>
      <c r="CB11">
        <f>9.38077634</f>
        <v>9.3807763400000006</v>
      </c>
      <c r="CC11">
        <f>9.378147029</f>
        <v>9.3781470290000009</v>
      </c>
      <c r="CD11">
        <f>9.713790113</f>
        <v>9.7137901129999999</v>
      </c>
      <c r="CE11">
        <f>9.372855771</f>
        <v>9.3728557709999993</v>
      </c>
      <c r="CF11">
        <f>9.395973154</f>
        <v>9.395973154</v>
      </c>
      <c r="CG11">
        <f>10.93996361</f>
        <v>10.93996361</v>
      </c>
    </row>
    <row r="12" spans="1:85" x14ac:dyDescent="0.25">
      <c r="A12" t="str">
        <f>"    Iveco"</f>
        <v xml:space="preserve">    Iveco</v>
      </c>
      <c r="B12" t="str">
        <f>""</f>
        <v/>
      </c>
      <c r="E12" t="str">
        <f t="shared" si="0"/>
        <v>Expression</v>
      </c>
      <c r="F12">
        <f ca="1">IF(AND($B$64=1,LEN($F$24) * LEN($F$18)&gt;0),$F$24/$F$18*100,HLOOKUP(INDIRECT(ADDRESS(2,COLUMN())),OFFSET($AT$2,0,0,ROW()-1,40),ROW()-1,FALSE))</f>
        <v>4.2790697670000002</v>
      </c>
      <c r="G12">
        <f ca="1">IF(AND($B$64=1,LEN($G$24) * LEN($G$18)&gt;0),$G$24/$G$18*100,HLOOKUP(INDIRECT(ADDRESS(2,COLUMN())),OFFSET($AT$2,0,0,ROW()-1,40),ROW()-1,FALSE))</f>
        <v>5.3058465699999999</v>
      </c>
      <c r="H12">
        <f ca="1">IF(AND($B$64=1,LEN($H$24) * LEN($H$18)&gt;0),$H$24/$H$18*100,HLOOKUP(INDIRECT(ADDRESS(2,COLUMN())),OFFSET($AT$2,0,0,ROW()-1,40),ROW()-1,FALSE))</f>
        <v>5.5699481869999996</v>
      </c>
      <c r="I12">
        <f ca="1">IF(AND($B$64=1,LEN($I$24) * LEN($I$18)&gt;0),$I$24/$I$18*100,HLOOKUP(INDIRECT(ADDRESS(2,COLUMN())),OFFSET($AT$2,0,0,ROW()-1,40),ROW()-1,FALSE))</f>
        <v>3.8975501110000002</v>
      </c>
      <c r="J12">
        <f ca="1">IF(AND($B$64=1,LEN($J$24) * LEN($J$18)&gt;0),$J$24/$J$18*100,HLOOKUP(INDIRECT(ADDRESS(2,COLUMN())),OFFSET($AT$2,0,0,ROW()-1,40),ROW()-1,FALSE))</f>
        <v>4.4303797469999999</v>
      </c>
      <c r="K12">
        <f ca="1">IF(AND($B$64=1,LEN($K$24) * LEN($K$18)&gt;0),$K$24/$K$18*100,HLOOKUP(INDIRECT(ADDRESS(2,COLUMN())),OFFSET($AT$2,0,0,ROW()-1,40),ROW()-1,FALSE))</f>
        <v>4.2879622340000001</v>
      </c>
      <c r="L12">
        <f ca="1">IF(AND($B$64=1,LEN($L$24) * LEN($L$18)&gt;0),$L$24/$L$18*100,HLOOKUP(INDIRECT(ADDRESS(2,COLUMN())),OFFSET($AT$2,0,0,ROW()-1,40),ROW()-1,FALSE))</f>
        <v>5.0404184499999998</v>
      </c>
      <c r="M12">
        <f ca="1">IF(AND($B$64=1,LEN($M$24) * LEN($M$18)&gt;0),$M$24/$M$18*100,HLOOKUP(INDIRECT(ADDRESS(2,COLUMN())),OFFSET($AT$2,0,0,ROW()-1,40),ROW()-1,FALSE))</f>
        <v>3.9144471350000001</v>
      </c>
      <c r="N12">
        <f ca="1">IF(AND($B$64=1,LEN($N$24) * LEN($N$18)&gt;0),$N$24/$N$18*100,HLOOKUP(INDIRECT(ADDRESS(2,COLUMN())),OFFSET($AT$2,0,0,ROW()-1,40),ROW()-1,FALSE))</f>
        <v>3.8015463920000001</v>
      </c>
      <c r="O12">
        <f ca="1">IF(AND($B$64=1,LEN($O$24) * LEN($O$18)&gt;0),$O$24/$O$18*100,HLOOKUP(INDIRECT(ADDRESS(2,COLUMN())),OFFSET($AT$2,0,0,ROW()-1,40),ROW()-1,FALSE))</f>
        <v>5.5555555559999998</v>
      </c>
      <c r="P12">
        <f ca="1">IF(AND($B$64=1,LEN($P$24) * LEN($P$18)&gt;0),$P$24/$P$18*100,HLOOKUP(INDIRECT(ADDRESS(2,COLUMN())),OFFSET($AT$2,0,0,ROW()-1,40),ROW()-1,FALSE))</f>
        <v>5.3303303299999998</v>
      </c>
      <c r="Q12">
        <f ca="1">IF(AND($B$64=1,LEN($Q$24) * LEN($Q$18)&gt;0),$Q$24/$Q$18*100,HLOOKUP(INDIRECT(ADDRESS(2,COLUMN())),OFFSET($AT$2,0,0,ROW()-1,40),ROW()-1,FALSE))</f>
        <v>2.404718693</v>
      </c>
      <c r="R12">
        <f ca="1">IF(AND($B$64=1,LEN($R$24) * LEN($R$18)&gt;0),$R$24/$R$18*100,HLOOKUP(INDIRECT(ADDRESS(2,COLUMN())),OFFSET($AT$2,0,0,ROW()-1,40),ROW()-1,FALSE))</f>
        <v>4.6248715310000001</v>
      </c>
      <c r="S12">
        <f ca="1">IF(AND($B$64=1,LEN($S$24) * LEN($S$18)&gt;0),$S$24/$S$18*100,HLOOKUP(INDIRECT(ADDRESS(2,COLUMN())),OFFSET($AT$2,0,0,ROW()-1,40),ROW()-1,FALSE))</f>
        <v>3.4610630410000001</v>
      </c>
      <c r="T12">
        <f ca="1">IF(AND($B$64=1,LEN($T$24) * LEN($T$18)&gt;0),$T$24/$T$18*100,HLOOKUP(INDIRECT(ADDRESS(2,COLUMN())),OFFSET($AT$2,0,0,ROW()-1,40),ROW()-1,FALSE))</f>
        <v>4.2782886849999997</v>
      </c>
      <c r="U12">
        <f ca="1">IF(AND($B$64=1,LEN($U$24) * LEN($U$18)&gt;0),$U$24/$U$18*100,HLOOKUP(INDIRECT(ADDRESS(2,COLUMN())),OFFSET($AT$2,0,0,ROW()-1,40),ROW()-1,FALSE))</f>
        <v>4.0794608019999998</v>
      </c>
      <c r="V12">
        <f ca="1">IF(AND($B$64=1,LEN($V$24) * LEN($V$18)&gt;0),$V$24/$V$18*100,HLOOKUP(INDIRECT(ADDRESS(2,COLUMN())),OFFSET($AT$2,0,0,ROW()-1,40),ROW()-1,FALSE))</f>
        <v>4.7257383969999998</v>
      </c>
      <c r="W12">
        <f ca="1">IF(AND($B$64=1,LEN($W$24) * LEN($W$18)&gt;0),$W$24/$W$18*100,HLOOKUP(INDIRECT(ADDRESS(2,COLUMN())),OFFSET($AT$2,0,0,ROW()-1,40),ROW()-1,FALSE))</f>
        <v>4.7395388560000002</v>
      </c>
      <c r="X12">
        <f ca="1">IF(AND($B$64=1,LEN($X$24) * LEN($X$18)&gt;0),$X$24/$X$18*100,HLOOKUP(INDIRECT(ADDRESS(2,COLUMN())),OFFSET($AT$2,0,0,ROW()-1,40),ROW()-1,FALSE))</f>
        <v>5.6372549019999996</v>
      </c>
      <c r="Y12">
        <f ca="1">IF(AND($B$64=1,LEN($Y$24) * LEN($Y$18)&gt;0),$Y$24/$Y$18*100,HLOOKUP(INDIRECT(ADDRESS(2,COLUMN())),OFFSET($AT$2,0,0,ROW()-1,40),ROW()-1,FALSE))</f>
        <v>4.382207578</v>
      </c>
      <c r="Z12">
        <f ca="1">IF(AND($B$64=1,LEN($Z$24) * LEN($Z$18)&gt;0),$Z$24/$Z$18*100,HLOOKUP(INDIRECT(ADDRESS(2,COLUMN())),OFFSET($AT$2,0,0,ROW()-1,40),ROW()-1,FALSE))</f>
        <v>5.1181102359999997</v>
      </c>
      <c r="AA12">
        <f ca="1">IF(AND($B$64=1,LEN($AA$24) * LEN($AA$18)&gt;0),$AA$24/$AA$18*100,HLOOKUP(INDIRECT(ADDRESS(2,COLUMN())),OFFSET($AT$2,0,0,ROW()-1,40),ROW()-1,FALSE))</f>
        <v>5.3012967199999999</v>
      </c>
      <c r="AB12">
        <f ca="1">IF(AND($B$64=1,LEN($AB$24) * LEN($AB$18)&gt;0),$AB$24/$AB$18*100,HLOOKUP(INDIRECT(ADDRESS(2,COLUMN())),OFFSET($AT$2,0,0,ROW()-1,40),ROW()-1,FALSE))</f>
        <v>8.7667161960000008</v>
      </c>
      <c r="AC12">
        <f ca="1">IF(AND($B$64=1,LEN($AC$24) * LEN($AC$18)&gt;0),$AC$24/$AC$18*100,HLOOKUP(INDIRECT(ADDRESS(2,COLUMN())),OFFSET($AT$2,0,0,ROW()-1,40),ROW()-1,FALSE))</f>
        <v>4.6739540140000004</v>
      </c>
      <c r="AD12">
        <f ca="1">IF(AND($B$64=1,LEN($AD$24) * LEN($AD$18)&gt;0),$AD$24/$AD$18*100,HLOOKUP(INDIRECT(ADDRESS(2,COLUMN())),OFFSET($AT$2,0,0,ROW()-1,40),ROW()-1,FALSE))</f>
        <v>5.9467040669999998</v>
      </c>
      <c r="AE12">
        <f ca="1">IF(AND($B$64=1,LEN($AE$24) * LEN($AE$18)&gt;0),$AE$24/$AE$18*100,HLOOKUP(INDIRECT(ADDRESS(2,COLUMN())),OFFSET($AT$2,0,0,ROW()-1,40),ROW()-1,FALSE))</f>
        <v>5.0158547130000004</v>
      </c>
      <c r="AF12">
        <f ca="1">IF(AND($B$64=1,LEN($AF$24) * LEN($AF$18)&gt;0),$AF$24/$AF$18*100,HLOOKUP(INDIRECT(ADDRESS(2,COLUMN())),OFFSET($AT$2,0,0,ROW()-1,40),ROW()-1,FALSE))</f>
        <v>5.4324734450000003</v>
      </c>
      <c r="AG12">
        <f ca="1">IF(AND($B$64=1,LEN($AG$24) * LEN($AG$18)&gt;0),$AG$24/$AG$18*100,HLOOKUP(INDIRECT(ADDRESS(2,COLUMN())),OFFSET($AT$2,0,0,ROW()-1,40),ROW()-1,FALSE))</f>
        <v>6.419363325</v>
      </c>
      <c r="AH12">
        <f ca="1">IF(AND($B$64=1,LEN($AH$24) * LEN($AH$18)&gt;0),$AH$24/$AH$18*100,HLOOKUP(INDIRECT(ADDRESS(2,COLUMN())),OFFSET($AT$2,0,0,ROW()-1,40),ROW()-1,FALSE))</f>
        <v>7.6312910279999997</v>
      </c>
      <c r="AI12">
        <f ca="1">IF(AND($B$64=1,LEN($AI$24) * LEN($AI$18)&gt;0),$AI$24/$AI$18*100,HLOOKUP(INDIRECT(ADDRESS(2,COLUMN())),OFFSET($AT$2,0,0,ROW()-1,40),ROW()-1,FALSE))</f>
        <v>7.4677147670000004</v>
      </c>
      <c r="AJ12">
        <f ca="1">IF(AND($B$64=1,LEN($AJ$24) * LEN($AJ$18)&gt;0),$AJ$24/$AJ$18*100,HLOOKUP(INDIRECT(ADDRESS(2,COLUMN())),OFFSET($AT$2,0,0,ROW()-1,40),ROW()-1,FALSE))</f>
        <v>6.4923354370000004</v>
      </c>
      <c r="AK12">
        <f ca="1">IF(AND($B$64=1,LEN($AK$24) * LEN($AK$18)&gt;0),$AK$24/$AK$18*100,HLOOKUP(INDIRECT(ADDRESS(2,COLUMN())),OFFSET($AT$2,0,0,ROW()-1,40),ROW()-1,FALSE))</f>
        <v>7.8064870810000002</v>
      </c>
      <c r="AL12">
        <f ca="1">IF(AND($B$64=1,LEN($AL$24) * LEN($AL$18)&gt;0),$AL$24/$AL$18*100,HLOOKUP(INDIRECT(ADDRESS(2,COLUMN())),OFFSET($AT$2,0,0,ROW()-1,40),ROW()-1,FALSE))</f>
        <v>6.3535911599999997</v>
      </c>
      <c r="AM12">
        <f ca="1">IF(AND($B$64=1,LEN($AM$24) * LEN($AM$18)&gt;0),$AM$24/$AM$18*100,HLOOKUP(INDIRECT(ADDRESS(2,COLUMN())),OFFSET($AT$2,0,0,ROW()-1,40),ROW()-1,FALSE))</f>
        <v>5.5987202930000004</v>
      </c>
      <c r="AN12">
        <f ca="1">IF(AND($B$64=1,LEN($AN$24) * LEN($AN$18)&gt;0),$AN$24/$AN$18*100,HLOOKUP(INDIRECT(ADDRESS(2,COLUMN())),OFFSET($AT$2,0,0,ROW()-1,40),ROW()-1,FALSE))</f>
        <v>5.2333641399999999</v>
      </c>
      <c r="AO12">
        <f ca="1">IF(AND($B$64=1,LEN($AO$24) * LEN($AO$18)&gt;0),$AO$24/$AO$18*100,HLOOKUP(INDIRECT(ADDRESS(2,COLUMN())),OFFSET($AT$2,0,0,ROW()-1,40),ROW()-1,FALSE))</f>
        <v>5.5891238669999996</v>
      </c>
      <c r="AP12">
        <f ca="1">IF(AND($B$64=1,LEN($AP$24) * LEN($AP$18)&gt;0),$AP$24/$AP$18*100,HLOOKUP(INDIRECT(ADDRESS(2,COLUMN())),OFFSET($AT$2,0,0,ROW()-1,40),ROW()-1,FALSE))</f>
        <v>5.042745633</v>
      </c>
      <c r="AQ12">
        <f ca="1">IF(AND($B$64=1,LEN($AQ$24) * LEN($AQ$18)&gt;0),$AQ$24/$AQ$18*100,HLOOKUP(INDIRECT(ADDRESS(2,COLUMN())),OFFSET($AT$2,0,0,ROW()-1,40),ROW()-1,FALSE))</f>
        <v>5.5852888710000004</v>
      </c>
      <c r="AR12">
        <f ca="1">IF(AND($B$64=1,LEN($AR$24) * LEN($AR$18)&gt;0),$AR$24/$AR$18*100,HLOOKUP(INDIRECT(ADDRESS(2,COLUMN())),OFFSET($AT$2,0,0,ROW()-1,40),ROW()-1,FALSE))</f>
        <v>5.2153243849999997</v>
      </c>
      <c r="AS12">
        <f ca="1">IF(AND($B$64=1,LEN($AS$24) * LEN($AS$18)&gt;0),$AS$24/$AS$18*100,HLOOKUP(INDIRECT(ADDRESS(2,COLUMN())),OFFSET($AT$2,0,0,ROW()-1,40),ROW()-1,FALSE))</f>
        <v>5.627653123</v>
      </c>
      <c r="AT12">
        <f>4.279069767</f>
        <v>4.2790697670000002</v>
      </c>
      <c r="AU12">
        <f>5.30584657</f>
        <v>5.3058465699999999</v>
      </c>
      <c r="AV12">
        <f>5.569948187</f>
        <v>5.5699481869999996</v>
      </c>
      <c r="AW12">
        <f>3.897550111</f>
        <v>3.8975501110000002</v>
      </c>
      <c r="AX12">
        <f>4.430379747</f>
        <v>4.4303797469999999</v>
      </c>
      <c r="AY12">
        <f>4.287962234</f>
        <v>4.2879622340000001</v>
      </c>
      <c r="AZ12">
        <f>5.04041845</f>
        <v>5.0404184499999998</v>
      </c>
      <c r="BA12">
        <f>3.914447135</f>
        <v>3.9144471350000001</v>
      </c>
      <c r="BB12">
        <f>3.801546392</f>
        <v>3.8015463920000001</v>
      </c>
      <c r="BC12">
        <f>5.555555556</f>
        <v>5.5555555559999998</v>
      </c>
      <c r="BD12">
        <f>5.33033033</f>
        <v>5.3303303299999998</v>
      </c>
      <c r="BE12">
        <f>2.404718693</f>
        <v>2.404718693</v>
      </c>
      <c r="BF12">
        <f>4.624871531</f>
        <v>4.6248715310000001</v>
      </c>
      <c r="BG12">
        <f>3.461063041</f>
        <v>3.4610630410000001</v>
      </c>
      <c r="BH12">
        <f>4.278288685</f>
        <v>4.2782886849999997</v>
      </c>
      <c r="BI12">
        <f>4.079460802</f>
        <v>4.0794608019999998</v>
      </c>
      <c r="BJ12">
        <f>4.725738397</f>
        <v>4.7257383969999998</v>
      </c>
      <c r="BK12">
        <f>4.739538856</f>
        <v>4.7395388560000002</v>
      </c>
      <c r="BL12">
        <f>5.637254902</f>
        <v>5.6372549019999996</v>
      </c>
      <c r="BM12">
        <f>4.382207578</f>
        <v>4.382207578</v>
      </c>
      <c r="BN12">
        <f>5.118110236</f>
        <v>5.1181102359999997</v>
      </c>
      <c r="BO12">
        <f>5.30129672</f>
        <v>5.3012967199999999</v>
      </c>
      <c r="BP12">
        <f>8.766716196</f>
        <v>8.7667161960000008</v>
      </c>
      <c r="BQ12">
        <f>4.673954014</f>
        <v>4.6739540140000004</v>
      </c>
      <c r="BR12">
        <f>5.946704067</f>
        <v>5.9467040669999998</v>
      </c>
      <c r="BS12">
        <f>5.015854713</f>
        <v>5.0158547130000004</v>
      </c>
      <c r="BT12">
        <f>5.432473445</f>
        <v>5.4324734450000003</v>
      </c>
      <c r="BU12">
        <f>6.419363325</f>
        <v>6.419363325</v>
      </c>
      <c r="BV12">
        <f>7.631291028</f>
        <v>7.6312910279999997</v>
      </c>
      <c r="BW12">
        <f>7.467714767</f>
        <v>7.4677147670000004</v>
      </c>
      <c r="BX12">
        <f>6.492335437</f>
        <v>6.4923354370000004</v>
      </c>
      <c r="BY12">
        <f>7.806487081</f>
        <v>7.8064870810000002</v>
      </c>
      <c r="BZ12">
        <f>6.35359116</f>
        <v>6.3535911599999997</v>
      </c>
      <c r="CA12">
        <f>5.598720293</f>
        <v>5.5987202930000004</v>
      </c>
      <c r="CB12">
        <f>5.23336414</f>
        <v>5.2333641399999999</v>
      </c>
      <c r="CC12">
        <f>5.589123867</f>
        <v>5.5891238669999996</v>
      </c>
      <c r="CD12">
        <f>5.042745633</f>
        <v>5.042745633</v>
      </c>
      <c r="CE12">
        <f>5.585288871</f>
        <v>5.5852888710000004</v>
      </c>
      <c r="CF12">
        <f>5.215324385</f>
        <v>5.2153243849999997</v>
      </c>
      <c r="CG12">
        <f>5.627653123</f>
        <v>5.627653123</v>
      </c>
    </row>
    <row r="13" spans="1:85" x14ac:dyDescent="0.25">
      <c r="A13" t="str">
        <f>"    International"</f>
        <v xml:space="preserve">    International</v>
      </c>
      <c r="B13" t="str">
        <f>""</f>
        <v/>
      </c>
      <c r="E13" t="str">
        <f t="shared" si="0"/>
        <v>Expression</v>
      </c>
      <c r="F13">
        <f ca="1">IF(AND($B$64=1,LEN($F$25) * LEN($F$18)&gt;0),$F$25/$F$18*100,HLOOKUP(INDIRECT(ADDRESS(2,COLUMN())),OFFSET($AT$2,0,0,ROW()-1,40),ROW()-1,FALSE))</f>
        <v>0</v>
      </c>
      <c r="G13">
        <f ca="1">IF(AND($B$64=1,LEN($G$25) * LEN($G$18)&gt;0),$G$25/$G$18*100,HLOOKUP(INDIRECT(ADDRESS(2,COLUMN())),OFFSET($AT$2,0,0,ROW()-1,40),ROW()-1,FALSE))</f>
        <v>3.3795200999999997E-2</v>
      </c>
      <c r="H13">
        <f ca="1">IF(AND($B$64=1,LEN($H$25) * LEN($H$18)&gt;0),$H$25/$H$18*100,HLOOKUP(INDIRECT(ADDRESS(2,COLUMN())),OFFSET($AT$2,0,0,ROW()-1,40),ROW()-1,FALSE))</f>
        <v>6.4766839000000007E-2</v>
      </c>
      <c r="I13">
        <f ca="1">IF(AND($B$64=1,LEN($I$25) * LEN($I$18)&gt;0),$I$25/$I$18*100,HLOOKUP(INDIRECT(ADDRESS(2,COLUMN())),OFFSET($AT$2,0,0,ROW()-1,40),ROW()-1,FALSE))</f>
        <v>0</v>
      </c>
      <c r="J13">
        <f ca="1">IF(AND($B$64=1,LEN($J$25) * LEN($J$18)&gt;0),$J$25/$J$18*100,HLOOKUP(INDIRECT(ADDRESS(2,COLUMN())),OFFSET($AT$2,0,0,ROW()-1,40),ROW()-1,FALSE))</f>
        <v>3.9556962000000001E-2</v>
      </c>
      <c r="K13">
        <f ca="1">IF(AND($B$64=1,LEN($K$25) * LEN($K$18)&gt;0),$K$25/$K$18*100,HLOOKUP(INDIRECT(ADDRESS(2,COLUMN())),OFFSET($AT$2,0,0,ROW()-1,40),ROW()-1,FALSE))</f>
        <v>0.236034618</v>
      </c>
      <c r="L13">
        <f ca="1">IF(AND($B$64=1,LEN($L$25) * LEN($L$18)&gt;0),$L$25/$L$18*100,HLOOKUP(INDIRECT(ADDRESS(2,COLUMN())),OFFSET($AT$2,0,0,ROW()-1,40),ROW()-1,FALSE))</f>
        <v>0.33285782200000003</v>
      </c>
      <c r="M13">
        <f ca="1">IF(AND($B$64=1,LEN($M$25) * LEN($M$18)&gt;0),$M$25/$M$18*100,HLOOKUP(INDIRECT(ADDRESS(2,COLUMN())),OFFSET($AT$2,0,0,ROW()-1,40),ROW()-1,FALSE))</f>
        <v>4.0355124999999999E-2</v>
      </c>
      <c r="N13">
        <f ca="1">IF(AND($B$64=1,LEN($N$25) * LEN($N$18)&gt;0),$N$25/$N$18*100,HLOOKUP(INDIRECT(ADDRESS(2,COLUMN())),OFFSET($AT$2,0,0,ROW()-1,40),ROW()-1,FALSE))</f>
        <v>0.32216494800000001</v>
      </c>
      <c r="O13">
        <f ca="1">IF(AND($B$64=1,LEN($O$25) * LEN($O$18)&gt;0),$O$25/$O$18*100,HLOOKUP(INDIRECT(ADDRESS(2,COLUMN())),OFFSET($AT$2,0,0,ROW()-1,40),ROW()-1,FALSE))</f>
        <v>0.42328042300000002</v>
      </c>
      <c r="P13">
        <f ca="1">IF(AND($B$64=1,LEN($P$25) * LEN($P$18)&gt;0),$P$25/$P$18*100,HLOOKUP(INDIRECT(ADDRESS(2,COLUMN())),OFFSET($AT$2,0,0,ROW()-1,40),ROW()-1,FALSE))</f>
        <v>0.337837838</v>
      </c>
      <c r="Q13">
        <f ca="1">IF(AND($B$64=1,LEN($Q$25) * LEN($Q$18)&gt;0),$Q$25/$Q$18*100,HLOOKUP(INDIRECT(ADDRESS(2,COLUMN())),OFFSET($AT$2,0,0,ROW()-1,40),ROW()-1,FALSE))</f>
        <v>0.362976407</v>
      </c>
      <c r="R13">
        <f ca="1">IF(AND($B$64=1,LEN($R$25) * LEN($R$18)&gt;0),$R$25/$R$18*100,HLOOKUP(INDIRECT(ADDRESS(2,COLUMN())),OFFSET($AT$2,0,0,ROW()-1,40),ROW()-1,FALSE))</f>
        <v>0.71942446000000004</v>
      </c>
      <c r="S13">
        <f ca="1">IF(AND($B$64=1,LEN($S$25) * LEN($S$18)&gt;0),$S$25/$S$18*100,HLOOKUP(INDIRECT(ADDRESS(2,COLUMN())),OFFSET($AT$2,0,0,ROW()-1,40),ROW()-1,FALSE))</f>
        <v>0.24721878899999999</v>
      </c>
      <c r="T13">
        <f ca="1">IF(AND($B$64=1,LEN($T$25) * LEN($T$18)&gt;0),$T$25/$T$18*100,HLOOKUP(INDIRECT(ADDRESS(2,COLUMN())),OFFSET($AT$2,0,0,ROW()-1,40),ROW()-1,FALSE))</f>
        <v>7.9968013000000004E-2</v>
      </c>
      <c r="U13">
        <f ca="1">IF(AND($B$64=1,LEN($U$25) * LEN($U$18)&gt;0),$U$25/$U$18*100,HLOOKUP(INDIRECT(ADDRESS(2,COLUMN())),OFFSET($AT$2,0,0,ROW()-1,40),ROW()-1,FALSE))</f>
        <v>0.212841433</v>
      </c>
      <c r="V13">
        <f ca="1">IF(AND($B$64=1,LEN($V$25) * LEN($V$18)&gt;0),$V$25/$V$18*100,HLOOKUP(INDIRECT(ADDRESS(2,COLUMN())),OFFSET($AT$2,0,0,ROW()-1,40),ROW()-1,FALSE))</f>
        <v>0.12658227899999999</v>
      </c>
      <c r="W13">
        <f ca="1">IF(AND($B$64=1,LEN($W$25) * LEN($W$18)&gt;0),$W$25/$W$18*100,HLOOKUP(INDIRECT(ADDRESS(2,COLUMN())),OFFSET($AT$2,0,0,ROW()-1,40),ROW()-1,FALSE))</f>
        <v>0.12809564500000001</v>
      </c>
      <c r="X13">
        <f ca="1">IF(AND($B$64=1,LEN($X$25) * LEN($X$18)&gt;0),$X$25/$X$18*100,HLOOKUP(INDIRECT(ADDRESS(2,COLUMN())),OFFSET($AT$2,0,0,ROW()-1,40),ROW()-1,FALSE))</f>
        <v>0.40849673199999997</v>
      </c>
      <c r="Y13">
        <f ca="1">IF(AND($B$64=1,LEN($Y$25) * LEN($Y$18)&gt;0),$Y$25/$Y$18*100,HLOOKUP(INDIRECT(ADDRESS(2,COLUMN())),OFFSET($AT$2,0,0,ROW()-1,40),ROW()-1,FALSE))</f>
        <v>0.230642504</v>
      </c>
      <c r="Z13">
        <f ca="1">IF(AND($B$64=1,LEN($Z$25) * LEN($Z$18)&gt;0),$Z$25/$Z$18*100,HLOOKUP(INDIRECT(ADDRESS(2,COLUMN())),OFFSET($AT$2,0,0,ROW()-1,40),ROW()-1,FALSE))</f>
        <v>8.7489064000000005E-2</v>
      </c>
      <c r="AA13">
        <f ca="1">IF(AND($B$64=1,LEN($AA$25) * LEN($AA$18)&gt;0),$AA$25/$AA$18*100,HLOOKUP(INDIRECT(ADDRESS(2,COLUMN())),OFFSET($AT$2,0,0,ROW()-1,40),ROW()-1,FALSE))</f>
        <v>0.114416476</v>
      </c>
      <c r="AB13">
        <f ca="1">IF(AND($B$64=1,LEN($AB$25) * LEN($AB$18)&gt;0),$AB$25/$AB$18*100,HLOOKUP(INDIRECT(ADDRESS(2,COLUMN())),OFFSET($AT$2,0,0,ROW()-1,40),ROW()-1,FALSE))</f>
        <v>0.11887072799999999</v>
      </c>
      <c r="AC13">
        <f ca="1">IF(AND($B$64=1,LEN($AC$25) * LEN($AC$18)&gt;0),$AC$25/$AC$18*100,HLOOKUP(INDIRECT(ADDRESS(2,COLUMN())),OFFSET($AT$2,0,0,ROW()-1,40),ROW()-1,FALSE))</f>
        <v>0.188465888</v>
      </c>
      <c r="AD13">
        <f ca="1">IF(AND($B$64=1,LEN($AD$25) * LEN($AD$18)&gt;0),$AD$25/$AD$18*100,HLOOKUP(INDIRECT(ADDRESS(2,COLUMN())),OFFSET($AT$2,0,0,ROW()-1,40),ROW()-1,FALSE))</f>
        <v>2.8050491E-2</v>
      </c>
      <c r="AE13">
        <f ca="1">IF(AND($B$64=1,LEN($AE$25) * LEN($AE$18)&gt;0),$AE$25/$AE$18*100,HLOOKUP(INDIRECT(ADDRESS(2,COLUMN())),OFFSET($AT$2,0,0,ROW()-1,40),ROW()-1,FALSE))</f>
        <v>0.115307005</v>
      </c>
      <c r="AF13">
        <f ca="1">IF(AND($B$64=1,LEN($AF$25) * LEN($AF$18)&gt;0),$AF$25/$AF$18*100,HLOOKUP(INDIRECT(ADDRESS(2,COLUMN())),OFFSET($AT$2,0,0,ROW()-1,40),ROW()-1,FALSE))</f>
        <v>9.1047040999999995E-2</v>
      </c>
      <c r="AG13">
        <f ca="1">IF(AND($B$64=1,LEN($AG$25) * LEN($AG$18)&gt;0),$AG$25/$AG$18*100,HLOOKUP(INDIRECT(ADDRESS(2,COLUMN())),OFFSET($AT$2,0,0,ROW()-1,40),ROW()-1,FALSE))</f>
        <v>7.8926598000000001E-2</v>
      </c>
      <c r="AH13">
        <f ca="1">IF(AND($B$64=1,LEN($AH$25) * LEN($AH$18)&gt;0),$AH$25/$AH$18*100,HLOOKUP(INDIRECT(ADDRESS(2,COLUMN())),OFFSET($AT$2,0,0,ROW()-1,40),ROW()-1,FALSE))</f>
        <v>0.13676148799999999</v>
      </c>
      <c r="AI13">
        <f ca="1">IF(AND($B$64=1,LEN($AI$25) * LEN($AI$18)&gt;0),$AI$25/$AI$18*100,HLOOKUP(INDIRECT(ADDRESS(2,COLUMN())),OFFSET($AT$2,0,0,ROW()-1,40),ROW()-1,FALSE))</f>
        <v>8.4222347000000003E-2</v>
      </c>
      <c r="AJ13">
        <f ca="1">IF(AND($B$64=1,LEN($AJ$25) * LEN($AJ$18)&gt;0),$AJ$25/$AJ$18*100,HLOOKUP(INDIRECT(ADDRESS(2,COLUMN())),OFFSET($AT$2,0,0,ROW()-1,40),ROW()-1,FALSE))</f>
        <v>0.24045686799999999</v>
      </c>
      <c r="AK13">
        <f ca="1">IF(AND($B$64=1,LEN($AK$25) * LEN($AK$18)&gt;0),$AK$25/$AK$18*100,HLOOKUP(INDIRECT(ADDRESS(2,COLUMN())),OFFSET($AT$2,0,0,ROW()-1,40),ROW()-1,FALSE))</f>
        <v>0.247388675</v>
      </c>
      <c r="AL13">
        <f ca="1">IF(AND($B$64=1,LEN($AL$25) * LEN($AL$18)&gt;0),$AL$25/$AL$18*100,HLOOKUP(INDIRECT(ADDRESS(2,COLUMN())),OFFSET($AT$2,0,0,ROW()-1,40),ROW()-1,FALSE))</f>
        <v>0.41436464099999998</v>
      </c>
      <c r="AM13">
        <f ca="1">IF(AND($B$64=1,LEN($AM$25) * LEN($AM$18)&gt;0),$AM$25/$AM$18*100,HLOOKUP(INDIRECT(ADDRESS(2,COLUMN())),OFFSET($AT$2,0,0,ROW()-1,40),ROW()-1,FALSE))</f>
        <v>0.22851919600000001</v>
      </c>
      <c r="AN13">
        <f ca="1">IF(AND($B$64=1,LEN($AN$25) * LEN($AN$18)&gt;0),$AN$25/$AN$18*100,HLOOKUP(INDIRECT(ADDRESS(2,COLUMN())),OFFSET($AT$2,0,0,ROW()-1,40),ROW()-1,FALSE))</f>
        <v>9.2421442000000006E-2</v>
      </c>
      <c r="AO13">
        <f ca="1">IF(AND($B$64=1,LEN($AO$25) * LEN($AO$18)&gt;0),$AO$25/$AO$18*100,HLOOKUP(INDIRECT(ADDRESS(2,COLUMN())),OFFSET($AT$2,0,0,ROW()-1,40),ROW()-1,FALSE))</f>
        <v>0.12588116799999999</v>
      </c>
      <c r="AP13">
        <f ca="1">IF(AND($B$64=1,LEN($AP$25) * LEN($AP$18)&gt;0),$AP$25/$AP$18*100,HLOOKUP(INDIRECT(ADDRESS(2,COLUMN())),OFFSET($AT$2,0,0,ROW()-1,40),ROW()-1,FALSE))</f>
        <v>0.19824061500000001</v>
      </c>
      <c r="AQ13">
        <f ca="1">IF(AND($B$64=1,LEN($AQ$25) * LEN($AQ$18)&gt;0),$AQ$25/$AQ$18*100,HLOOKUP(INDIRECT(ADDRESS(2,COLUMN())),OFFSET($AT$2,0,0,ROW()-1,40),ROW()-1,FALSE))</f>
        <v>0.27446136999999998</v>
      </c>
      <c r="AR13">
        <f ca="1">IF(AND($B$64=1,LEN($AR$25) * LEN($AR$18)&gt;0),$AR$25/$AR$18*100,HLOOKUP(INDIRECT(ADDRESS(2,COLUMN())),OFFSET($AT$2,0,0,ROW()-1,40),ROW()-1,FALSE))</f>
        <v>0.447427293</v>
      </c>
      <c r="AS13">
        <f ca="1">IF(AND($B$64=1,LEN($AS$25) * LEN($AS$18)&gt;0),$AS$25/$AS$18*100,HLOOKUP(INDIRECT(ADDRESS(2,COLUMN())),OFFSET($AT$2,0,0,ROW()-1,40),ROW()-1,FALSE))</f>
        <v>1.152213463</v>
      </c>
      <c r="AT13">
        <f>0</f>
        <v>0</v>
      </c>
      <c r="AU13">
        <f>0.033795201</f>
        <v>3.3795200999999997E-2</v>
      </c>
      <c r="AV13">
        <f>0.064766839</f>
        <v>6.4766839000000007E-2</v>
      </c>
      <c r="AW13">
        <f>0</f>
        <v>0</v>
      </c>
      <c r="AX13">
        <f>0.039556962</f>
        <v>3.9556962000000001E-2</v>
      </c>
      <c r="AY13">
        <f>0.236034618</f>
        <v>0.236034618</v>
      </c>
      <c r="AZ13">
        <f>0.332857822</f>
        <v>0.33285782200000003</v>
      </c>
      <c r="BA13">
        <f>0.040355125</f>
        <v>4.0355124999999999E-2</v>
      </c>
      <c r="BB13">
        <f>0.322164948</f>
        <v>0.32216494800000001</v>
      </c>
      <c r="BC13">
        <f>0.423280423</f>
        <v>0.42328042300000002</v>
      </c>
      <c r="BD13">
        <f>0.337837838</f>
        <v>0.337837838</v>
      </c>
      <c r="BE13">
        <f>0.362976407</f>
        <v>0.362976407</v>
      </c>
      <c r="BF13">
        <f>0.71942446</f>
        <v>0.71942446000000004</v>
      </c>
      <c r="BG13">
        <f>0.247218789</f>
        <v>0.24721878899999999</v>
      </c>
      <c r="BH13">
        <f>0.079968013</f>
        <v>7.9968013000000004E-2</v>
      </c>
      <c r="BI13">
        <f>0.212841433</f>
        <v>0.212841433</v>
      </c>
      <c r="BJ13">
        <f>0.126582279</f>
        <v>0.12658227899999999</v>
      </c>
      <c r="BK13">
        <f>0.128095645</f>
        <v>0.12809564500000001</v>
      </c>
      <c r="BL13">
        <f>0.408496732</f>
        <v>0.40849673199999997</v>
      </c>
      <c r="BM13">
        <f>0.230642504</f>
        <v>0.230642504</v>
      </c>
      <c r="BN13">
        <f>0.087489064</f>
        <v>8.7489064000000005E-2</v>
      </c>
      <c r="BO13">
        <f>0.114416476</f>
        <v>0.114416476</v>
      </c>
      <c r="BP13">
        <f>0.118870728</f>
        <v>0.11887072799999999</v>
      </c>
      <c r="BQ13">
        <f>0.188465888</f>
        <v>0.188465888</v>
      </c>
      <c r="BR13">
        <f>0.028050491</f>
        <v>2.8050491E-2</v>
      </c>
      <c r="BS13">
        <f>0.115307005</f>
        <v>0.115307005</v>
      </c>
      <c r="BT13">
        <f>0.091047041</f>
        <v>9.1047040999999995E-2</v>
      </c>
      <c r="BU13">
        <f>0.078926598</f>
        <v>7.8926598000000001E-2</v>
      </c>
      <c r="BV13">
        <f>0.136761488</f>
        <v>0.13676148799999999</v>
      </c>
      <c r="BW13">
        <f>0.084222347</f>
        <v>8.4222347000000003E-2</v>
      </c>
      <c r="BX13">
        <f>0.240456868</f>
        <v>0.24045686799999999</v>
      </c>
      <c r="BY13">
        <f>0.247388675</f>
        <v>0.247388675</v>
      </c>
      <c r="BZ13">
        <f>0.414364641</f>
        <v>0.41436464099999998</v>
      </c>
      <c r="CA13">
        <f>0.228519196</f>
        <v>0.22851919600000001</v>
      </c>
      <c r="CB13">
        <f>0.092421442</f>
        <v>9.2421442000000006E-2</v>
      </c>
      <c r="CC13">
        <f>0.125881168</f>
        <v>0.12588116799999999</v>
      </c>
      <c r="CD13">
        <f>0.198240615</f>
        <v>0.19824061500000001</v>
      </c>
      <c r="CE13">
        <f>0.27446137</f>
        <v>0.27446136999999998</v>
      </c>
      <c r="CF13">
        <f>0.447427293</f>
        <v>0.447427293</v>
      </c>
      <c r="CG13">
        <f>1.152213463</f>
        <v>1.152213463</v>
      </c>
    </row>
    <row r="14" spans="1:85" x14ac:dyDescent="0.25">
      <c r="A14" t="str">
        <f>"    DAF"</f>
        <v xml:space="preserve">    DAF</v>
      </c>
      <c r="B14" t="str">
        <f>""</f>
        <v/>
      </c>
      <c r="E14" t="str">
        <f t="shared" si="0"/>
        <v>Expression</v>
      </c>
      <c r="F14">
        <f ca="1">IF(AND($B$64=1,LEN($F$26) * LEN($F$18)&gt;0),$F$26/$F$18*100,HLOOKUP(INDIRECT(ADDRESS(2,COLUMN())),OFFSET($AT$2,0,0,ROW()-1,40),ROW()-1,FALSE))</f>
        <v>3.4728682169999998</v>
      </c>
      <c r="G14">
        <f ca="1">IF(AND($B$64=1,LEN($G$26) * LEN($G$18)&gt;0),$G$26/$G$18*100,HLOOKUP(INDIRECT(ADDRESS(2,COLUMN())),OFFSET($AT$2,0,0,ROW()-1,40),ROW()-1,FALSE))</f>
        <v>3.6160865160000002</v>
      </c>
      <c r="H14">
        <f ca="1">IF(AND($B$64=1,LEN($H$26) * LEN($H$18)&gt;0),$H$26/$H$18*100,HLOOKUP(INDIRECT(ADDRESS(2,COLUMN())),OFFSET($AT$2,0,0,ROW()-1,40),ROW()-1,FALSE))</f>
        <v>3.724093264</v>
      </c>
      <c r="I14">
        <f ca="1">IF(AND($B$64=1,LEN($I$26) * LEN($I$18)&gt;0),$I$26/$I$18*100,HLOOKUP(INDIRECT(ADDRESS(2,COLUMN())),OFFSET($AT$2,0,0,ROW()-1,40),ROW()-1,FALSE))</f>
        <v>3.3407572380000001</v>
      </c>
      <c r="J14">
        <f ca="1">IF(AND($B$64=1,LEN($J$26) * LEN($J$18)&gt;0),$J$26/$J$18*100,HLOOKUP(INDIRECT(ADDRESS(2,COLUMN())),OFFSET($AT$2,0,0,ROW()-1,40),ROW()-1,FALSE))</f>
        <v>2.768987342</v>
      </c>
      <c r="K14">
        <f ca="1">IF(AND($B$64=1,LEN($K$26) * LEN($K$18)&gt;0),$K$26/$K$18*100,HLOOKUP(INDIRECT(ADDRESS(2,COLUMN())),OFFSET($AT$2,0,0,ROW()-1,40),ROW()-1,FALSE))</f>
        <v>3.068450039</v>
      </c>
      <c r="L14">
        <f ca="1">IF(AND($B$64=1,LEN($L$26) * LEN($L$18)&gt;0),$L$26/$L$18*100,HLOOKUP(INDIRECT(ADDRESS(2,COLUMN())),OFFSET($AT$2,0,0,ROW()-1,40),ROW()-1,FALSE))</f>
        <v>2.4251069900000002</v>
      </c>
      <c r="M14">
        <f ca="1">IF(AND($B$64=1,LEN($M$26) * LEN($M$18)&gt;0),$M$26/$M$18*100,HLOOKUP(INDIRECT(ADDRESS(2,COLUMN())),OFFSET($AT$2,0,0,ROW()-1,40),ROW()-1,FALSE))</f>
        <v>2.6634382570000001</v>
      </c>
      <c r="N14">
        <f ca="1">IF(AND($B$64=1,LEN($N$26) * LEN($N$18)&gt;0),$N$26/$N$18*100,HLOOKUP(INDIRECT(ADDRESS(2,COLUMN())),OFFSET($AT$2,0,0,ROW()-1,40),ROW()-1,FALSE))</f>
        <v>2.3840206190000002</v>
      </c>
      <c r="O14">
        <f ca="1">IF(AND($B$64=1,LEN($O$26) * LEN($O$18)&gt;0),$O$26/$O$18*100,HLOOKUP(INDIRECT(ADDRESS(2,COLUMN())),OFFSET($AT$2,0,0,ROW()-1,40),ROW()-1,FALSE))</f>
        <v>3.2275132279999998</v>
      </c>
      <c r="P14">
        <f ca="1">IF(AND($B$64=1,LEN($P$26) * LEN($P$18)&gt;0),$P$26/$P$18*100,HLOOKUP(INDIRECT(ADDRESS(2,COLUMN())),OFFSET($AT$2,0,0,ROW()-1,40),ROW()-1,FALSE))</f>
        <v>3.4534534529999998</v>
      </c>
      <c r="Q14">
        <f ca="1">IF(AND($B$64=1,LEN($Q$26) * LEN($Q$18)&gt;0),$Q$26/$Q$18*100,HLOOKUP(INDIRECT(ADDRESS(2,COLUMN())),OFFSET($AT$2,0,0,ROW()-1,40),ROW()-1,FALSE))</f>
        <v>2.1324863879999998</v>
      </c>
      <c r="R14">
        <f ca="1">IF(AND($B$64=1,LEN($R$26) * LEN($R$18)&gt;0),$R$26/$R$18*100,HLOOKUP(INDIRECT(ADDRESS(2,COLUMN())),OFFSET($AT$2,0,0,ROW()-1,40),ROW()-1,FALSE))</f>
        <v>2.1582733809999999</v>
      </c>
      <c r="S14">
        <f ca="1">IF(AND($B$64=1,LEN($S$26) * LEN($S$18)&gt;0),$S$26/$S$18*100,HLOOKUP(INDIRECT(ADDRESS(2,COLUMN())),OFFSET($AT$2,0,0,ROW()-1,40),ROW()-1,FALSE))</f>
        <v>2.3073753610000001</v>
      </c>
      <c r="T14">
        <f ca="1">IF(AND($B$64=1,LEN($T$26) * LEN($T$18)&gt;0),$T$26/$T$18*100,HLOOKUP(INDIRECT(ADDRESS(2,COLUMN())),OFFSET($AT$2,0,0,ROW()-1,40),ROW()-1,FALSE))</f>
        <v>2.6789284289999999</v>
      </c>
      <c r="U14">
        <f ca="1">IF(AND($B$64=1,LEN($U$26) * LEN($U$18)&gt;0),$U$26/$U$18*100,HLOOKUP(INDIRECT(ADDRESS(2,COLUMN())),OFFSET($AT$2,0,0,ROW()-1,40),ROW()-1,FALSE))</f>
        <v>3.263568641</v>
      </c>
      <c r="V14">
        <f ca="1">IF(AND($B$64=1,LEN($V$26) * LEN($V$18)&gt;0),$V$26/$V$18*100,HLOOKUP(INDIRECT(ADDRESS(2,COLUMN())),OFFSET($AT$2,0,0,ROW()-1,40),ROW()-1,FALSE))</f>
        <v>1.6033755270000001</v>
      </c>
      <c r="W14">
        <f ca="1">IF(AND($B$64=1,LEN($W$26) * LEN($W$18)&gt;0),$W$26/$W$18*100,HLOOKUP(INDIRECT(ADDRESS(2,COLUMN())),OFFSET($AT$2,0,0,ROW()-1,40),ROW()-1,FALSE))</f>
        <v>2.0495303159999998</v>
      </c>
      <c r="X14">
        <f ca="1">IF(AND($B$64=1,LEN($X$26) * LEN($X$18)&gt;0),$X$26/$X$18*100,HLOOKUP(INDIRECT(ADDRESS(2,COLUMN())),OFFSET($AT$2,0,0,ROW()-1,40),ROW()-1,FALSE))</f>
        <v>2.4101307190000001</v>
      </c>
      <c r="Y14">
        <f ca="1">IF(AND($B$64=1,LEN($Y$26) * LEN($Y$18)&gt;0),$Y$26/$Y$18*100,HLOOKUP(INDIRECT(ADDRESS(2,COLUMN())),OFFSET($AT$2,0,0,ROW()-1,40),ROW()-1,FALSE))</f>
        <v>1.6144975290000001</v>
      </c>
      <c r="Z14">
        <f ca="1">IF(AND($B$64=1,LEN($Z$26) * LEN($Z$18)&gt;0),$Z$26/$Z$18*100,HLOOKUP(INDIRECT(ADDRESS(2,COLUMN())),OFFSET($AT$2,0,0,ROW()-1,40),ROW()-1,FALSE))</f>
        <v>1.3998250219999999</v>
      </c>
      <c r="AA14">
        <f ca="1">IF(AND($B$64=1,LEN($AA$26) * LEN($AA$18)&gt;0),$AA$26/$AA$18*100,HLOOKUP(INDIRECT(ADDRESS(2,COLUMN())),OFFSET($AT$2,0,0,ROW()-1,40),ROW()-1,FALSE))</f>
        <v>1.945080092</v>
      </c>
      <c r="AB14">
        <f ca="1">IF(AND($B$64=1,LEN($AB$26) * LEN($AB$18)&gt;0),$AB$26/$AB$18*100,HLOOKUP(INDIRECT(ADDRESS(2,COLUMN())),OFFSET($AT$2,0,0,ROW()-1,40),ROW()-1,FALSE))</f>
        <v>1.7236255570000001</v>
      </c>
      <c r="AC14">
        <f ca="1">IF(AND($B$64=1,LEN($AC$26) * LEN($AC$18)&gt;0),$AC$26/$AC$18*100,HLOOKUP(INDIRECT(ADDRESS(2,COLUMN())),OFFSET($AT$2,0,0,ROW()-1,40),ROW()-1,FALSE))</f>
        <v>1.319261214</v>
      </c>
      <c r="AD14">
        <f ca="1">IF(AND($B$64=1,LEN($AD$26) * LEN($AD$18)&gt;0),$AD$26/$AD$18*100,HLOOKUP(INDIRECT(ADDRESS(2,COLUMN())),OFFSET($AT$2,0,0,ROW()-1,40),ROW()-1,FALSE))</f>
        <v>1.0659186540000001</v>
      </c>
      <c r="AE14">
        <f ca="1">IF(AND($B$64=1,LEN($AE$26) * LEN($AE$18)&gt;0),$AE$26/$AE$18*100,HLOOKUP(INDIRECT(ADDRESS(2,COLUMN())),OFFSET($AT$2,0,0,ROW()-1,40),ROW()-1,FALSE))</f>
        <v>1.5566445659999999</v>
      </c>
      <c r="AF14">
        <f ca="1">IF(AND($B$64=1,LEN($AF$26) * LEN($AF$18)&gt;0),$AF$26/$AF$18*100,HLOOKUP(INDIRECT(ADDRESS(2,COLUMN())),OFFSET($AT$2,0,0,ROW()-1,40),ROW()-1,FALSE))</f>
        <v>1.24430956</v>
      </c>
      <c r="AG14">
        <f ca="1">IF(AND($B$64=1,LEN($AG$26) * LEN($AG$18)&gt;0),$AG$26/$AG$18*100,HLOOKUP(INDIRECT(ADDRESS(2,COLUMN())),OFFSET($AT$2,0,0,ROW()-1,40),ROW()-1,FALSE))</f>
        <v>1.1049723760000001</v>
      </c>
      <c r="AH14">
        <f ca="1">IF(AND($B$64=1,LEN($AH$26) * LEN($AH$18)&gt;0),$AH$26/$AH$18*100,HLOOKUP(INDIRECT(ADDRESS(2,COLUMN())),OFFSET($AT$2,0,0,ROW()-1,40),ROW()-1,FALSE))</f>
        <v>0.76586433300000001</v>
      </c>
      <c r="AI14">
        <f ca="1">IF(AND($B$64=1,LEN($AI$26) * LEN($AI$18)&gt;0),$AI$26/$AI$18*100,HLOOKUP(INDIRECT(ADDRESS(2,COLUMN())),OFFSET($AT$2,0,0,ROW()-1,40),ROW()-1,FALSE))</f>
        <v>0.84222346999999997</v>
      </c>
      <c r="AJ14">
        <f ca="1">IF(AND($B$64=1,LEN($AJ$26) * LEN($AJ$18)&gt;0),$AJ$26/$AJ$18*100,HLOOKUP(INDIRECT(ADDRESS(2,COLUMN())),OFFSET($AT$2,0,0,ROW()-1,40),ROW()-1,FALSE))</f>
        <v>1.0219416889999999</v>
      </c>
      <c r="AK14">
        <f ca="1">IF(AND($B$64=1,LEN($AK$26) * LEN($AK$18)&gt;0),$AK$26/$AK$18*100,HLOOKUP(INDIRECT(ADDRESS(2,COLUMN())),OFFSET($AT$2,0,0,ROW()-1,40),ROW()-1,FALSE))</f>
        <v>0.71467839499999997</v>
      </c>
      <c r="AL14">
        <f ca="1">IF(AND($B$64=1,LEN($AL$26) * LEN($AL$18)&gt;0),$AL$26/$AL$18*100,HLOOKUP(INDIRECT(ADDRESS(2,COLUMN())),OFFSET($AT$2,0,0,ROW()-1,40),ROW()-1,FALSE))</f>
        <v>0.79419889499999996</v>
      </c>
      <c r="AM14">
        <f ca="1">IF(AND($B$64=1,LEN($AM$26) * LEN($AM$18)&gt;0),$AM$26/$AM$18*100,HLOOKUP(INDIRECT(ADDRESS(2,COLUMN())),OFFSET($AT$2,0,0,ROW()-1,40),ROW()-1,FALSE))</f>
        <v>0.77696526499999996</v>
      </c>
      <c r="AN14">
        <f ca="1">IF(AND($B$64=1,LEN($AN$26) * LEN($AN$18)&gt;0),$AN$26/$AN$18*100,HLOOKUP(INDIRECT(ADDRESS(2,COLUMN())),OFFSET($AT$2,0,0,ROW()-1,40),ROW()-1,FALSE))</f>
        <v>0.39279112799999999</v>
      </c>
      <c r="AO14">
        <f ca="1">IF(AND($B$64=1,LEN($AO$26) * LEN($AO$18)&gt;0),$AO$26/$AO$18*100,HLOOKUP(INDIRECT(ADDRESS(2,COLUMN())),OFFSET($AT$2,0,0,ROW()-1,40),ROW()-1,FALSE))</f>
        <v>0.16364551899999999</v>
      </c>
      <c r="AP14">
        <f ca="1">IF(AND($B$64=1,LEN($AP$26) * LEN($AP$18)&gt;0),$AP$26/$AP$18*100,HLOOKUP(INDIRECT(ADDRESS(2,COLUMN())),OFFSET($AT$2,0,0,ROW()-1,40),ROW()-1,FALSE))</f>
        <v>0.96642299600000003</v>
      </c>
      <c r="AQ14">
        <f ca="1">IF(AND($B$64=1,LEN($AQ$26) * LEN($AQ$18)&gt;0),$AQ$26/$AQ$18*100,HLOOKUP(INDIRECT(ADDRESS(2,COLUMN())),OFFSET($AT$2,0,0,ROW()-1,40),ROW()-1,FALSE))</f>
        <v>0.21956909599999999</v>
      </c>
      <c r="AR14">
        <f ca="1">IF(AND($B$64=1,LEN($AR$26) * LEN($AR$18)&gt;0),$AR$26/$AR$18*100,HLOOKUP(INDIRECT(ADDRESS(2,COLUMN())),OFFSET($AT$2,0,0,ROW()-1,40),ROW()-1,FALSE))</f>
        <v>0.195749441</v>
      </c>
      <c r="AS14">
        <f ca="1">IF(AND($B$64=1,LEN($AS$26) * LEN($AS$18)&gt;0),$AS$26/$AS$18*100,HLOOKUP(INDIRECT(ADDRESS(2,COLUMN())),OFFSET($AT$2,0,0,ROW()-1,40),ROW()-1,FALSE))</f>
        <v>0.375985446</v>
      </c>
      <c r="AT14">
        <f>3.472868217</f>
        <v>3.4728682169999998</v>
      </c>
      <c r="AU14">
        <f>3.616086516</f>
        <v>3.6160865160000002</v>
      </c>
      <c r="AV14">
        <f>3.724093264</f>
        <v>3.724093264</v>
      </c>
      <c r="AW14">
        <f>3.340757238</f>
        <v>3.3407572380000001</v>
      </c>
      <c r="AX14">
        <f>2.768987342</f>
        <v>2.768987342</v>
      </c>
      <c r="AY14">
        <f>3.068450039</f>
        <v>3.068450039</v>
      </c>
      <c r="AZ14">
        <f>2.42510699</f>
        <v>2.4251069900000002</v>
      </c>
      <c r="BA14">
        <f>2.663438257</f>
        <v>2.6634382570000001</v>
      </c>
      <c r="BB14">
        <f>2.384020619</f>
        <v>2.3840206190000002</v>
      </c>
      <c r="BC14">
        <f>3.227513228</f>
        <v>3.2275132279999998</v>
      </c>
      <c r="BD14">
        <f>3.453453453</f>
        <v>3.4534534529999998</v>
      </c>
      <c r="BE14">
        <f>2.132486388</f>
        <v>2.1324863879999998</v>
      </c>
      <c r="BF14">
        <f>2.158273381</f>
        <v>2.1582733809999999</v>
      </c>
      <c r="BG14">
        <f>2.307375361</f>
        <v>2.3073753610000001</v>
      </c>
      <c r="BH14">
        <f>2.678928429</f>
        <v>2.6789284289999999</v>
      </c>
      <c r="BI14">
        <f>3.263568641</f>
        <v>3.263568641</v>
      </c>
      <c r="BJ14">
        <f>1.603375527</f>
        <v>1.6033755270000001</v>
      </c>
      <c r="BK14">
        <f>2.049530316</f>
        <v>2.0495303159999998</v>
      </c>
      <c r="BL14">
        <f>2.410130719</f>
        <v>2.4101307190000001</v>
      </c>
      <c r="BM14">
        <f>1.614497529</f>
        <v>1.6144975290000001</v>
      </c>
      <c r="BN14">
        <f>1.399825022</f>
        <v>1.3998250219999999</v>
      </c>
      <c r="BO14">
        <f>1.945080092</f>
        <v>1.945080092</v>
      </c>
      <c r="BP14">
        <f>1.723625557</f>
        <v>1.7236255570000001</v>
      </c>
      <c r="BQ14">
        <f>1.319261214</f>
        <v>1.319261214</v>
      </c>
      <c r="BR14">
        <f>1.065918654</f>
        <v>1.0659186540000001</v>
      </c>
      <c r="BS14">
        <f>1.556644566</f>
        <v>1.5566445659999999</v>
      </c>
      <c r="BT14">
        <f>1.24430956</f>
        <v>1.24430956</v>
      </c>
      <c r="BU14">
        <f>1.104972376</f>
        <v>1.1049723760000001</v>
      </c>
      <c r="BV14">
        <f>0.765864333</f>
        <v>0.76586433300000001</v>
      </c>
      <c r="BW14">
        <f>0.84222347</f>
        <v>0.84222346999999997</v>
      </c>
      <c r="BX14">
        <f>1.021941689</f>
        <v>1.0219416889999999</v>
      </c>
      <c r="BY14">
        <f>0.714678395</f>
        <v>0.71467839499999997</v>
      </c>
      <c r="BZ14">
        <f>0.794198895</f>
        <v>0.79419889499999996</v>
      </c>
      <c r="CA14">
        <f>0.776965265</f>
        <v>0.77696526499999996</v>
      </c>
      <c r="CB14">
        <f>0.392791128</f>
        <v>0.39279112799999999</v>
      </c>
      <c r="CC14">
        <f>0.163645519</f>
        <v>0.16364551899999999</v>
      </c>
      <c r="CD14">
        <f>0.966422996</f>
        <v>0.96642299600000003</v>
      </c>
      <c r="CE14">
        <f>0.219569096</f>
        <v>0.21956909599999999</v>
      </c>
      <c r="CF14">
        <f>0.195749441</f>
        <v>0.195749441</v>
      </c>
      <c r="CG14">
        <f>0.375985446</f>
        <v>0.375985446</v>
      </c>
    </row>
    <row r="15" spans="1:85" x14ac:dyDescent="0.25">
      <c r="A15" t="str">
        <f>"    Agrale"</f>
        <v xml:space="preserve">    Agrale</v>
      </c>
      <c r="B15" t="str">
        <f>""</f>
        <v/>
      </c>
      <c r="E15" t="str">
        <f t="shared" si="0"/>
        <v>Expression</v>
      </c>
      <c r="F15">
        <f ca="1">IF(AND($B$64=1,LEN($F$27) * LEN($F$18)&gt;0),$F$27/$F$18*100,HLOOKUP(INDIRECT(ADDRESS(2,COLUMN())),OFFSET($AT$2,0,0,ROW()-1,40),ROW()-1,FALSE))</f>
        <v>0</v>
      </c>
      <c r="G15">
        <f ca="1">IF(AND($B$64=1,LEN($G$27) * LEN($G$18)&gt;0),$G$27/$G$18*100,HLOOKUP(INDIRECT(ADDRESS(2,COLUMN())),OFFSET($AT$2,0,0,ROW()-1,40),ROW()-1,FALSE))</f>
        <v>0</v>
      </c>
      <c r="H15">
        <f ca="1">IF(AND($B$64=1,LEN($H$27) * LEN($H$18)&gt;0),$H$27/$H$18*100,HLOOKUP(INDIRECT(ADDRESS(2,COLUMN())),OFFSET($AT$2,0,0,ROW()-1,40),ROW()-1,FALSE))</f>
        <v>3.2383420000000003E-2</v>
      </c>
      <c r="I15">
        <f ca="1">IF(AND($B$64=1,LEN($I$27) * LEN($I$18)&gt;0),$I$27/$I$18*100,HLOOKUP(INDIRECT(ADDRESS(2,COLUMN())),OFFSET($AT$2,0,0,ROW()-1,40),ROW()-1,FALSE))</f>
        <v>0</v>
      </c>
      <c r="J15">
        <f ca="1">IF(AND($B$64=1,LEN($J$27) * LEN($J$18)&gt;0),$J$27/$J$18*100,HLOOKUP(INDIRECT(ADDRESS(2,COLUMN())),OFFSET($AT$2,0,0,ROW()-1,40),ROW()-1,FALSE))</f>
        <v>3.9556962000000001E-2</v>
      </c>
      <c r="K15">
        <f ca="1">IF(AND($B$64=1,LEN($K$27) * LEN($K$18)&gt;0),$K$27/$K$18*100,HLOOKUP(INDIRECT(ADDRESS(2,COLUMN())),OFFSET($AT$2,0,0,ROW()-1,40),ROW()-1,FALSE))</f>
        <v>0</v>
      </c>
      <c r="L15">
        <f ca="1">IF(AND($B$64=1,LEN($L$27) * LEN($L$18)&gt;0),$L$27/$L$18*100,HLOOKUP(INDIRECT(ADDRESS(2,COLUMN())),OFFSET($AT$2,0,0,ROW()-1,40),ROW()-1,FALSE))</f>
        <v>0</v>
      </c>
      <c r="M15">
        <f ca="1">IF(AND($B$64=1,LEN($M$27) * LEN($M$18)&gt;0),$M$27/$M$18*100,HLOOKUP(INDIRECT(ADDRESS(2,COLUMN())),OFFSET($AT$2,0,0,ROW()-1,40),ROW()-1,FALSE))</f>
        <v>4.0355124999999999E-2</v>
      </c>
      <c r="N15">
        <f ca="1">IF(AND($B$64=1,LEN($N$27) * LEN($N$18)&gt;0),$N$27/$N$18*100,HLOOKUP(INDIRECT(ADDRESS(2,COLUMN())),OFFSET($AT$2,0,0,ROW()-1,40),ROW()-1,FALSE))</f>
        <v>0</v>
      </c>
      <c r="O15">
        <f ca="1">IF(AND($B$64=1,LEN($O$27) * LEN($O$18)&gt;0),$O$27/$O$18*100,HLOOKUP(INDIRECT(ADDRESS(2,COLUMN())),OFFSET($AT$2,0,0,ROW()-1,40),ROW()-1,FALSE))</f>
        <v>0</v>
      </c>
      <c r="P15">
        <f ca="1">IF(AND($B$64=1,LEN($P$27) * LEN($P$18)&gt;0),$P$27/$P$18*100,HLOOKUP(INDIRECT(ADDRESS(2,COLUMN())),OFFSET($AT$2,0,0,ROW()-1,40),ROW()-1,FALSE))</f>
        <v>0</v>
      </c>
      <c r="Q15">
        <f ca="1">IF(AND($B$64=1,LEN($Q$27) * LEN($Q$18)&gt;0),$Q$27/$Q$18*100,HLOOKUP(INDIRECT(ADDRESS(2,COLUMN())),OFFSET($AT$2,0,0,ROW()-1,40),ROW()-1,FALSE))</f>
        <v>0</v>
      </c>
      <c r="R15">
        <f ca="1">IF(AND($B$64=1,LEN($R$27) * LEN($R$18)&gt;0),$R$27/$R$18*100,HLOOKUP(INDIRECT(ADDRESS(2,COLUMN())),OFFSET($AT$2,0,0,ROW()-1,40),ROW()-1,FALSE))</f>
        <v>0</v>
      </c>
      <c r="S15">
        <f ca="1">IF(AND($B$64=1,LEN($S$27) * LEN($S$18)&gt;0),$S$27/$S$18*100,HLOOKUP(INDIRECT(ADDRESS(2,COLUMN())),OFFSET($AT$2,0,0,ROW()-1,40),ROW()-1,FALSE))</f>
        <v>0</v>
      </c>
      <c r="T15">
        <f ca="1">IF(AND($B$64=1,LEN($T$27) * LEN($T$18)&gt;0),$T$27/$T$18*100,HLOOKUP(INDIRECT(ADDRESS(2,COLUMN())),OFFSET($AT$2,0,0,ROW()-1,40),ROW()-1,FALSE))</f>
        <v>0</v>
      </c>
      <c r="U15">
        <f ca="1">IF(AND($B$64=1,LEN($U$27) * LEN($U$18)&gt;0),$U$27/$U$18*100,HLOOKUP(INDIRECT(ADDRESS(2,COLUMN())),OFFSET($AT$2,0,0,ROW()-1,40),ROW()-1,FALSE))</f>
        <v>0</v>
      </c>
      <c r="V15">
        <f ca="1">IF(AND($B$64=1,LEN($V$27) * LEN($V$18)&gt;0),$V$27/$V$18*100,HLOOKUP(INDIRECT(ADDRESS(2,COLUMN())),OFFSET($AT$2,0,0,ROW()-1,40),ROW()-1,FALSE))</f>
        <v>0</v>
      </c>
      <c r="W15">
        <f ca="1">IF(AND($B$64=1,LEN($W$27) * LEN($W$18)&gt;0),$W$27/$W$18*100,HLOOKUP(INDIRECT(ADDRESS(2,COLUMN())),OFFSET($AT$2,0,0,ROW()-1,40),ROW()-1,FALSE))</f>
        <v>0</v>
      </c>
      <c r="X15">
        <f ca="1">IF(AND($B$64=1,LEN($X$27) * LEN($X$18)&gt;0),$X$27/$X$18*100,HLOOKUP(INDIRECT(ADDRESS(2,COLUMN())),OFFSET($AT$2,0,0,ROW()-1,40),ROW()-1,FALSE))</f>
        <v>0</v>
      </c>
      <c r="Y15">
        <f ca="1">IF(AND($B$64=1,LEN($Y$27) * LEN($Y$18)&gt;0),$Y$27/$Y$18*100,HLOOKUP(INDIRECT(ADDRESS(2,COLUMN())),OFFSET($AT$2,0,0,ROW()-1,40),ROW()-1,FALSE))</f>
        <v>3.2948929000000002E-2</v>
      </c>
      <c r="Z15">
        <f ca="1">IF(AND($B$64=1,LEN($Z$27) * LEN($Z$18)&gt;0),$Z$27/$Z$18*100,HLOOKUP(INDIRECT(ADDRESS(2,COLUMN())),OFFSET($AT$2,0,0,ROW()-1,40),ROW()-1,FALSE))</f>
        <v>4.3744532000000003E-2</v>
      </c>
      <c r="AA15">
        <f ca="1">IF(AND($B$64=1,LEN($AA$27) * LEN($AA$18)&gt;0),$AA$27/$AA$18*100,HLOOKUP(INDIRECT(ADDRESS(2,COLUMN())),OFFSET($AT$2,0,0,ROW()-1,40),ROW()-1,FALSE))</f>
        <v>7.6277651000000002E-2</v>
      </c>
      <c r="AB15">
        <f ca="1">IF(AND($B$64=1,LEN($AB$27) * LEN($AB$18)&gt;0),$AB$27/$AB$18*100,HLOOKUP(INDIRECT(ADDRESS(2,COLUMN())),OFFSET($AT$2,0,0,ROW()-1,40),ROW()-1,FALSE))</f>
        <v>5.9435363999999997E-2</v>
      </c>
      <c r="AC15">
        <f ca="1">IF(AND($B$64=1,LEN($AC$27) * LEN($AC$18)&gt;0),$AC$27/$AC$18*100,HLOOKUP(INDIRECT(ADDRESS(2,COLUMN())),OFFSET($AT$2,0,0,ROW()-1,40),ROW()-1,FALSE))</f>
        <v>0</v>
      </c>
      <c r="AD15">
        <f ca="1">IF(AND($B$64=1,LEN($AD$27) * LEN($AD$18)&gt;0),$AD$27/$AD$18*100,HLOOKUP(INDIRECT(ADDRESS(2,COLUMN())),OFFSET($AT$2,0,0,ROW()-1,40),ROW()-1,FALSE))</f>
        <v>0</v>
      </c>
      <c r="AE15">
        <f ca="1">IF(AND($B$64=1,LEN($AE$27) * LEN($AE$18)&gt;0),$AE$27/$AE$18*100,HLOOKUP(INDIRECT(ADDRESS(2,COLUMN())),OFFSET($AT$2,0,0,ROW()-1,40),ROW()-1,FALSE))</f>
        <v>2.8826751000000001E-2</v>
      </c>
      <c r="AF15">
        <f ca="1">IF(AND($B$64=1,LEN($AF$27) * LEN($AF$18)&gt;0),$AF$27/$AF$18*100,HLOOKUP(INDIRECT(ADDRESS(2,COLUMN())),OFFSET($AT$2,0,0,ROW()-1,40),ROW()-1,FALSE))</f>
        <v>9.1047040999999995E-2</v>
      </c>
      <c r="AG15">
        <f ca="1">IF(AND($B$64=1,LEN($AG$27) * LEN($AG$18)&gt;0),$AG$27/$AG$18*100,HLOOKUP(INDIRECT(ADDRESS(2,COLUMN())),OFFSET($AT$2,0,0,ROW()-1,40),ROW()-1,FALSE))</f>
        <v>0</v>
      </c>
      <c r="AH15">
        <f ca="1">IF(AND($B$64=1,LEN($AH$27) * LEN($AH$18)&gt;0),$AH$27/$AH$18*100,HLOOKUP(INDIRECT(ADDRESS(2,COLUMN())),OFFSET($AT$2,0,0,ROW()-1,40),ROW()-1,FALSE))</f>
        <v>2.7352298000000001E-2</v>
      </c>
      <c r="AI15">
        <f ca="1">IF(AND($B$64=1,LEN($AI$27) * LEN($AI$18)&gt;0),$AI$27/$AI$18*100,HLOOKUP(INDIRECT(ADDRESS(2,COLUMN())),OFFSET($AT$2,0,0,ROW()-1,40),ROW()-1,FALSE))</f>
        <v>5.6148231E-2</v>
      </c>
      <c r="AJ15">
        <f ca="1">IF(AND($B$64=1,LEN($AJ$27) * LEN($AJ$18)&gt;0),$AJ$27/$AJ$18*100,HLOOKUP(INDIRECT(ADDRESS(2,COLUMN())),OFFSET($AT$2,0,0,ROW()-1,40),ROW()-1,FALSE))</f>
        <v>3.0057108999999999E-2</v>
      </c>
      <c r="AK15">
        <f ca="1">IF(AND($B$64=1,LEN($AK$27) * LEN($AK$18)&gt;0),$AK$27/$AK$18*100,HLOOKUP(INDIRECT(ADDRESS(2,COLUMN())),OFFSET($AT$2,0,0,ROW()-1,40),ROW()-1,FALSE))</f>
        <v>8.2462891999999996E-2</v>
      </c>
      <c r="AL15">
        <f ca="1">IF(AND($B$64=1,LEN($AL$27) * LEN($AL$18)&gt;0),$AL$27/$AL$18*100,HLOOKUP(INDIRECT(ADDRESS(2,COLUMN())),OFFSET($AT$2,0,0,ROW()-1,40),ROW()-1,FALSE))</f>
        <v>6.9060773000000006E-2</v>
      </c>
      <c r="AM15">
        <f ca="1">IF(AND($B$64=1,LEN($AM$27) * LEN($AM$18)&gt;0),$AM$27/$AM$18*100,HLOOKUP(INDIRECT(ADDRESS(2,COLUMN())),OFFSET($AT$2,0,0,ROW()-1,40),ROW()-1,FALSE))</f>
        <v>4.5703839000000003E-2</v>
      </c>
      <c r="AN15">
        <f ca="1">IF(AND($B$64=1,LEN($AN$27) * LEN($AN$18)&gt;0),$AN$27/$AN$18*100,HLOOKUP(INDIRECT(ADDRESS(2,COLUMN())),OFFSET($AT$2,0,0,ROW()-1,40),ROW()-1,FALSE))</f>
        <v>0</v>
      </c>
      <c r="AO15">
        <f ca="1">IF(AND($B$64=1,LEN($AO$27) * LEN($AO$18)&gt;0),$AO$27/$AO$18*100,HLOOKUP(INDIRECT(ADDRESS(2,COLUMN())),OFFSET($AT$2,0,0,ROW()-1,40),ROW()-1,FALSE))</f>
        <v>6.2940583999999994E-2</v>
      </c>
      <c r="AP15">
        <f ca="1">IF(AND($B$64=1,LEN($AP$27) * LEN($AP$18)&gt;0),$AP$27/$AP$18*100,HLOOKUP(INDIRECT(ADDRESS(2,COLUMN())),OFFSET($AT$2,0,0,ROW()-1,40),ROW()-1,FALSE))</f>
        <v>3.7170114999999997E-2</v>
      </c>
      <c r="AQ15">
        <f ca="1">IF(AND($B$64=1,LEN($AQ$27) * LEN($AQ$18)&gt;0),$AQ$27/$AQ$18*100,HLOOKUP(INDIRECT(ADDRESS(2,COLUMN())),OFFSET($AT$2,0,0,ROW()-1,40),ROW()-1,FALSE))</f>
        <v>4.1169205E-2</v>
      </c>
      <c r="AR15">
        <f ca="1">IF(AND($B$64=1,LEN($AR$27) * LEN($AR$18)&gt;0),$AR$27/$AR$18*100,HLOOKUP(INDIRECT(ADDRESS(2,COLUMN())),OFFSET($AT$2,0,0,ROW()-1,40),ROW()-1,FALSE))</f>
        <v>5.5928411999999997E-2</v>
      </c>
      <c r="AS15">
        <f ca="1">IF(AND($B$64=1,LEN($AS$27) * LEN($AS$18)&gt;0),$AS$27/$AS$18*100,HLOOKUP(INDIRECT(ADDRESS(2,COLUMN())),OFFSET($AT$2,0,0,ROW()-1,40),ROW()-1,FALSE))</f>
        <v>7.2771376999999998E-2</v>
      </c>
      <c r="AT15">
        <f>0</f>
        <v>0</v>
      </c>
      <c r="AU15">
        <f>0</f>
        <v>0</v>
      </c>
      <c r="AV15">
        <f>0.03238342</f>
        <v>3.2383420000000003E-2</v>
      </c>
      <c r="AW15">
        <f>0</f>
        <v>0</v>
      </c>
      <c r="AX15">
        <f>0.039556962</f>
        <v>3.9556962000000001E-2</v>
      </c>
      <c r="AY15">
        <f>0</f>
        <v>0</v>
      </c>
      <c r="AZ15">
        <f>0</f>
        <v>0</v>
      </c>
      <c r="BA15">
        <f>0.040355125</f>
        <v>4.0355124999999999E-2</v>
      </c>
      <c r="BB15">
        <f>0</f>
        <v>0</v>
      </c>
      <c r="BC15">
        <f>0</f>
        <v>0</v>
      </c>
      <c r="BD15">
        <f>0</f>
        <v>0</v>
      </c>
      <c r="BE15">
        <f>0</f>
        <v>0</v>
      </c>
      <c r="BF15">
        <f>0</f>
        <v>0</v>
      </c>
      <c r="BG15">
        <f>0</f>
        <v>0</v>
      </c>
      <c r="BH15">
        <f>0</f>
        <v>0</v>
      </c>
      <c r="BI15">
        <f>0</f>
        <v>0</v>
      </c>
      <c r="BJ15">
        <f>0</f>
        <v>0</v>
      </c>
      <c r="BK15">
        <f>0</f>
        <v>0</v>
      </c>
      <c r="BL15">
        <f>0</f>
        <v>0</v>
      </c>
      <c r="BM15">
        <f>0.032948929</f>
        <v>3.2948929000000002E-2</v>
      </c>
      <c r="BN15">
        <f>0.043744532</f>
        <v>4.3744532000000003E-2</v>
      </c>
      <c r="BO15">
        <f>0.076277651</f>
        <v>7.6277651000000002E-2</v>
      </c>
      <c r="BP15">
        <f>0.059435364</f>
        <v>5.9435363999999997E-2</v>
      </c>
      <c r="BQ15">
        <f>0</f>
        <v>0</v>
      </c>
      <c r="BR15">
        <f>0</f>
        <v>0</v>
      </c>
      <c r="BS15">
        <f>0.028826751</f>
        <v>2.8826751000000001E-2</v>
      </c>
      <c r="BT15">
        <f>0.091047041</f>
        <v>9.1047040999999995E-2</v>
      </c>
      <c r="BU15">
        <f>0</f>
        <v>0</v>
      </c>
      <c r="BV15">
        <f>0.027352298</f>
        <v>2.7352298000000001E-2</v>
      </c>
      <c r="BW15">
        <f>0.056148231</f>
        <v>5.6148231E-2</v>
      </c>
      <c r="BX15">
        <f>0.030057109</f>
        <v>3.0057108999999999E-2</v>
      </c>
      <c r="BY15">
        <f>0.082462892</f>
        <v>8.2462891999999996E-2</v>
      </c>
      <c r="BZ15">
        <f>0.069060773</f>
        <v>6.9060773000000006E-2</v>
      </c>
      <c r="CA15">
        <f>0.045703839</f>
        <v>4.5703839000000003E-2</v>
      </c>
      <c r="CB15">
        <f>0</f>
        <v>0</v>
      </c>
      <c r="CC15">
        <f>0.062940584</f>
        <v>6.2940583999999994E-2</v>
      </c>
      <c r="CD15">
        <f>0.037170115</f>
        <v>3.7170114999999997E-2</v>
      </c>
      <c r="CE15">
        <f>0.041169205</f>
        <v>4.1169205E-2</v>
      </c>
      <c r="CF15">
        <f>0.055928412</f>
        <v>5.5928411999999997E-2</v>
      </c>
      <c r="CG15">
        <f>0.072771377</f>
        <v>7.2771376999999998E-2</v>
      </c>
    </row>
    <row r="16" spans="1:85" x14ac:dyDescent="0.25">
      <c r="A16" t="str">
        <f>"    Other"</f>
        <v xml:space="preserve">    Other</v>
      </c>
      <c r="B16" t="str">
        <f>""</f>
        <v/>
      </c>
      <c r="E16" t="str">
        <f t="shared" si="0"/>
        <v>Expression</v>
      </c>
      <c r="F16">
        <f ca="1">IF(AND($B$64=1,LEN($F$28) * LEN($F$18)&gt;0),$F$28/$F$18*100,HLOOKUP(INDIRECT(ADDRESS(2,COLUMN())),OFFSET($AT$2,0,0,ROW()-1,40),ROW()-1,FALSE))</f>
        <v>0</v>
      </c>
      <c r="G16">
        <f ca="1">IF(AND($B$64=1,LEN($G$28) * LEN($G$18)&gt;0),$G$28/$G$18*100,HLOOKUP(INDIRECT(ADDRESS(2,COLUMN())),OFFSET($AT$2,0,0,ROW()-1,40),ROW()-1,FALSE))</f>
        <v>3.3795200999999997E-2</v>
      </c>
      <c r="H16">
        <f ca="1">IF(AND($B$64=1,LEN($H$28) * LEN($H$18)&gt;0),$H$28/$H$18*100,HLOOKUP(INDIRECT(ADDRESS(2,COLUMN())),OFFSET($AT$2,0,0,ROW()-1,40),ROW()-1,FALSE))</f>
        <v>0</v>
      </c>
      <c r="I16">
        <f ca="1">IF(AND($B$64=1,LEN($I$28) * LEN($I$18)&gt;0),$I$28/$I$18*100,HLOOKUP(INDIRECT(ADDRESS(2,COLUMN())),OFFSET($AT$2,0,0,ROW()-1,40),ROW()-1,FALSE))</f>
        <v>0</v>
      </c>
      <c r="J16">
        <f ca="1">IF(AND($B$64=1,LEN($J$28) * LEN($J$18)&gt;0),$J$28/$J$18*100,HLOOKUP(INDIRECT(ADDRESS(2,COLUMN())),OFFSET($AT$2,0,0,ROW()-1,40),ROW()-1,FALSE))</f>
        <v>0</v>
      </c>
      <c r="K16">
        <f ca="1">IF(AND($B$64=1,LEN($K$28) * LEN($K$18)&gt;0),$K$28/$K$18*100,HLOOKUP(INDIRECT(ADDRESS(2,COLUMN())),OFFSET($AT$2,0,0,ROW()-1,40),ROW()-1,FALSE))</f>
        <v>7.8678206000000001E-2</v>
      </c>
      <c r="L16">
        <f ca="1">IF(AND($B$64=1,LEN($L$28) * LEN($L$18)&gt;0),$L$28/$L$18*100,HLOOKUP(INDIRECT(ADDRESS(2,COLUMN())),OFFSET($AT$2,0,0,ROW()-1,40),ROW()-1,FALSE))</f>
        <v>0</v>
      </c>
      <c r="M16">
        <f ca="1">IF(AND($B$64=1,LEN($M$28) * LEN($M$18)&gt;0),$M$28/$M$18*100,HLOOKUP(INDIRECT(ADDRESS(2,COLUMN())),OFFSET($AT$2,0,0,ROW()-1,40),ROW()-1,FALSE))</f>
        <v>8.0710249999999997E-2</v>
      </c>
      <c r="N16">
        <f ca="1">IF(AND($B$64=1,LEN($N$28) * LEN($N$18)&gt;0),$N$28/$N$18*100,HLOOKUP(INDIRECT(ADDRESS(2,COLUMN())),OFFSET($AT$2,0,0,ROW()-1,40),ROW()-1,FALSE))</f>
        <v>6.4432989999999996E-2</v>
      </c>
      <c r="O16">
        <f ca="1">IF(AND($B$64=1,LEN($O$28) * LEN($O$18)&gt;0),$O$28/$O$18*100,HLOOKUP(INDIRECT(ADDRESS(2,COLUMN())),OFFSET($AT$2,0,0,ROW()-1,40),ROW()-1,FALSE))</f>
        <v>0.31746031800000002</v>
      </c>
      <c r="P16">
        <f ca="1">IF(AND($B$64=1,LEN($P$28) * LEN($P$18)&gt;0),$P$28/$P$18*100,HLOOKUP(INDIRECT(ADDRESS(2,COLUMN())),OFFSET($AT$2,0,0,ROW()-1,40),ROW()-1,FALSE))</f>
        <v>1.088588589</v>
      </c>
      <c r="Q16">
        <f ca="1">IF(AND($B$64=1,LEN($Q$28) * LEN($Q$18)&gt;0),$Q$28/$Q$18*100,HLOOKUP(INDIRECT(ADDRESS(2,COLUMN())),OFFSET($AT$2,0,0,ROW()-1,40),ROW()-1,FALSE))</f>
        <v>0.49909255899999999</v>
      </c>
      <c r="R16">
        <f ca="1">IF(AND($B$64=1,LEN($R$28) * LEN($R$18)&gt;0),$R$28/$R$18*100,HLOOKUP(INDIRECT(ADDRESS(2,COLUMN())),OFFSET($AT$2,0,0,ROW()-1,40),ROW()-1,FALSE))</f>
        <v>0.616649538</v>
      </c>
      <c r="S16">
        <f ca="1">IF(AND($B$64=1,LEN($S$28) * LEN($S$18)&gt;0),$S$28/$S$18*100,HLOOKUP(INDIRECT(ADDRESS(2,COLUMN())),OFFSET($AT$2,0,0,ROW()-1,40),ROW()-1,FALSE))</f>
        <v>0.78285949700000002</v>
      </c>
      <c r="T16">
        <f ca="1">IF(AND($B$64=1,LEN($T$28) * LEN($T$18)&gt;0),$T$28/$T$18*100,HLOOKUP(INDIRECT(ADDRESS(2,COLUMN())),OFFSET($AT$2,0,0,ROW()-1,40),ROW()-1,FALSE))</f>
        <v>1.359456218</v>
      </c>
      <c r="U16">
        <f ca="1">IF(AND($B$64=1,LEN($U$28) * LEN($U$18)&gt;0),$U$28/$U$18*100,HLOOKUP(INDIRECT(ADDRESS(2,COLUMN())),OFFSET($AT$2,0,0,ROW()-1,40),ROW()-1,FALSE))</f>
        <v>1.8800993260000001</v>
      </c>
      <c r="V16">
        <f ca="1">IF(AND($B$64=1,LEN($V$28) * LEN($V$18)&gt;0),$V$28/$V$18*100,HLOOKUP(INDIRECT(ADDRESS(2,COLUMN())),OFFSET($AT$2,0,0,ROW()-1,40),ROW()-1,FALSE))</f>
        <v>0.67510548500000001</v>
      </c>
      <c r="W16">
        <f ca="1">IF(AND($B$64=1,LEN($W$28) * LEN($W$18)&gt;0),$W$28/$W$18*100,HLOOKUP(INDIRECT(ADDRESS(2,COLUMN())),OFFSET($AT$2,0,0,ROW()-1,40),ROW()-1,FALSE))</f>
        <v>8.5397096000000006E-2</v>
      </c>
      <c r="X16">
        <f ca="1">IF(AND($B$64=1,LEN($X$28) * LEN($X$18)&gt;0),$X$28/$X$18*100,HLOOKUP(INDIRECT(ADDRESS(2,COLUMN())),OFFSET($AT$2,0,0,ROW()-1,40),ROW()-1,FALSE))</f>
        <v>4.0849673000000003E-2</v>
      </c>
      <c r="Y16">
        <f ca="1">IF(AND($B$64=1,LEN($Y$28) * LEN($Y$18)&gt;0),$Y$28/$Y$18*100,HLOOKUP(INDIRECT(ADDRESS(2,COLUMN())),OFFSET($AT$2,0,0,ROW()-1,40),ROW()-1,FALSE))</f>
        <v>0.13179571700000001</v>
      </c>
      <c r="Z16">
        <f ca="1">IF(AND($B$64=1,LEN($Z$28) * LEN($Z$18)&gt;0),$Z$28/$Z$18*100,HLOOKUP(INDIRECT(ADDRESS(2,COLUMN())),OFFSET($AT$2,0,0,ROW()-1,40),ROW()-1,FALSE))</f>
        <v>0.13123359600000001</v>
      </c>
      <c r="AA16">
        <f ca="1">IF(AND($B$64=1,LEN($AA$28) * LEN($AA$18)&gt;0),$AA$28/$AA$18*100,HLOOKUP(INDIRECT(ADDRESS(2,COLUMN())),OFFSET($AT$2,0,0,ROW()-1,40),ROW()-1,FALSE))</f>
        <v>0</v>
      </c>
      <c r="AB16">
        <f ca="1">IF(AND($B$64=1,LEN($AB$28) * LEN($AB$18)&gt;0),$AB$28/$AB$18*100,HLOOKUP(INDIRECT(ADDRESS(2,COLUMN())),OFFSET($AT$2,0,0,ROW()-1,40),ROW()-1,FALSE))</f>
        <v>5.9435363999999997E-2</v>
      </c>
      <c r="AC16">
        <f ca="1">IF(AND($B$64=1,LEN($AC$28) * LEN($AC$18)&gt;0),$AC$28/$AC$18*100,HLOOKUP(INDIRECT(ADDRESS(2,COLUMN())),OFFSET($AT$2,0,0,ROW()-1,40),ROW()-1,FALSE))</f>
        <v>7.5386355000000002E-2</v>
      </c>
      <c r="AD16">
        <f ca="1">IF(AND($B$64=1,LEN($AD$28) * LEN($AD$18)&gt;0),$AD$28/$AD$18*100,HLOOKUP(INDIRECT(ADDRESS(2,COLUMN())),OFFSET($AT$2,0,0,ROW()-1,40),ROW()-1,FALSE))</f>
        <v>8.4151473000000004E-2</v>
      </c>
      <c r="AE16">
        <f ca="1">IF(AND($B$64=1,LEN($AE$28) * LEN($AE$18)&gt;0),$AE$28/$AE$18*100,HLOOKUP(INDIRECT(ADDRESS(2,COLUMN())),OFFSET($AT$2,0,0,ROW()-1,40),ROW()-1,FALSE))</f>
        <v>0.115307005</v>
      </c>
      <c r="AF16">
        <f ca="1">IF(AND($B$64=1,LEN($AF$28) * LEN($AF$18)&gt;0),$AF$28/$AF$18*100,HLOOKUP(INDIRECT(ADDRESS(2,COLUMN())),OFFSET($AT$2,0,0,ROW()-1,40),ROW()-1,FALSE))</f>
        <v>0.57663125999999998</v>
      </c>
      <c r="AG16">
        <f ca="1">IF(AND($B$64=1,LEN($AG$28) * LEN($AG$18)&gt;0),$AG$28/$AG$18*100,HLOOKUP(INDIRECT(ADDRESS(2,COLUMN())),OFFSET($AT$2,0,0,ROW()-1,40),ROW()-1,FALSE))</f>
        <v>0.57879505399999998</v>
      </c>
      <c r="AH16">
        <f ca="1">IF(AND($B$64=1,LEN($AH$28) * LEN($AH$18)&gt;0),$AH$28/$AH$18*100,HLOOKUP(INDIRECT(ADDRESS(2,COLUMN())),OFFSET($AT$2,0,0,ROW()-1,40),ROW()-1,FALSE))</f>
        <v>0.10940919</v>
      </c>
      <c r="AI16">
        <f ca="1">IF(AND($B$64=1,LEN($AI$28) * LEN($AI$18)&gt;0),$AI$28/$AI$18*100,HLOOKUP(INDIRECT(ADDRESS(2,COLUMN())),OFFSET($AT$2,0,0,ROW()-1,40),ROW()-1,FALSE))</f>
        <v>0.140370578</v>
      </c>
      <c r="AJ16">
        <f ca="1">IF(AND($B$64=1,LEN($AJ$28) * LEN($AJ$18)&gt;0),$AJ$28/$AJ$18*100,HLOOKUP(INDIRECT(ADDRESS(2,COLUMN())),OFFSET($AT$2,0,0,ROW()-1,40),ROW()-1,FALSE))</f>
        <v>0.21039975999999999</v>
      </c>
      <c r="AK16">
        <f ca="1">IF(AND($B$64=1,LEN($AK$28) * LEN($AK$18)&gt;0),$AK$28/$AK$18*100,HLOOKUP(INDIRECT(ADDRESS(2,COLUMN())),OFFSET($AT$2,0,0,ROW()-1,40),ROW()-1,FALSE))</f>
        <v>0.13743815300000001</v>
      </c>
      <c r="AL16">
        <f ca="1">IF(AND($B$64=1,LEN($AL$28) * LEN($AL$18)&gt;0),$AL$28/$AL$18*100,HLOOKUP(INDIRECT(ADDRESS(2,COLUMN())),OFFSET($AT$2,0,0,ROW()-1,40),ROW()-1,FALSE))</f>
        <v>0.41436464099999998</v>
      </c>
      <c r="AM16">
        <f ca="1">IF(AND($B$64=1,LEN($AM$28) * LEN($AM$18)&gt;0),$AM$28/$AM$18*100,HLOOKUP(INDIRECT(ADDRESS(2,COLUMN())),OFFSET($AT$2,0,0,ROW()-1,40),ROW()-1,FALSE))</f>
        <v>0.54844606900000004</v>
      </c>
      <c r="AN16">
        <f ca="1">IF(AND($B$64=1,LEN($AN$28) * LEN($AN$18)&gt;0),$AN$28/$AN$18*100,HLOOKUP(INDIRECT(ADDRESS(2,COLUMN())),OFFSET($AT$2,0,0,ROW()-1,40),ROW()-1,FALSE))</f>
        <v>8.0868761999999997E-2</v>
      </c>
      <c r="AO16">
        <f ca="1">IF(AND($B$64=1,LEN($AO$28) * LEN($AO$18)&gt;0),$AO$28/$AO$18*100,HLOOKUP(INDIRECT(ADDRESS(2,COLUMN())),OFFSET($AT$2,0,0,ROW()-1,40),ROW()-1,FALSE))</f>
        <v>0.22658610300000001</v>
      </c>
      <c r="AP16">
        <f ca="1">IF(AND($B$64=1,LEN($AP$28) * LEN($AP$18)&gt;0),$AP$28/$AP$18*100,HLOOKUP(INDIRECT(ADDRESS(2,COLUMN())),OFFSET($AT$2,0,0,ROW()-1,40),ROW()-1,FALSE))</f>
        <v>9.9120307000000005E-2</v>
      </c>
      <c r="AQ16">
        <f ca="1">IF(AND($B$64=1,LEN($AQ$28) * LEN($AQ$18)&gt;0),$AQ$28/$AQ$18*100,HLOOKUP(INDIRECT(ADDRESS(2,COLUMN())),OFFSET($AT$2,0,0,ROW()-1,40),ROW()-1,FALSE))</f>
        <v>0.13723068499999999</v>
      </c>
      <c r="AR16">
        <f ca="1">IF(AND($B$64=1,LEN($AR$28) * LEN($AR$18)&gt;0),$AR$28/$AR$18*100,HLOOKUP(INDIRECT(ADDRESS(2,COLUMN())),OFFSET($AT$2,0,0,ROW()-1,40),ROW()-1,FALSE))</f>
        <v>6.9910515000000006E-2</v>
      </c>
      <c r="AS16">
        <f ca="1">IF(AND($B$64=1,LEN($AS$28) * LEN($AS$18)&gt;0),$AS$28/$AS$18*100,HLOOKUP(INDIRECT(ADDRESS(2,COLUMN())),OFFSET($AT$2,0,0,ROW()-1,40),ROW()-1,FALSE))</f>
        <v>9.7028502000000003E-2</v>
      </c>
      <c r="AT16">
        <f>0</f>
        <v>0</v>
      </c>
      <c r="AU16">
        <f>0.033795201</f>
        <v>3.3795200999999997E-2</v>
      </c>
      <c r="AV16">
        <f>0</f>
        <v>0</v>
      </c>
      <c r="AW16">
        <f>0</f>
        <v>0</v>
      </c>
      <c r="AX16">
        <f>0</f>
        <v>0</v>
      </c>
      <c r="AY16">
        <f>0.078678206</f>
        <v>7.8678206000000001E-2</v>
      </c>
      <c r="AZ16">
        <f>0</f>
        <v>0</v>
      </c>
      <c r="BA16">
        <f>0.08071025</f>
        <v>8.0710249999999997E-2</v>
      </c>
      <c r="BB16">
        <f>0.06443299</f>
        <v>6.4432989999999996E-2</v>
      </c>
      <c r="BC16">
        <f>0.317460318</f>
        <v>0.31746031800000002</v>
      </c>
      <c r="BD16">
        <f>1.088588589</f>
        <v>1.088588589</v>
      </c>
      <c r="BE16">
        <f>0.499092559</f>
        <v>0.49909255899999999</v>
      </c>
      <c r="BF16">
        <f>0.616649538</f>
        <v>0.616649538</v>
      </c>
      <c r="BG16">
        <f>0.782859497</f>
        <v>0.78285949700000002</v>
      </c>
      <c r="BH16">
        <f>1.359456218</f>
        <v>1.359456218</v>
      </c>
      <c r="BI16">
        <f>1.880099326</f>
        <v>1.8800993260000001</v>
      </c>
      <c r="BJ16">
        <f>0.675105485</f>
        <v>0.67510548500000001</v>
      </c>
      <c r="BK16">
        <f>0.085397096</f>
        <v>8.5397096000000006E-2</v>
      </c>
      <c r="BL16">
        <f>0.040849673</f>
        <v>4.0849673000000003E-2</v>
      </c>
      <c r="BM16">
        <f>0.131795717</f>
        <v>0.13179571700000001</v>
      </c>
      <c r="BN16">
        <f>0.131233596</f>
        <v>0.13123359600000001</v>
      </c>
      <c r="BO16">
        <f>0</f>
        <v>0</v>
      </c>
      <c r="BP16">
        <f>0.059435364</f>
        <v>5.9435363999999997E-2</v>
      </c>
      <c r="BQ16">
        <f>0.075386355</f>
        <v>7.5386355000000002E-2</v>
      </c>
      <c r="BR16">
        <f>0.084151473</f>
        <v>8.4151473000000004E-2</v>
      </c>
      <c r="BS16">
        <f>0.115307005</f>
        <v>0.115307005</v>
      </c>
      <c r="BT16">
        <f>0.57663126</f>
        <v>0.57663125999999998</v>
      </c>
      <c r="BU16">
        <f>0.578795054</f>
        <v>0.57879505399999998</v>
      </c>
      <c r="BV16">
        <f>0.10940919</f>
        <v>0.10940919</v>
      </c>
      <c r="BW16">
        <f>0.140370578</f>
        <v>0.140370578</v>
      </c>
      <c r="BX16">
        <f>0.21039976</f>
        <v>0.21039975999999999</v>
      </c>
      <c r="BY16">
        <f>0.137438153</f>
        <v>0.13743815300000001</v>
      </c>
      <c r="BZ16">
        <f>0.414364641</f>
        <v>0.41436464099999998</v>
      </c>
      <c r="CA16">
        <f>0.548446069</f>
        <v>0.54844606900000004</v>
      </c>
      <c r="CB16">
        <f>0.080868762</f>
        <v>8.0868761999999997E-2</v>
      </c>
      <c r="CC16">
        <f>0.226586103</f>
        <v>0.22658610300000001</v>
      </c>
      <c r="CD16">
        <f>0.099120307</f>
        <v>9.9120307000000005E-2</v>
      </c>
      <c r="CE16">
        <f>0.137230685</f>
        <v>0.13723068499999999</v>
      </c>
      <c r="CF16">
        <f>0.069910515</f>
        <v>6.9910515000000006E-2</v>
      </c>
      <c r="CG16">
        <f>0.097028502</f>
        <v>9.7028502000000003E-2</v>
      </c>
    </row>
    <row r="17" spans="1:85" x14ac:dyDescent="0.25">
      <c r="A17" t="str">
        <f>"Units By Brand"</f>
        <v>Units By Brand</v>
      </c>
      <c r="B17" t="str">
        <f>""</f>
        <v/>
      </c>
      <c r="E17" t="str">
        <f>"Heading"</f>
        <v>Heading</v>
      </c>
      <c r="AT17" t="str">
        <f>""</f>
        <v/>
      </c>
      <c r="AU17" t="str">
        <f>""</f>
        <v/>
      </c>
      <c r="AV17" t="str">
        <f>""</f>
        <v/>
      </c>
      <c r="AW17" t="str">
        <f>""</f>
        <v/>
      </c>
      <c r="AX17" t="str">
        <f>""</f>
        <v/>
      </c>
      <c r="AY17" t="str">
        <f>""</f>
        <v/>
      </c>
      <c r="AZ17" t="str">
        <f>""</f>
        <v/>
      </c>
      <c r="BA17" t="str">
        <f>""</f>
        <v/>
      </c>
      <c r="BB17" t="str">
        <f>""</f>
        <v/>
      </c>
      <c r="BC17" t="str">
        <f>""</f>
        <v/>
      </c>
      <c r="BD17" t="str">
        <f>""</f>
        <v/>
      </c>
      <c r="BE17" t="str">
        <f>""</f>
        <v/>
      </c>
      <c r="BF17" t="str">
        <f>""</f>
        <v/>
      </c>
      <c r="BG17" t="str">
        <f>""</f>
        <v/>
      </c>
      <c r="BH17" t="str">
        <f>""</f>
        <v/>
      </c>
      <c r="BI17" t="str">
        <f>""</f>
        <v/>
      </c>
      <c r="BJ17" t="str">
        <f>""</f>
        <v/>
      </c>
      <c r="BK17" t="str">
        <f>""</f>
        <v/>
      </c>
      <c r="BL17" t="str">
        <f>""</f>
        <v/>
      </c>
      <c r="BM17" t="str">
        <f>""</f>
        <v/>
      </c>
      <c r="BN17" t="str">
        <f>""</f>
        <v/>
      </c>
      <c r="BO17" t="str">
        <f>""</f>
        <v/>
      </c>
      <c r="BP17" t="str">
        <f>""</f>
        <v/>
      </c>
      <c r="BQ17" t="str">
        <f>""</f>
        <v/>
      </c>
      <c r="BR17" t="str">
        <f>""</f>
        <v/>
      </c>
      <c r="BS17" t="str">
        <f>""</f>
        <v/>
      </c>
      <c r="BT17" t="str">
        <f>""</f>
        <v/>
      </c>
      <c r="BU17" t="str">
        <f>""</f>
        <v/>
      </c>
      <c r="BV17" t="str">
        <f>""</f>
        <v/>
      </c>
      <c r="BW17" t="str">
        <f>""</f>
        <v/>
      </c>
      <c r="BX17" t="str">
        <f>""</f>
        <v/>
      </c>
      <c r="BY17" t="str">
        <f>""</f>
        <v/>
      </c>
      <c r="BZ17" t="str">
        <f>""</f>
        <v/>
      </c>
      <c r="CA17" t="str">
        <f>""</f>
        <v/>
      </c>
      <c r="CB17" t="str">
        <f>""</f>
        <v/>
      </c>
      <c r="CC17" t="str">
        <f>""</f>
        <v/>
      </c>
      <c r="CD17" t="str">
        <f>""</f>
        <v/>
      </c>
      <c r="CE17" t="str">
        <f>""</f>
        <v/>
      </c>
      <c r="CF17" t="str">
        <f>""</f>
        <v/>
      </c>
      <c r="CG17" t="str">
        <f>""</f>
        <v/>
      </c>
    </row>
    <row r="18" spans="1:85" x14ac:dyDescent="0.25">
      <c r="A18" t="str">
        <f>"Total Heavy (GCV &gt;15t)"</f>
        <v>Total Heavy (GCV &gt;15t)</v>
      </c>
      <c r="B18" t="str">
        <f>""</f>
        <v/>
      </c>
      <c r="E18" t="str">
        <f t="shared" ref="E18:E28" si="1">"Expression"</f>
        <v>Expression</v>
      </c>
      <c r="F18">
        <f ca="1">IF(AND($B$64=1,LEN($F$29) * LEN($F$39)&gt;0),$F$29+$F$39,HLOOKUP(INDIRECT(ADDRESS(2,COLUMN())),OFFSET($AT$2,0,0,ROW()-1,40),ROW()-1,FALSE))</f>
        <v>3225</v>
      </c>
      <c r="G18">
        <f ca="1">IF(AND($B$64=1,LEN($G$29) * LEN($G$39)&gt;0),$G$29+$G$39,HLOOKUP(INDIRECT(ADDRESS(2,COLUMN())),OFFSET($AT$2,0,0,ROW()-1,40),ROW()-1,FALSE))</f>
        <v>2959</v>
      </c>
      <c r="H18">
        <f ca="1">IF(AND($B$64=1,LEN($H$29) * LEN($H$39)&gt;0),$H$29+$H$39,HLOOKUP(INDIRECT(ADDRESS(2,COLUMN())),OFFSET($AT$2,0,0,ROW()-1,40),ROW()-1,FALSE))</f>
        <v>3088</v>
      </c>
      <c r="I18">
        <f ca="1">IF(AND($B$64=1,LEN($I$29) * LEN($I$39)&gt;0),$I$29+$I$39,HLOOKUP(INDIRECT(ADDRESS(2,COLUMN())),OFFSET($AT$2,0,0,ROW()-1,40),ROW()-1,FALSE))</f>
        <v>2694</v>
      </c>
      <c r="J18">
        <f ca="1">IF(AND($B$64=1,LEN($J$29) * LEN($J$39)&gt;0),$J$29+$J$39,HLOOKUP(INDIRECT(ADDRESS(2,COLUMN())),OFFSET($AT$2,0,0,ROW()-1,40),ROW()-1,FALSE))</f>
        <v>2528</v>
      </c>
      <c r="K18">
        <f ca="1">IF(AND($B$64=1,LEN($K$29) * LEN($K$39)&gt;0),$K$29+$K$39,HLOOKUP(INDIRECT(ADDRESS(2,COLUMN())),OFFSET($AT$2,0,0,ROW()-1,40),ROW()-1,FALSE))</f>
        <v>2542</v>
      </c>
      <c r="L18">
        <f ca="1">IF(AND($B$64=1,LEN($L$29) * LEN($L$39)&gt;0),$L$29+$L$39,HLOOKUP(INDIRECT(ADDRESS(2,COLUMN())),OFFSET($AT$2,0,0,ROW()-1,40),ROW()-1,FALSE))</f>
        <v>2103</v>
      </c>
      <c r="M18">
        <f ca="1">IF(AND($B$64=1,LEN($M$29) * LEN($M$39)&gt;0),$M$29+$M$39,HLOOKUP(INDIRECT(ADDRESS(2,COLUMN())),OFFSET($AT$2,0,0,ROW()-1,40),ROW()-1,FALSE))</f>
        <v>2478</v>
      </c>
      <c r="N18">
        <f ca="1">IF(AND($B$64=1,LEN($N$29) * LEN($N$39)&gt;0),$N$29+$N$39,HLOOKUP(INDIRECT(ADDRESS(2,COLUMN())),OFFSET($AT$2,0,0,ROW()-1,40),ROW()-1,FALSE))</f>
        <v>1552</v>
      </c>
      <c r="O18">
        <f ca="1">IF(AND($B$64=1,LEN($O$29) * LEN($O$39)&gt;0),$O$29+$O$39,HLOOKUP(INDIRECT(ADDRESS(2,COLUMN())),OFFSET($AT$2,0,0,ROW()-1,40),ROW()-1,FALSE))</f>
        <v>1890</v>
      </c>
      <c r="P18">
        <f ca="1">IF(AND($B$64=1,LEN($P$29) * LEN($P$39)&gt;0),$P$29+$P$39,HLOOKUP(INDIRECT(ADDRESS(2,COLUMN())),OFFSET($AT$2,0,0,ROW()-1,40),ROW()-1,FALSE))</f>
        <v>2664</v>
      </c>
      <c r="Q18">
        <f ca="1">IF(AND($B$64=1,LEN($Q$29) * LEN($Q$39)&gt;0),$Q$29+$Q$39,HLOOKUP(INDIRECT(ADDRESS(2,COLUMN())),OFFSET($AT$2,0,0,ROW()-1,40),ROW()-1,FALSE))</f>
        <v>2204</v>
      </c>
      <c r="R18">
        <f ca="1">IF(AND($B$64=1,LEN($R$29) * LEN($R$39)&gt;0),$R$29+$R$39,HLOOKUP(INDIRECT(ADDRESS(2,COLUMN())),OFFSET($AT$2,0,0,ROW()-1,40),ROW()-1,FALSE))</f>
        <v>1946</v>
      </c>
      <c r="S18">
        <f ca="1">IF(AND($B$64=1,LEN($S$29) * LEN($S$39)&gt;0),$S$29+$S$39,HLOOKUP(INDIRECT(ADDRESS(2,COLUMN())),OFFSET($AT$2,0,0,ROW()-1,40),ROW()-1,FALSE))</f>
        <v>2427</v>
      </c>
      <c r="T18">
        <f ca="1">IF(AND($B$64=1,LEN($T$29) * LEN($T$39)&gt;0),$T$29+$T$39,HLOOKUP(INDIRECT(ADDRESS(2,COLUMN())),OFFSET($AT$2,0,0,ROW()-1,40),ROW()-1,FALSE))</f>
        <v>2501</v>
      </c>
      <c r="U18">
        <f ca="1">IF(AND($B$64=1,LEN($U$29) * LEN($U$39)&gt;0),$U$29+$U$39,HLOOKUP(INDIRECT(ADDRESS(2,COLUMN())),OFFSET($AT$2,0,0,ROW()-1,40),ROW()-1,FALSE))</f>
        <v>2819</v>
      </c>
      <c r="V18">
        <f ca="1">IF(AND($B$64=1,LEN($V$29) * LEN($V$39)&gt;0),$V$29+$V$39,HLOOKUP(INDIRECT(ADDRESS(2,COLUMN())),OFFSET($AT$2,0,0,ROW()-1,40),ROW()-1,FALSE))</f>
        <v>2370</v>
      </c>
      <c r="W18">
        <f ca="1">IF(AND($B$64=1,LEN($W$29) * LEN($W$39)&gt;0),$W$29+$W$39,HLOOKUP(INDIRECT(ADDRESS(2,COLUMN())),OFFSET($AT$2,0,0,ROW()-1,40),ROW()-1,FALSE))</f>
        <v>2342</v>
      </c>
      <c r="X18">
        <f ca="1">IF(AND($B$64=1,LEN($X$29) * LEN($X$39)&gt;0),$X$29+$X$39,HLOOKUP(INDIRECT(ADDRESS(2,COLUMN())),OFFSET($AT$2,0,0,ROW()-1,40),ROW()-1,FALSE))</f>
        <v>2448</v>
      </c>
      <c r="Y18">
        <f ca="1">IF(AND($B$64=1,LEN($Y$29) * LEN($Y$39)&gt;0),$Y$29+$Y$39,HLOOKUP(INDIRECT(ADDRESS(2,COLUMN())),OFFSET($AT$2,0,0,ROW()-1,40),ROW()-1,FALSE))</f>
        <v>3035</v>
      </c>
      <c r="Z18">
        <f ca="1">IF(AND($B$64=1,LEN($Z$29) * LEN($Z$39)&gt;0),$Z$29+$Z$39,HLOOKUP(INDIRECT(ADDRESS(2,COLUMN())),OFFSET($AT$2,0,0,ROW()-1,40),ROW()-1,FALSE))</f>
        <v>2286</v>
      </c>
      <c r="AA18">
        <f ca="1">IF(AND($B$64=1,LEN($AA$29) * LEN($AA$39)&gt;0),$AA$29+$AA$39,HLOOKUP(INDIRECT(ADDRESS(2,COLUMN())),OFFSET($AT$2,0,0,ROW()-1,40),ROW()-1,FALSE))</f>
        <v>2622</v>
      </c>
      <c r="AB18">
        <f ca="1">IF(AND($B$64=1,LEN($AB$29) * LEN($AB$39)&gt;0),$AB$29+$AB$39,HLOOKUP(INDIRECT(ADDRESS(2,COLUMN())),OFFSET($AT$2,0,0,ROW()-1,40),ROW()-1,FALSE))</f>
        <v>3365</v>
      </c>
      <c r="AC18">
        <f ca="1">IF(AND($B$64=1,LEN($AC$29) * LEN($AC$39)&gt;0),$AC$29+$AC$39,HLOOKUP(INDIRECT(ADDRESS(2,COLUMN())),OFFSET($AT$2,0,0,ROW()-1,40),ROW()-1,FALSE))</f>
        <v>2653</v>
      </c>
      <c r="AD18">
        <f ca="1">IF(AND($B$64=1,LEN($AD$29) * LEN($AD$39)&gt;0),$AD$29+$AD$39,HLOOKUP(INDIRECT(ADDRESS(2,COLUMN())),OFFSET($AT$2,0,0,ROW()-1,40),ROW()-1,FALSE))</f>
        <v>3565</v>
      </c>
      <c r="AE18">
        <f ca="1">IF(AND($B$64=1,LEN($AE$29) * LEN($AE$39)&gt;0),$AE$29+$AE$39,HLOOKUP(INDIRECT(ADDRESS(2,COLUMN())),OFFSET($AT$2,0,0,ROW()-1,40),ROW()-1,FALSE))</f>
        <v>3469</v>
      </c>
      <c r="AF18">
        <f ca="1">IF(AND($B$64=1,LEN($AF$29) * LEN($AF$39)&gt;0),$AF$29+$AF$39,HLOOKUP(INDIRECT(ADDRESS(2,COLUMN())),OFFSET($AT$2,0,0,ROW()-1,40),ROW()-1,FALSE))</f>
        <v>3295</v>
      </c>
      <c r="AG18">
        <f ca="1">IF(AND($B$64=1,LEN($AG$29) * LEN($AG$39)&gt;0),$AG$29+$AG$39,HLOOKUP(INDIRECT(ADDRESS(2,COLUMN())),OFFSET($AT$2,0,0,ROW()-1,40),ROW()-1,FALSE))</f>
        <v>3801</v>
      </c>
      <c r="AH18">
        <f ca="1">IF(AND($B$64=1,LEN($AH$29) * LEN($AH$39)&gt;0),$AH$29+$AH$39,HLOOKUP(INDIRECT(ADDRESS(2,COLUMN())),OFFSET($AT$2,0,0,ROW()-1,40),ROW()-1,FALSE))</f>
        <v>3656</v>
      </c>
      <c r="AI18">
        <f ca="1">IF(AND($B$64=1,LEN($AI$29) * LEN($AI$39)&gt;0),$AI$29+$AI$39,HLOOKUP(INDIRECT(ADDRESS(2,COLUMN())),OFFSET($AT$2,0,0,ROW()-1,40),ROW()-1,FALSE))</f>
        <v>3562</v>
      </c>
      <c r="AJ18">
        <f ca="1">IF(AND($B$64=1,LEN($AJ$29) * LEN($AJ$39)&gt;0),$AJ$29+$AJ$39,HLOOKUP(INDIRECT(ADDRESS(2,COLUMN())),OFFSET($AT$2,0,0,ROW()-1,40),ROW()-1,FALSE))</f>
        <v>3327</v>
      </c>
      <c r="AK18">
        <f ca="1">IF(AND($B$64=1,LEN($AK$29) * LEN($AK$39)&gt;0),$AK$29+$AK$39,HLOOKUP(INDIRECT(ADDRESS(2,COLUMN())),OFFSET($AT$2,0,0,ROW()-1,40),ROW()-1,FALSE))</f>
        <v>3638</v>
      </c>
      <c r="AL18">
        <f ca="1">IF(AND($B$64=1,LEN($AL$29) * LEN($AL$39)&gt;0),$AL$29+$AL$39,HLOOKUP(INDIRECT(ADDRESS(2,COLUMN())),OFFSET($AT$2,0,0,ROW()-1,40),ROW()-1,FALSE))</f>
        <v>2896</v>
      </c>
      <c r="AM18">
        <f ca="1">IF(AND($B$64=1,LEN($AM$29) * LEN($AM$39)&gt;0),$AM$29+$AM$39,HLOOKUP(INDIRECT(ADDRESS(2,COLUMN())),OFFSET($AT$2,0,0,ROW()-1,40),ROW()-1,FALSE))</f>
        <v>4376</v>
      </c>
      <c r="AN18">
        <f ca="1">IF(AND($B$64=1,LEN($AN$29) * LEN($AN$39)&gt;0),$AN$29+$AN$39,HLOOKUP(INDIRECT(ADDRESS(2,COLUMN())),OFFSET($AT$2,0,0,ROW()-1,40),ROW()-1,FALSE))</f>
        <v>8656</v>
      </c>
      <c r="AO18">
        <f ca="1">IF(AND($B$64=1,LEN($AO$29) * LEN($AO$39)&gt;0),$AO$29+$AO$39,HLOOKUP(INDIRECT(ADDRESS(2,COLUMN())),OFFSET($AT$2,0,0,ROW()-1,40),ROW()-1,FALSE))</f>
        <v>7944</v>
      </c>
      <c r="AP18">
        <f ca="1">IF(AND($B$64=1,LEN($AP$29) * LEN($AP$39)&gt;0),$AP$29+$AP$39,HLOOKUP(INDIRECT(ADDRESS(2,COLUMN())),OFFSET($AT$2,0,0,ROW()-1,40),ROW()-1,FALSE))</f>
        <v>8071</v>
      </c>
      <c r="AQ18">
        <f ca="1">IF(AND($B$64=1,LEN($AQ$29) * LEN($AQ$39)&gt;0),$AQ$29+$AQ$39,HLOOKUP(INDIRECT(ADDRESS(2,COLUMN())),OFFSET($AT$2,0,0,ROW()-1,40),ROW()-1,FALSE))</f>
        <v>7287</v>
      </c>
      <c r="AR18">
        <f ca="1">IF(AND($B$64=1,LEN($AR$29) * LEN($AR$39)&gt;0),$AR$29+$AR$39,HLOOKUP(INDIRECT(ADDRESS(2,COLUMN())),OFFSET($AT$2,0,0,ROW()-1,40),ROW()-1,FALSE))</f>
        <v>7152</v>
      </c>
      <c r="AS18">
        <f ca="1">IF(AND($B$64=1,LEN($AS$29) * LEN($AS$39)&gt;0),$AS$29+$AS$39,HLOOKUP(INDIRECT(ADDRESS(2,COLUMN())),OFFSET($AT$2,0,0,ROW()-1,40),ROW()-1,FALSE))</f>
        <v>8245</v>
      </c>
      <c r="AT18">
        <f>3225</f>
        <v>3225</v>
      </c>
      <c r="AU18">
        <f>2959</f>
        <v>2959</v>
      </c>
      <c r="AV18">
        <f>3088</f>
        <v>3088</v>
      </c>
      <c r="AW18">
        <f>2694</f>
        <v>2694</v>
      </c>
      <c r="AX18">
        <f>2528</f>
        <v>2528</v>
      </c>
      <c r="AY18">
        <f>2542</f>
        <v>2542</v>
      </c>
      <c r="AZ18">
        <f>2103</f>
        <v>2103</v>
      </c>
      <c r="BA18">
        <f>2478</f>
        <v>2478</v>
      </c>
      <c r="BB18">
        <f>1552</f>
        <v>1552</v>
      </c>
      <c r="BC18">
        <f>1890</f>
        <v>1890</v>
      </c>
      <c r="BD18">
        <f>2664</f>
        <v>2664</v>
      </c>
      <c r="BE18">
        <f>2204</f>
        <v>2204</v>
      </c>
      <c r="BF18">
        <f>1946</f>
        <v>1946</v>
      </c>
      <c r="BG18">
        <f>2427</f>
        <v>2427</v>
      </c>
      <c r="BH18">
        <f>2501</f>
        <v>2501</v>
      </c>
      <c r="BI18">
        <f>2819</f>
        <v>2819</v>
      </c>
      <c r="BJ18">
        <f>2370</f>
        <v>2370</v>
      </c>
      <c r="BK18">
        <f>2342</f>
        <v>2342</v>
      </c>
      <c r="BL18">
        <f>2448</f>
        <v>2448</v>
      </c>
      <c r="BM18">
        <f>3035</f>
        <v>3035</v>
      </c>
      <c r="BN18">
        <f>2286</f>
        <v>2286</v>
      </c>
      <c r="BO18">
        <f>2622</f>
        <v>2622</v>
      </c>
      <c r="BP18">
        <f>3365</f>
        <v>3365</v>
      </c>
      <c r="BQ18">
        <f>2653</f>
        <v>2653</v>
      </c>
      <c r="BR18">
        <f>3565</f>
        <v>3565</v>
      </c>
      <c r="BS18">
        <f>3469</f>
        <v>3469</v>
      </c>
      <c r="BT18">
        <f>3295</f>
        <v>3295</v>
      </c>
      <c r="BU18">
        <f>3801</f>
        <v>3801</v>
      </c>
      <c r="BV18">
        <f>3656</f>
        <v>3656</v>
      </c>
      <c r="BW18">
        <f>3562</f>
        <v>3562</v>
      </c>
      <c r="BX18">
        <f>3327</f>
        <v>3327</v>
      </c>
      <c r="BY18">
        <f>3638</f>
        <v>3638</v>
      </c>
      <c r="BZ18">
        <f>2896</f>
        <v>2896</v>
      </c>
      <c r="CA18">
        <f>4376</f>
        <v>4376</v>
      </c>
      <c r="CB18">
        <f>8656</f>
        <v>8656</v>
      </c>
      <c r="CC18">
        <f>7944</f>
        <v>7944</v>
      </c>
      <c r="CD18">
        <f>8071</f>
        <v>8071</v>
      </c>
      <c r="CE18">
        <f>7287</f>
        <v>7287</v>
      </c>
      <c r="CF18">
        <f>7152</f>
        <v>7152</v>
      </c>
      <c r="CG18">
        <f>8245</f>
        <v>8245</v>
      </c>
    </row>
    <row r="19" spans="1:85" x14ac:dyDescent="0.25">
      <c r="A19" t="str">
        <f>"    Scania"</f>
        <v xml:space="preserve">    Scania</v>
      </c>
      <c r="B19" t="str">
        <f>""</f>
        <v/>
      </c>
      <c r="E19" t="str">
        <f t="shared" si="1"/>
        <v>Expression</v>
      </c>
      <c r="F19">
        <f ca="1">IF(AND($B$64=1,LEN($F$30) * LEN($F$45)&gt;0),$F$30+$F$45,HLOOKUP(INDIRECT(ADDRESS(2,COLUMN())),OFFSET($AT$2,0,0,ROW()-1,40),ROW()-1,FALSE))</f>
        <v>600</v>
      </c>
      <c r="G19">
        <f ca="1">IF(AND($B$64=1,LEN($G$30) * LEN($G$45)&gt;0),$G$30+$G$45,HLOOKUP(INDIRECT(ADDRESS(2,COLUMN())),OFFSET($AT$2,0,0,ROW()-1,40),ROW()-1,FALSE))</f>
        <v>488</v>
      </c>
      <c r="H19">
        <f ca="1">IF(AND($B$64=1,LEN($H$30) * LEN($H$45)&gt;0),$H$30+$H$45,HLOOKUP(INDIRECT(ADDRESS(2,COLUMN())),OFFSET($AT$2,0,0,ROW()-1,40),ROW()-1,FALSE))</f>
        <v>434</v>
      </c>
      <c r="I19">
        <f ca="1">IF(AND($B$64=1,LEN($I$30) * LEN($I$45)&gt;0),$I$30+$I$45,HLOOKUP(INDIRECT(ADDRESS(2,COLUMN())),OFFSET($AT$2,0,0,ROW()-1,40),ROW()-1,FALSE))</f>
        <v>520</v>
      </c>
      <c r="J19">
        <f ca="1">IF(AND($B$64=1,LEN($J$30) * LEN($J$45)&gt;0),$J$30+$J$45,HLOOKUP(INDIRECT(ADDRESS(2,COLUMN())),OFFSET($AT$2,0,0,ROW()-1,40),ROW()-1,FALSE))</f>
        <v>436</v>
      </c>
      <c r="K19">
        <f ca="1">IF(AND($B$64=1,LEN($K$30) * LEN($K$45)&gt;0),$K$30+$K$45,HLOOKUP(INDIRECT(ADDRESS(2,COLUMN())),OFFSET($AT$2,0,0,ROW()-1,40),ROW()-1,FALSE))</f>
        <v>435</v>
      </c>
      <c r="L19">
        <f ca="1">IF(AND($B$64=1,LEN($L$30) * LEN($L$45)&gt;0),$L$30+$L$45,HLOOKUP(INDIRECT(ADDRESS(2,COLUMN())),OFFSET($AT$2,0,0,ROW()-1,40),ROW()-1,FALSE))</f>
        <v>327</v>
      </c>
      <c r="M19">
        <f ca="1">IF(AND($B$64=1,LEN($M$30) * LEN($M$45)&gt;0),$M$30+$M$45,HLOOKUP(INDIRECT(ADDRESS(2,COLUMN())),OFFSET($AT$2,0,0,ROW()-1,40),ROW()-1,FALSE))</f>
        <v>521</v>
      </c>
      <c r="N19">
        <f ca="1">IF(AND($B$64=1,LEN($N$30) * LEN($N$45)&gt;0),$N$30+$N$45,HLOOKUP(INDIRECT(ADDRESS(2,COLUMN())),OFFSET($AT$2,0,0,ROW()-1,40),ROW()-1,FALSE))</f>
        <v>238</v>
      </c>
      <c r="O19">
        <f ca="1">IF(AND($B$64=1,LEN($O$30) * LEN($O$45)&gt;0),$O$30+$O$45,HLOOKUP(INDIRECT(ADDRESS(2,COLUMN())),OFFSET($AT$2,0,0,ROW()-1,40),ROW()-1,FALSE))</f>
        <v>322</v>
      </c>
      <c r="P19">
        <f ca="1">IF(AND($B$64=1,LEN($P$30) * LEN($P$45)&gt;0),$P$30+$P$45,HLOOKUP(INDIRECT(ADDRESS(2,COLUMN())),OFFSET($AT$2,0,0,ROW()-1,40),ROW()-1,FALSE))</f>
        <v>318</v>
      </c>
      <c r="Q19">
        <f ca="1">IF(AND($B$64=1,LEN($Q$30) * LEN($Q$45)&gt;0),$Q$30+$Q$45,HLOOKUP(INDIRECT(ADDRESS(2,COLUMN())),OFFSET($AT$2,0,0,ROW()-1,40),ROW()-1,FALSE))</f>
        <v>335</v>
      </c>
      <c r="R19">
        <f ca="1">IF(AND($B$64=1,LEN($R$30) * LEN($R$45)&gt;0),$R$30+$R$45,HLOOKUP(INDIRECT(ADDRESS(2,COLUMN())),OFFSET($AT$2,0,0,ROW()-1,40),ROW()-1,FALSE))</f>
        <v>334</v>
      </c>
      <c r="S19">
        <f ca="1">IF(AND($B$64=1,LEN($S$30) * LEN($S$45)&gt;0),$S$30+$S$45,HLOOKUP(INDIRECT(ADDRESS(2,COLUMN())),OFFSET($AT$2,0,0,ROW()-1,40),ROW()-1,FALSE))</f>
        <v>374</v>
      </c>
      <c r="T19">
        <f ca="1">IF(AND($B$64=1,LEN($T$30) * LEN($T$45)&gt;0),$T$30+$T$45,HLOOKUP(INDIRECT(ADDRESS(2,COLUMN())),OFFSET($AT$2,0,0,ROW()-1,40),ROW()-1,FALSE))</f>
        <v>374</v>
      </c>
      <c r="U19">
        <f ca="1">IF(AND($B$64=1,LEN($U$30) * LEN($U$45)&gt;0),$U$30+$U$45,HLOOKUP(INDIRECT(ADDRESS(2,COLUMN())),OFFSET($AT$2,0,0,ROW()-1,40),ROW()-1,FALSE))</f>
        <v>434</v>
      </c>
      <c r="V19">
        <f ca="1">IF(AND($B$64=1,LEN($V$30) * LEN($V$45)&gt;0),$V$30+$V$45,HLOOKUP(INDIRECT(ADDRESS(2,COLUMN())),OFFSET($AT$2,0,0,ROW()-1,40),ROW()-1,FALSE))</f>
        <v>428</v>
      </c>
      <c r="W19">
        <f ca="1">IF(AND($B$64=1,LEN($W$30) * LEN($W$45)&gt;0),$W$30+$W$45,HLOOKUP(INDIRECT(ADDRESS(2,COLUMN())),OFFSET($AT$2,0,0,ROW()-1,40),ROW()-1,FALSE))</f>
        <v>384</v>
      </c>
      <c r="X19">
        <f ca="1">IF(AND($B$64=1,LEN($X$30) * LEN($X$45)&gt;0),$X$30+$X$45,HLOOKUP(INDIRECT(ADDRESS(2,COLUMN())),OFFSET($AT$2,0,0,ROW()-1,40),ROW()-1,FALSE))</f>
        <v>276</v>
      </c>
      <c r="Y19">
        <f ca="1">IF(AND($B$64=1,LEN($Y$30) * LEN($Y$45)&gt;0),$Y$30+$Y$45,HLOOKUP(INDIRECT(ADDRESS(2,COLUMN())),OFFSET($AT$2,0,0,ROW()-1,40),ROW()-1,FALSE))</f>
        <v>427</v>
      </c>
      <c r="Z19">
        <f ca="1">IF(AND($B$64=1,LEN($Z$30) * LEN($Z$45)&gt;0),$Z$30+$Z$45,HLOOKUP(INDIRECT(ADDRESS(2,COLUMN())),OFFSET($AT$2,0,0,ROW()-1,40),ROW()-1,FALSE))</f>
        <v>231</v>
      </c>
      <c r="AA19">
        <f ca="1">IF(AND($B$64=1,LEN($AA$30) * LEN($AA$45)&gt;0),$AA$30+$AA$45,HLOOKUP(INDIRECT(ADDRESS(2,COLUMN())),OFFSET($AT$2,0,0,ROW()-1,40),ROW()-1,FALSE))</f>
        <v>330</v>
      </c>
      <c r="AB19">
        <f ca="1">IF(AND($B$64=1,LEN($AB$30) * LEN($AB$45)&gt;0),$AB$30+$AB$45,HLOOKUP(INDIRECT(ADDRESS(2,COLUMN())),OFFSET($AT$2,0,0,ROW()-1,40),ROW()-1,FALSE))</f>
        <v>462</v>
      </c>
      <c r="AC19">
        <f ca="1">IF(AND($B$64=1,LEN($AC$30) * LEN($AC$45)&gt;0),$AC$30+$AC$45,HLOOKUP(INDIRECT(ADDRESS(2,COLUMN())),OFFSET($AT$2,0,0,ROW()-1,40),ROW()-1,FALSE))</f>
        <v>386</v>
      </c>
      <c r="AD19">
        <f ca="1">IF(AND($B$64=1,LEN($AD$30) * LEN($AD$45)&gt;0),$AD$30+$AD$45,HLOOKUP(INDIRECT(ADDRESS(2,COLUMN())),OFFSET($AT$2,0,0,ROW()-1,40),ROW()-1,FALSE))</f>
        <v>503</v>
      </c>
      <c r="AE19">
        <f ca="1">IF(AND($B$64=1,LEN($AE$30) * LEN($AE$45)&gt;0),$AE$30+$AE$45,HLOOKUP(INDIRECT(ADDRESS(2,COLUMN())),OFFSET($AT$2,0,0,ROW()-1,40),ROW()-1,FALSE))</f>
        <v>499</v>
      </c>
      <c r="AF19">
        <f ca="1">IF(AND($B$64=1,LEN($AF$30) * LEN($AF$45)&gt;0),$AF$30+$AF$45,HLOOKUP(INDIRECT(ADDRESS(2,COLUMN())),OFFSET($AT$2,0,0,ROW()-1,40),ROW()-1,FALSE))</f>
        <v>418</v>
      </c>
      <c r="AG19">
        <f ca="1">IF(AND($B$64=1,LEN($AG$30) * LEN($AG$45)&gt;0),$AG$30+$AG$45,HLOOKUP(INDIRECT(ADDRESS(2,COLUMN())),OFFSET($AT$2,0,0,ROW()-1,40),ROW()-1,FALSE))</f>
        <v>435</v>
      </c>
      <c r="AH19">
        <f ca="1">IF(AND($B$64=1,LEN($AH$30) * LEN($AH$45)&gt;0),$AH$30+$AH$45,HLOOKUP(INDIRECT(ADDRESS(2,COLUMN())),OFFSET($AT$2,0,0,ROW()-1,40),ROW()-1,FALSE))</f>
        <v>425</v>
      </c>
      <c r="AI19">
        <f ca="1">IF(AND($B$64=1,LEN($AI$30) * LEN($AI$45)&gt;0),$AI$30+$AI$45,HLOOKUP(INDIRECT(ADDRESS(2,COLUMN())),OFFSET($AT$2,0,0,ROW()-1,40),ROW()-1,FALSE))</f>
        <v>409</v>
      </c>
      <c r="AJ19">
        <f ca="1">IF(AND($B$64=1,LEN($AJ$30) * LEN($AJ$45)&gt;0),$AJ$30+$AJ$45,HLOOKUP(INDIRECT(ADDRESS(2,COLUMN())),OFFSET($AT$2,0,0,ROW()-1,40),ROW()-1,FALSE))</f>
        <v>461</v>
      </c>
      <c r="AK19">
        <f ca="1">IF(AND($B$64=1,LEN($AK$30) * LEN($AK$45)&gt;0),$AK$30+$AK$45,HLOOKUP(INDIRECT(ADDRESS(2,COLUMN())),OFFSET($AT$2,0,0,ROW()-1,40),ROW()-1,FALSE))</f>
        <v>319</v>
      </c>
      <c r="AL19">
        <f ca="1">IF(AND($B$64=1,LEN($AL$30) * LEN($AL$45)&gt;0),$AL$30+$AL$45,HLOOKUP(INDIRECT(ADDRESS(2,COLUMN())),OFFSET($AT$2,0,0,ROW()-1,40),ROW()-1,FALSE))</f>
        <v>353</v>
      </c>
      <c r="AM19">
        <f ca="1">IF(AND($B$64=1,LEN($AM$30) * LEN($AM$45)&gt;0),$AM$30+$AM$45,HLOOKUP(INDIRECT(ADDRESS(2,COLUMN())),OFFSET($AT$2,0,0,ROW()-1,40),ROW()-1,FALSE))</f>
        <v>554</v>
      </c>
      <c r="AN19">
        <f ca="1">IF(AND($B$64=1,LEN($AN$30) * LEN($AN$45)&gt;0),$AN$30+$AN$45,HLOOKUP(INDIRECT(ADDRESS(2,COLUMN())),OFFSET($AT$2,0,0,ROW()-1,40),ROW()-1,FALSE))</f>
        <v>1293</v>
      </c>
      <c r="AO19">
        <f ca="1">IF(AND($B$64=1,LEN($AO$30) * LEN($AO$45)&gt;0),$AO$30+$AO$45,HLOOKUP(INDIRECT(ADDRESS(2,COLUMN())),OFFSET($AT$2,0,0,ROW()-1,40),ROW()-1,FALSE))</f>
        <v>1248</v>
      </c>
      <c r="AP19">
        <f ca="1">IF(AND($B$64=1,LEN($AP$30) * LEN($AP$45)&gt;0),$AP$30+$AP$45,HLOOKUP(INDIRECT(ADDRESS(2,COLUMN())),OFFSET($AT$2,0,0,ROW()-1,40),ROW()-1,FALSE))</f>
        <v>1228</v>
      </c>
      <c r="AQ19">
        <f ca="1">IF(AND($B$64=1,LEN($AQ$30) * LEN($AQ$45)&gt;0),$AQ$30+$AQ$45,HLOOKUP(INDIRECT(ADDRESS(2,COLUMN())),OFFSET($AT$2,0,0,ROW()-1,40),ROW()-1,FALSE))</f>
        <v>1209</v>
      </c>
      <c r="AR19">
        <f ca="1">IF(AND($B$64=1,LEN($AR$30) * LEN($AR$45)&gt;0),$AR$30+$AR$45,HLOOKUP(INDIRECT(ADDRESS(2,COLUMN())),OFFSET($AT$2,0,0,ROW()-1,40),ROW()-1,FALSE))</f>
        <v>1088</v>
      </c>
      <c r="AS19">
        <f ca="1">IF(AND($B$64=1,LEN($AS$30) * LEN($AS$45)&gt;0),$AS$30+$AS$45,HLOOKUP(INDIRECT(ADDRESS(2,COLUMN())),OFFSET($AT$2,0,0,ROW()-1,40),ROW()-1,FALSE))</f>
        <v>1177</v>
      </c>
      <c r="AT19">
        <f>600</f>
        <v>600</v>
      </c>
      <c r="AU19">
        <f>488</f>
        <v>488</v>
      </c>
      <c r="AV19">
        <f>434</f>
        <v>434</v>
      </c>
      <c r="AW19">
        <f>520</f>
        <v>520</v>
      </c>
      <c r="AX19">
        <f>436</f>
        <v>436</v>
      </c>
      <c r="AY19">
        <f>435</f>
        <v>435</v>
      </c>
      <c r="AZ19">
        <f>327</f>
        <v>327</v>
      </c>
      <c r="BA19">
        <f>521</f>
        <v>521</v>
      </c>
      <c r="BB19">
        <f>238</f>
        <v>238</v>
      </c>
      <c r="BC19">
        <f>322</f>
        <v>322</v>
      </c>
      <c r="BD19">
        <f>318</f>
        <v>318</v>
      </c>
      <c r="BE19">
        <f>335</f>
        <v>335</v>
      </c>
      <c r="BF19">
        <f>334</f>
        <v>334</v>
      </c>
      <c r="BG19">
        <f>374</f>
        <v>374</v>
      </c>
      <c r="BH19">
        <f>374</f>
        <v>374</v>
      </c>
      <c r="BI19">
        <f>434</f>
        <v>434</v>
      </c>
      <c r="BJ19">
        <f>428</f>
        <v>428</v>
      </c>
      <c r="BK19">
        <f>384</f>
        <v>384</v>
      </c>
      <c r="BL19">
        <f>276</f>
        <v>276</v>
      </c>
      <c r="BM19">
        <f>427</f>
        <v>427</v>
      </c>
      <c r="BN19">
        <f>231</f>
        <v>231</v>
      </c>
      <c r="BO19">
        <f>330</f>
        <v>330</v>
      </c>
      <c r="BP19">
        <f>462</f>
        <v>462</v>
      </c>
      <c r="BQ19">
        <f>386</f>
        <v>386</v>
      </c>
      <c r="BR19">
        <f>503</f>
        <v>503</v>
      </c>
      <c r="BS19">
        <f>499</f>
        <v>499</v>
      </c>
      <c r="BT19">
        <f>418</f>
        <v>418</v>
      </c>
      <c r="BU19">
        <f>435</f>
        <v>435</v>
      </c>
      <c r="BV19">
        <f>425</f>
        <v>425</v>
      </c>
      <c r="BW19">
        <f>409</f>
        <v>409</v>
      </c>
      <c r="BX19">
        <f>461</f>
        <v>461</v>
      </c>
      <c r="BY19">
        <f>319</f>
        <v>319</v>
      </c>
      <c r="BZ19">
        <f>353</f>
        <v>353</v>
      </c>
      <c r="CA19">
        <f>554</f>
        <v>554</v>
      </c>
      <c r="CB19">
        <f>1293</f>
        <v>1293</v>
      </c>
      <c r="CC19">
        <f>1248</f>
        <v>1248</v>
      </c>
      <c r="CD19">
        <f>1228</f>
        <v>1228</v>
      </c>
      <c r="CE19">
        <f>1209</f>
        <v>1209</v>
      </c>
      <c r="CF19">
        <f>1088</f>
        <v>1088</v>
      </c>
      <c r="CG19">
        <f>1177</f>
        <v>1177</v>
      </c>
    </row>
    <row r="20" spans="1:85" x14ac:dyDescent="0.25">
      <c r="A20" t="str">
        <f>"    Volvo"</f>
        <v xml:space="preserve">    Volvo</v>
      </c>
      <c r="B20" t="str">
        <f>""</f>
        <v/>
      </c>
      <c r="E20" t="str">
        <f t="shared" si="1"/>
        <v>Expression</v>
      </c>
      <c r="F20">
        <f ca="1">IF(AND($B$64=1,LEN($F$31) * LEN($F$43)&gt;0),$F$31+$F$43,HLOOKUP(INDIRECT(ADDRESS(2,COLUMN())),OFFSET($AT$2,0,0,ROW()-1,40),ROW()-1,FALSE))</f>
        <v>671</v>
      </c>
      <c r="G20">
        <f ca="1">IF(AND($B$64=1,LEN($G$31) * LEN($G$43)&gt;0),$G$31+$G$43,HLOOKUP(INDIRECT(ADDRESS(2,COLUMN())),OFFSET($AT$2,0,0,ROW()-1,40),ROW()-1,FALSE))</f>
        <v>507</v>
      </c>
      <c r="H20">
        <f ca="1">IF(AND($B$64=1,LEN($H$31) * LEN($H$43)&gt;0),$H$31+$H$43,HLOOKUP(INDIRECT(ADDRESS(2,COLUMN())),OFFSET($AT$2,0,0,ROW()-1,40),ROW()-1,FALSE))</f>
        <v>478</v>
      </c>
      <c r="I20">
        <f ca="1">IF(AND($B$64=1,LEN($I$31) * LEN($I$43)&gt;0),$I$31+$I$43,HLOOKUP(INDIRECT(ADDRESS(2,COLUMN())),OFFSET($AT$2,0,0,ROW()-1,40),ROW()-1,FALSE))</f>
        <v>502</v>
      </c>
      <c r="J20">
        <f ca="1">IF(AND($B$64=1,LEN($J$31) * LEN($J$43)&gt;0),$J$31+$J$43,HLOOKUP(INDIRECT(ADDRESS(2,COLUMN())),OFFSET($AT$2,0,0,ROW()-1,40),ROW()-1,FALSE))</f>
        <v>475</v>
      </c>
      <c r="K20">
        <f ca="1">IF(AND($B$64=1,LEN($K$31) * LEN($K$43)&gt;0),$K$31+$K$43,HLOOKUP(INDIRECT(ADDRESS(2,COLUMN())),OFFSET($AT$2,0,0,ROW()-1,40),ROW()-1,FALSE))</f>
        <v>443</v>
      </c>
      <c r="L20">
        <f ca="1">IF(AND($B$64=1,LEN($L$31) * LEN($L$43)&gt;0),$L$31+$L$43,HLOOKUP(INDIRECT(ADDRESS(2,COLUMN())),OFFSET($AT$2,0,0,ROW()-1,40),ROW()-1,FALSE))</f>
        <v>403</v>
      </c>
      <c r="M20">
        <f ca="1">IF(AND($B$64=1,LEN($M$31) * LEN($M$43)&gt;0),$M$31+$M$43,HLOOKUP(INDIRECT(ADDRESS(2,COLUMN())),OFFSET($AT$2,0,0,ROW()-1,40),ROW()-1,FALSE))</f>
        <v>360</v>
      </c>
      <c r="N20">
        <f ca="1">IF(AND($B$64=1,LEN($N$31) * LEN($N$43)&gt;0),$N$31+$N$43,HLOOKUP(INDIRECT(ADDRESS(2,COLUMN())),OFFSET($AT$2,0,0,ROW()-1,40),ROW()-1,FALSE))</f>
        <v>369</v>
      </c>
      <c r="O20">
        <f ca="1">IF(AND($B$64=1,LEN($O$31) * LEN($O$43)&gt;0),$O$31+$O$43,HLOOKUP(INDIRECT(ADDRESS(2,COLUMN())),OFFSET($AT$2,0,0,ROW()-1,40),ROW()-1,FALSE))</f>
        <v>325</v>
      </c>
      <c r="P20">
        <f ca="1">IF(AND($B$64=1,LEN($P$31) * LEN($P$43)&gt;0),$P$31+$P$43,HLOOKUP(INDIRECT(ADDRESS(2,COLUMN())),OFFSET($AT$2,0,0,ROW()-1,40),ROW()-1,FALSE))</f>
        <v>590</v>
      </c>
      <c r="Q20">
        <f ca="1">IF(AND($B$64=1,LEN($Q$31) * LEN($Q$43)&gt;0),$Q$31+$Q$43,HLOOKUP(INDIRECT(ADDRESS(2,COLUMN())),OFFSET($AT$2,0,0,ROW()-1,40),ROW()-1,FALSE))</f>
        <v>396</v>
      </c>
      <c r="R20">
        <f ca="1">IF(AND($B$64=1,LEN($R$31) * LEN($R$43)&gt;0),$R$31+$R$43,HLOOKUP(INDIRECT(ADDRESS(2,COLUMN())),OFFSET($AT$2,0,0,ROW()-1,40),ROW()-1,FALSE))</f>
        <v>299</v>
      </c>
      <c r="S20">
        <f ca="1">IF(AND($B$64=1,LEN($S$31) * LEN($S$43)&gt;0),$S$31+$S$43,HLOOKUP(INDIRECT(ADDRESS(2,COLUMN())),OFFSET($AT$2,0,0,ROW()-1,40),ROW()-1,FALSE))</f>
        <v>435</v>
      </c>
      <c r="T20">
        <f ca="1">IF(AND($B$64=1,LEN($T$31) * LEN($T$43)&gt;0),$T$31+$T$43,HLOOKUP(INDIRECT(ADDRESS(2,COLUMN())),OFFSET($AT$2,0,0,ROW()-1,40),ROW()-1,FALSE))</f>
        <v>515</v>
      </c>
      <c r="U20">
        <f ca="1">IF(AND($B$64=1,LEN($U$31) * LEN($U$43)&gt;0),$U$31+$U$43,HLOOKUP(INDIRECT(ADDRESS(2,COLUMN())),OFFSET($AT$2,0,0,ROW()-1,40),ROW()-1,FALSE))</f>
        <v>476</v>
      </c>
      <c r="V20">
        <f ca="1">IF(AND($B$64=1,LEN($V$31) * LEN($V$43)&gt;0),$V$31+$V$43,HLOOKUP(INDIRECT(ADDRESS(2,COLUMN())),OFFSET($AT$2,0,0,ROW()-1,40),ROW()-1,FALSE))</f>
        <v>413</v>
      </c>
      <c r="W20">
        <f ca="1">IF(AND($B$64=1,LEN($W$31) * LEN($W$43)&gt;0),$W$31+$W$43,HLOOKUP(INDIRECT(ADDRESS(2,COLUMN())),OFFSET($AT$2,0,0,ROW()-1,40),ROW()-1,FALSE))</f>
        <v>423</v>
      </c>
      <c r="X20">
        <f ca="1">IF(AND($B$64=1,LEN($X$31) * LEN($X$43)&gt;0),$X$31+$X$43,HLOOKUP(INDIRECT(ADDRESS(2,COLUMN())),OFFSET($AT$2,0,0,ROW()-1,40),ROW()-1,FALSE))</f>
        <v>466</v>
      </c>
      <c r="Y20">
        <f ca="1">IF(AND($B$64=1,LEN($Y$31) * LEN($Y$43)&gt;0),$Y$31+$Y$43,HLOOKUP(INDIRECT(ADDRESS(2,COLUMN())),OFFSET($AT$2,0,0,ROW()-1,40),ROW()-1,FALSE))</f>
        <v>537</v>
      </c>
      <c r="Z20">
        <f ca="1">IF(AND($B$64=1,LEN($Z$31) * LEN($Z$43)&gt;0),$Z$31+$Z$43,HLOOKUP(INDIRECT(ADDRESS(2,COLUMN())),OFFSET($AT$2,0,0,ROW()-1,40),ROW()-1,FALSE))</f>
        <v>499</v>
      </c>
      <c r="AA20">
        <f ca="1">IF(AND($B$64=1,LEN($AA$31) * LEN($AA$43)&gt;0),$AA$31+$AA$43,HLOOKUP(INDIRECT(ADDRESS(2,COLUMN())),OFFSET($AT$2,0,0,ROW()-1,40),ROW()-1,FALSE))</f>
        <v>565</v>
      </c>
      <c r="AB20">
        <f ca="1">IF(AND($B$64=1,LEN($AB$31) * LEN($AB$43)&gt;0),$AB$31+$AB$43,HLOOKUP(INDIRECT(ADDRESS(2,COLUMN())),OFFSET($AT$2,0,0,ROW()-1,40),ROW()-1,FALSE))</f>
        <v>649</v>
      </c>
      <c r="AC20">
        <f ca="1">IF(AND($B$64=1,LEN($AC$31) * LEN($AC$43)&gt;0),$AC$31+$AC$43,HLOOKUP(INDIRECT(ADDRESS(2,COLUMN())),OFFSET($AT$2,0,0,ROW()-1,40),ROW()-1,FALSE))</f>
        <v>559</v>
      </c>
      <c r="AD20">
        <f ca="1">IF(AND($B$64=1,LEN($AD$31) * LEN($AD$43)&gt;0),$AD$31+$AD$43,HLOOKUP(INDIRECT(ADDRESS(2,COLUMN())),OFFSET($AT$2,0,0,ROW()-1,40),ROW()-1,FALSE))</f>
        <v>743</v>
      </c>
      <c r="AE20">
        <f ca="1">IF(AND($B$64=1,LEN($AE$31) * LEN($AE$43)&gt;0),$AE$31+$AE$43,HLOOKUP(INDIRECT(ADDRESS(2,COLUMN())),OFFSET($AT$2,0,0,ROW()-1,40),ROW()-1,FALSE))</f>
        <v>651</v>
      </c>
      <c r="AF20">
        <f ca="1">IF(AND($B$64=1,LEN($AF$31) * LEN($AF$43)&gt;0),$AF$31+$AF$43,HLOOKUP(INDIRECT(ADDRESS(2,COLUMN())),OFFSET($AT$2,0,0,ROW()-1,40),ROW()-1,FALSE))</f>
        <v>679</v>
      </c>
      <c r="AG20">
        <f ca="1">IF(AND($B$64=1,LEN($AG$31) * LEN($AG$43)&gt;0),$AG$31+$AG$43,HLOOKUP(INDIRECT(ADDRESS(2,COLUMN())),OFFSET($AT$2,0,0,ROW()-1,40),ROW()-1,FALSE))</f>
        <v>761</v>
      </c>
      <c r="AH20">
        <f ca="1">IF(AND($B$64=1,LEN($AH$31) * LEN($AH$43)&gt;0),$AH$31+$AH$43,HLOOKUP(INDIRECT(ADDRESS(2,COLUMN())),OFFSET($AT$2,0,0,ROW()-1,40),ROW()-1,FALSE))</f>
        <v>761</v>
      </c>
      <c r="AI20">
        <f ca="1">IF(AND($B$64=1,LEN($AI$31) * LEN($AI$43)&gt;0),$AI$31+$AI$43,HLOOKUP(INDIRECT(ADDRESS(2,COLUMN())),OFFSET($AT$2,0,0,ROW()-1,40),ROW()-1,FALSE))</f>
        <v>821</v>
      </c>
      <c r="AJ20">
        <f ca="1">IF(AND($B$64=1,LEN($AJ$31) * LEN($AJ$43)&gt;0),$AJ$31+$AJ$43,HLOOKUP(INDIRECT(ADDRESS(2,COLUMN())),OFFSET($AT$2,0,0,ROW()-1,40),ROW()-1,FALSE))</f>
        <v>665</v>
      </c>
      <c r="AK20">
        <f ca="1">IF(AND($B$64=1,LEN($AK$31) * LEN($AK$43)&gt;0),$AK$31+$AK$43,HLOOKUP(INDIRECT(ADDRESS(2,COLUMN())),OFFSET($AT$2,0,0,ROW()-1,40),ROW()-1,FALSE))</f>
        <v>700</v>
      </c>
      <c r="AL20">
        <f ca="1">IF(AND($B$64=1,LEN($AL$31) * LEN($AL$43)&gt;0),$AL$31+$AL$43,HLOOKUP(INDIRECT(ADDRESS(2,COLUMN())),OFFSET($AT$2,0,0,ROW()-1,40),ROW()-1,FALSE))</f>
        <v>512</v>
      </c>
      <c r="AM20">
        <f ca="1">IF(AND($B$64=1,LEN($AM$31) * LEN($AM$43)&gt;0),$AM$31+$AM$43,HLOOKUP(INDIRECT(ADDRESS(2,COLUMN())),OFFSET($AT$2,0,0,ROW()-1,40),ROW()-1,FALSE))</f>
        <v>848</v>
      </c>
      <c r="AN20">
        <f ca="1">IF(AND($B$64=1,LEN($AN$31) * LEN($AN$43)&gt;0),$AN$31+$AN$43,HLOOKUP(INDIRECT(ADDRESS(2,COLUMN())),OFFSET($AT$2,0,0,ROW()-1,40),ROW()-1,FALSE))</f>
        <v>2055</v>
      </c>
      <c r="AO20">
        <f ca="1">IF(AND($B$64=1,LEN($AO$31) * LEN($AO$43)&gt;0),$AO$31+$AO$43,HLOOKUP(INDIRECT(ADDRESS(2,COLUMN())),OFFSET($AT$2,0,0,ROW()-1,40),ROW()-1,FALSE))</f>
        <v>1808</v>
      </c>
      <c r="AP20">
        <f ca="1">IF(AND($B$64=1,LEN($AP$31) * LEN($AP$43)&gt;0),$AP$31+$AP$43,HLOOKUP(INDIRECT(ADDRESS(2,COLUMN())),OFFSET($AT$2,0,0,ROW()-1,40),ROW()-1,FALSE))</f>
        <v>1524</v>
      </c>
      <c r="AQ20">
        <f ca="1">IF(AND($B$64=1,LEN($AQ$31) * LEN($AQ$43)&gt;0),$AQ$31+$AQ$43,HLOOKUP(INDIRECT(ADDRESS(2,COLUMN())),OFFSET($AT$2,0,0,ROW()-1,40),ROW()-1,FALSE))</f>
        <v>1436</v>
      </c>
      <c r="AR20">
        <f ca="1">IF(AND($B$64=1,LEN($AR$31) * LEN($AR$43)&gt;0),$AR$31+$AR$43,HLOOKUP(INDIRECT(ADDRESS(2,COLUMN())),OFFSET($AT$2,0,0,ROW()-1,40),ROW()-1,FALSE))</f>
        <v>1622</v>
      </c>
      <c r="AS20">
        <f ca="1">IF(AND($B$64=1,LEN($AS$31) * LEN($AS$43)&gt;0),$AS$31+$AS$43,HLOOKUP(INDIRECT(ADDRESS(2,COLUMN())),OFFSET($AT$2,0,0,ROW()-1,40),ROW()-1,FALSE))</f>
        <v>1574</v>
      </c>
      <c r="AT20">
        <f>671</f>
        <v>671</v>
      </c>
      <c r="AU20">
        <f>507</f>
        <v>507</v>
      </c>
      <c r="AV20">
        <f>478</f>
        <v>478</v>
      </c>
      <c r="AW20">
        <f>502</f>
        <v>502</v>
      </c>
      <c r="AX20">
        <f>475</f>
        <v>475</v>
      </c>
      <c r="AY20">
        <f>443</f>
        <v>443</v>
      </c>
      <c r="AZ20">
        <f>403</f>
        <v>403</v>
      </c>
      <c r="BA20">
        <f>360</f>
        <v>360</v>
      </c>
      <c r="BB20">
        <f>369</f>
        <v>369</v>
      </c>
      <c r="BC20">
        <f>325</f>
        <v>325</v>
      </c>
      <c r="BD20">
        <f>590</f>
        <v>590</v>
      </c>
      <c r="BE20">
        <f>396</f>
        <v>396</v>
      </c>
      <c r="BF20">
        <f>299</f>
        <v>299</v>
      </c>
      <c r="BG20">
        <f>435</f>
        <v>435</v>
      </c>
      <c r="BH20">
        <f>515</f>
        <v>515</v>
      </c>
      <c r="BI20">
        <f>476</f>
        <v>476</v>
      </c>
      <c r="BJ20">
        <f>413</f>
        <v>413</v>
      </c>
      <c r="BK20">
        <f>423</f>
        <v>423</v>
      </c>
      <c r="BL20">
        <f>466</f>
        <v>466</v>
      </c>
      <c r="BM20">
        <f>537</f>
        <v>537</v>
      </c>
      <c r="BN20">
        <f>499</f>
        <v>499</v>
      </c>
      <c r="BO20">
        <f>565</f>
        <v>565</v>
      </c>
      <c r="BP20">
        <f>649</f>
        <v>649</v>
      </c>
      <c r="BQ20">
        <f>559</f>
        <v>559</v>
      </c>
      <c r="BR20">
        <f>743</f>
        <v>743</v>
      </c>
      <c r="BS20">
        <f>651</f>
        <v>651</v>
      </c>
      <c r="BT20">
        <f>679</f>
        <v>679</v>
      </c>
      <c r="BU20">
        <f>761</f>
        <v>761</v>
      </c>
      <c r="BV20">
        <f>761</f>
        <v>761</v>
      </c>
      <c r="BW20">
        <f>821</f>
        <v>821</v>
      </c>
      <c r="BX20">
        <f>665</f>
        <v>665</v>
      </c>
      <c r="BY20">
        <f>700</f>
        <v>700</v>
      </c>
      <c r="BZ20">
        <f>512</f>
        <v>512</v>
      </c>
      <c r="CA20">
        <f>848</f>
        <v>848</v>
      </c>
      <c r="CB20">
        <f>2055</f>
        <v>2055</v>
      </c>
      <c r="CC20">
        <f>1808</f>
        <v>1808</v>
      </c>
      <c r="CD20">
        <f>1524</f>
        <v>1524</v>
      </c>
      <c r="CE20">
        <f>1436</f>
        <v>1436</v>
      </c>
      <c r="CF20">
        <f>1622</f>
        <v>1622</v>
      </c>
      <c r="CG20">
        <f>1574</f>
        <v>1574</v>
      </c>
    </row>
    <row r="21" spans="1:85" x14ac:dyDescent="0.25">
      <c r="A21" t="str">
        <f>"    Mercedes-Benz"</f>
        <v xml:space="preserve">    Mercedes-Benz</v>
      </c>
      <c r="B21" t="str">
        <f>""</f>
        <v/>
      </c>
      <c r="E21" t="str">
        <f t="shared" si="1"/>
        <v>Expression</v>
      </c>
      <c r="F21">
        <f ca="1">IF(AND($B$64=1,LEN($F$32) * LEN($F$41)&gt;0),$F$32+$F$41,HLOOKUP(INDIRECT(ADDRESS(2,COLUMN())),OFFSET($AT$2,0,0,ROW()-1,40),ROW()-1,FALSE))</f>
        <v>753</v>
      </c>
      <c r="G21">
        <f ca="1">IF(AND($B$64=1,LEN($G$32) * LEN($G$41)&gt;0),$G$32+$G$41,HLOOKUP(INDIRECT(ADDRESS(2,COLUMN())),OFFSET($AT$2,0,0,ROW()-1,40),ROW()-1,FALSE))</f>
        <v>772</v>
      </c>
      <c r="H21">
        <f ca="1">IF(AND($B$64=1,LEN($H$32) * LEN($H$41)&gt;0),$H$32+$H$41,HLOOKUP(INDIRECT(ADDRESS(2,COLUMN())),OFFSET($AT$2,0,0,ROW()-1,40),ROW()-1,FALSE))</f>
        <v>965</v>
      </c>
      <c r="I21">
        <f ca="1">IF(AND($B$64=1,LEN($I$32) * LEN($I$41)&gt;0),$I$32+$I$41,HLOOKUP(INDIRECT(ADDRESS(2,COLUMN())),OFFSET($AT$2,0,0,ROW()-1,40),ROW()-1,FALSE))</f>
        <v>695</v>
      </c>
      <c r="J21">
        <f ca="1">IF(AND($B$64=1,LEN($J$32) * LEN($J$41)&gt;0),$J$32+$J$41,HLOOKUP(INDIRECT(ADDRESS(2,COLUMN())),OFFSET($AT$2,0,0,ROW()-1,40),ROW()-1,FALSE))</f>
        <v>732</v>
      </c>
      <c r="K21">
        <f ca="1">IF(AND($B$64=1,LEN($K$32) * LEN($K$41)&gt;0),$K$32+$K$41,HLOOKUP(INDIRECT(ADDRESS(2,COLUMN())),OFFSET($AT$2,0,0,ROW()-1,40),ROW()-1,FALSE))</f>
        <v>721</v>
      </c>
      <c r="L21">
        <f ca="1">IF(AND($B$64=1,LEN($L$32) * LEN($L$41)&gt;0),$L$32+$L$41,HLOOKUP(INDIRECT(ADDRESS(2,COLUMN())),OFFSET($AT$2,0,0,ROW()-1,40),ROW()-1,FALSE))</f>
        <v>533</v>
      </c>
      <c r="M21">
        <f ca="1">IF(AND($B$64=1,LEN($M$32) * LEN($M$41)&gt;0),$M$32+$M$41,HLOOKUP(INDIRECT(ADDRESS(2,COLUMN())),OFFSET($AT$2,0,0,ROW()-1,40),ROW()-1,FALSE))</f>
        <v>811</v>
      </c>
      <c r="N21">
        <f ca="1">IF(AND($B$64=1,LEN($N$32) * LEN($N$41)&gt;0),$N$32+$N$41,HLOOKUP(INDIRECT(ADDRESS(2,COLUMN())),OFFSET($AT$2,0,0,ROW()-1,40),ROW()-1,FALSE))</f>
        <v>499</v>
      </c>
      <c r="O21">
        <f ca="1">IF(AND($B$64=1,LEN($O$32) * LEN($O$41)&gt;0),$O$32+$O$41,HLOOKUP(INDIRECT(ADDRESS(2,COLUMN())),OFFSET($AT$2,0,0,ROW()-1,40),ROW()-1,FALSE))</f>
        <v>541</v>
      </c>
      <c r="P21">
        <f ca="1">IF(AND($B$64=1,LEN($P$32) * LEN($P$41)&gt;0),$P$32+$P$41,HLOOKUP(INDIRECT(ADDRESS(2,COLUMN())),OFFSET($AT$2,0,0,ROW()-1,40),ROW()-1,FALSE))</f>
        <v>729</v>
      </c>
      <c r="Q21">
        <f ca="1">IF(AND($B$64=1,LEN($Q$32) * LEN($Q$41)&gt;0),$Q$32+$Q$41,HLOOKUP(INDIRECT(ADDRESS(2,COLUMN())),OFFSET($AT$2,0,0,ROW()-1,40),ROW()-1,FALSE))</f>
        <v>707</v>
      </c>
      <c r="R21">
        <f ca="1">IF(AND($B$64=1,LEN($R$32) * LEN($R$41)&gt;0),$R$32+$R$41,HLOOKUP(INDIRECT(ADDRESS(2,COLUMN())),OFFSET($AT$2,0,0,ROW()-1,40),ROW()-1,FALSE))</f>
        <v>555</v>
      </c>
      <c r="S21">
        <f ca="1">IF(AND($B$64=1,LEN($S$32) * LEN($S$41)&gt;0),$S$32+$S$41,HLOOKUP(INDIRECT(ADDRESS(2,COLUMN())),OFFSET($AT$2,0,0,ROW()-1,40),ROW()-1,FALSE))</f>
        <v>729</v>
      </c>
      <c r="T21">
        <f ca="1">IF(AND($B$64=1,LEN($T$32) * LEN($T$41)&gt;0),$T$32+$T$41,HLOOKUP(INDIRECT(ADDRESS(2,COLUMN())),OFFSET($AT$2,0,0,ROW()-1,40),ROW()-1,FALSE))</f>
        <v>721</v>
      </c>
      <c r="U21">
        <f ca="1">IF(AND($B$64=1,LEN($U$32) * LEN($U$41)&gt;0),$U$32+$U$41,HLOOKUP(INDIRECT(ADDRESS(2,COLUMN())),OFFSET($AT$2,0,0,ROW()-1,40),ROW()-1,FALSE))</f>
        <v>702</v>
      </c>
      <c r="V21">
        <f ca="1">IF(AND($B$64=1,LEN($V$32) * LEN($V$41)&gt;0),$V$32+$V$41,HLOOKUP(INDIRECT(ADDRESS(2,COLUMN())),OFFSET($AT$2,0,0,ROW()-1,40),ROW()-1,FALSE))</f>
        <v>605</v>
      </c>
      <c r="W21">
        <f ca="1">IF(AND($B$64=1,LEN($W$32) * LEN($W$41)&gt;0),$W$32+$W$41,HLOOKUP(INDIRECT(ADDRESS(2,COLUMN())),OFFSET($AT$2,0,0,ROW()-1,40),ROW()-1,FALSE))</f>
        <v>683</v>
      </c>
      <c r="X21">
        <f ca="1">IF(AND($B$64=1,LEN($X$32) * LEN($X$41)&gt;0),$X$32+$X$41,HLOOKUP(INDIRECT(ADDRESS(2,COLUMN())),OFFSET($AT$2,0,0,ROW()-1,40),ROW()-1,FALSE))</f>
        <v>746</v>
      </c>
      <c r="Y21">
        <f ca="1">IF(AND($B$64=1,LEN($Y$32) * LEN($Y$41)&gt;0),$Y$32+$Y$41,HLOOKUP(INDIRECT(ADDRESS(2,COLUMN())),OFFSET($AT$2,0,0,ROW()-1,40),ROW()-1,FALSE))</f>
        <v>1019</v>
      </c>
      <c r="Z21">
        <f ca="1">IF(AND($B$64=1,LEN($Z$32) * LEN($Z$41)&gt;0),$Z$32+$Z$41,HLOOKUP(INDIRECT(ADDRESS(2,COLUMN())),OFFSET($AT$2,0,0,ROW()-1,40),ROW()-1,FALSE))</f>
        <v>694</v>
      </c>
      <c r="AA21">
        <f ca="1">IF(AND($B$64=1,LEN($AA$32) * LEN($AA$41)&gt;0),$AA$32+$AA$41,HLOOKUP(INDIRECT(ADDRESS(2,COLUMN())),OFFSET($AT$2,0,0,ROW()-1,40),ROW()-1,FALSE))</f>
        <v>714</v>
      </c>
      <c r="AB21">
        <f ca="1">IF(AND($B$64=1,LEN($AB$32) * LEN($AB$41)&gt;0),$AB$32+$AB$41,HLOOKUP(INDIRECT(ADDRESS(2,COLUMN())),OFFSET($AT$2,0,0,ROW()-1,40),ROW()-1,FALSE))</f>
        <v>861</v>
      </c>
      <c r="AC21">
        <f ca="1">IF(AND($B$64=1,LEN($AC$32) * LEN($AC$41)&gt;0),$AC$32+$AC$41,HLOOKUP(INDIRECT(ADDRESS(2,COLUMN())),OFFSET($AT$2,0,0,ROW()-1,40),ROW()-1,FALSE))</f>
        <v>700</v>
      </c>
      <c r="AD21">
        <f ca="1">IF(AND($B$64=1,LEN($AD$32) * LEN($AD$41)&gt;0),$AD$32+$AD$41,HLOOKUP(INDIRECT(ADDRESS(2,COLUMN())),OFFSET($AT$2,0,0,ROW()-1,40),ROW()-1,FALSE))</f>
        <v>970</v>
      </c>
      <c r="AE21">
        <f ca="1">IF(AND($B$64=1,LEN($AE$32) * LEN($AE$41)&gt;0),$AE$32+$AE$41,HLOOKUP(INDIRECT(ADDRESS(2,COLUMN())),OFFSET($AT$2,0,0,ROW()-1,40),ROW()-1,FALSE))</f>
        <v>866</v>
      </c>
      <c r="AF21">
        <f ca="1">IF(AND($B$64=1,LEN($AF$32) * LEN($AF$41)&gt;0),$AF$32+$AF$41,HLOOKUP(INDIRECT(ADDRESS(2,COLUMN())),OFFSET($AT$2,0,0,ROW()-1,40),ROW()-1,FALSE))</f>
        <v>968</v>
      </c>
      <c r="AG21">
        <f ca="1">IF(AND($B$64=1,LEN($AG$32) * LEN($AG$41)&gt;0),$AG$32+$AG$41,HLOOKUP(INDIRECT(ADDRESS(2,COLUMN())),OFFSET($AT$2,0,0,ROW()-1,40),ROW()-1,FALSE))</f>
        <v>1160</v>
      </c>
      <c r="AH21">
        <f ca="1">IF(AND($B$64=1,LEN($AH$32) * LEN($AH$41)&gt;0),$AH$32+$AH$41,HLOOKUP(INDIRECT(ADDRESS(2,COLUMN())),OFFSET($AT$2,0,0,ROW()-1,40),ROW()-1,FALSE))</f>
        <v>986</v>
      </c>
      <c r="AI21">
        <f ca="1">IF(AND($B$64=1,LEN($AI$32) * LEN($AI$41)&gt;0),$AI$32+$AI$41,HLOOKUP(INDIRECT(ADDRESS(2,COLUMN())),OFFSET($AT$2,0,0,ROW()-1,40),ROW()-1,FALSE))</f>
        <v>953</v>
      </c>
      <c r="AJ21">
        <f ca="1">IF(AND($B$64=1,LEN($AJ$32) * LEN($AJ$41)&gt;0),$AJ$32+$AJ$41,HLOOKUP(INDIRECT(ADDRESS(2,COLUMN())),OFFSET($AT$2,0,0,ROW()-1,40),ROW()-1,FALSE))</f>
        <v>917</v>
      </c>
      <c r="AK21">
        <f ca="1">IF(AND($B$64=1,LEN($AK$32) * LEN($AK$41)&gt;0),$AK$32+$AK$41,HLOOKUP(INDIRECT(ADDRESS(2,COLUMN())),OFFSET($AT$2,0,0,ROW()-1,40),ROW()-1,FALSE))</f>
        <v>904</v>
      </c>
      <c r="AL21">
        <f ca="1">IF(AND($B$64=1,LEN($AL$32) * LEN($AL$41)&gt;0),$AL$32+$AL$41,HLOOKUP(INDIRECT(ADDRESS(2,COLUMN())),OFFSET($AT$2,0,0,ROW()-1,40),ROW()-1,FALSE))</f>
        <v>660</v>
      </c>
      <c r="AM21">
        <f ca="1">IF(AND($B$64=1,LEN($AM$32) * LEN($AM$41)&gt;0),$AM$32+$AM$41,HLOOKUP(INDIRECT(ADDRESS(2,COLUMN())),OFFSET($AT$2,0,0,ROW()-1,40),ROW()-1,FALSE))</f>
        <v>1005</v>
      </c>
      <c r="AN21">
        <f ca="1">IF(AND($B$64=1,LEN($AN$32) * LEN($AN$41)&gt;0),$AN$32+$AN$41,HLOOKUP(INDIRECT(ADDRESS(2,COLUMN())),OFFSET($AT$2,0,0,ROW()-1,40),ROW()-1,FALSE))</f>
        <v>2128</v>
      </c>
      <c r="AO21">
        <f ca="1">IF(AND($B$64=1,LEN($AO$32) * LEN($AO$41)&gt;0),$AO$32+$AO$41,HLOOKUP(INDIRECT(ADDRESS(2,COLUMN())),OFFSET($AT$2,0,0,ROW()-1,40),ROW()-1,FALSE))</f>
        <v>1900</v>
      </c>
      <c r="AP21">
        <f ca="1">IF(AND($B$64=1,LEN($AP$32) * LEN($AP$41)&gt;0),$AP$32+$AP$41,HLOOKUP(INDIRECT(ADDRESS(2,COLUMN())),OFFSET($AT$2,0,0,ROW()-1,40),ROW()-1,FALSE))</f>
        <v>2264</v>
      </c>
      <c r="AQ21">
        <f ca="1">IF(AND($B$64=1,LEN($AQ$32) * LEN($AQ$41)&gt;0),$AQ$32+$AQ$41,HLOOKUP(INDIRECT(ADDRESS(2,COLUMN())),OFFSET($AT$2,0,0,ROW()-1,40),ROW()-1,FALSE))</f>
        <v>1839</v>
      </c>
      <c r="AR21">
        <f ca="1">IF(AND($B$64=1,LEN($AR$32) * LEN($AR$41)&gt;0),$AR$32+$AR$41,HLOOKUP(INDIRECT(ADDRESS(2,COLUMN())),OFFSET($AT$2,0,0,ROW()-1,40),ROW()-1,FALSE))</f>
        <v>1731</v>
      </c>
      <c r="AS21">
        <f ca="1">IF(AND($B$64=1,LEN($AS$32) * LEN($AS$41)&gt;0),$AS$32+$AS$41,HLOOKUP(INDIRECT(ADDRESS(2,COLUMN())),OFFSET($AT$2,0,0,ROW()-1,40),ROW()-1,FALSE))</f>
        <v>2194</v>
      </c>
      <c r="AT21">
        <f>753</f>
        <v>753</v>
      </c>
      <c r="AU21">
        <f>772</f>
        <v>772</v>
      </c>
      <c r="AV21">
        <f>965</f>
        <v>965</v>
      </c>
      <c r="AW21">
        <f>695</f>
        <v>695</v>
      </c>
      <c r="AX21">
        <f>732</f>
        <v>732</v>
      </c>
      <c r="AY21">
        <f>721</f>
        <v>721</v>
      </c>
      <c r="AZ21">
        <f>533</f>
        <v>533</v>
      </c>
      <c r="BA21">
        <f>811</f>
        <v>811</v>
      </c>
      <c r="BB21">
        <f>499</f>
        <v>499</v>
      </c>
      <c r="BC21">
        <f>541</f>
        <v>541</v>
      </c>
      <c r="BD21">
        <f>729</f>
        <v>729</v>
      </c>
      <c r="BE21">
        <f>707</f>
        <v>707</v>
      </c>
      <c r="BF21">
        <f>555</f>
        <v>555</v>
      </c>
      <c r="BG21">
        <f>729</f>
        <v>729</v>
      </c>
      <c r="BH21">
        <f>721</f>
        <v>721</v>
      </c>
      <c r="BI21">
        <f>702</f>
        <v>702</v>
      </c>
      <c r="BJ21">
        <f>605</f>
        <v>605</v>
      </c>
      <c r="BK21">
        <f>683</f>
        <v>683</v>
      </c>
      <c r="BL21">
        <f>746</f>
        <v>746</v>
      </c>
      <c r="BM21">
        <f>1019</f>
        <v>1019</v>
      </c>
      <c r="BN21">
        <f>694</f>
        <v>694</v>
      </c>
      <c r="BO21">
        <f>714</f>
        <v>714</v>
      </c>
      <c r="BP21">
        <f>861</f>
        <v>861</v>
      </c>
      <c r="BQ21">
        <f>700</f>
        <v>700</v>
      </c>
      <c r="BR21">
        <f>970</f>
        <v>970</v>
      </c>
      <c r="BS21">
        <f>866</f>
        <v>866</v>
      </c>
      <c r="BT21">
        <f>968</f>
        <v>968</v>
      </c>
      <c r="BU21">
        <f>1160</f>
        <v>1160</v>
      </c>
      <c r="BV21">
        <f>986</f>
        <v>986</v>
      </c>
      <c r="BW21">
        <f>953</f>
        <v>953</v>
      </c>
      <c r="BX21">
        <f>917</f>
        <v>917</v>
      </c>
      <c r="BY21">
        <f>904</f>
        <v>904</v>
      </c>
      <c r="BZ21">
        <f>660</f>
        <v>660</v>
      </c>
      <c r="CA21">
        <f>1005</f>
        <v>1005</v>
      </c>
      <c r="CB21">
        <f>2128</f>
        <v>2128</v>
      </c>
      <c r="CC21">
        <f>1900</f>
        <v>1900</v>
      </c>
      <c r="CD21">
        <f>2264</f>
        <v>2264</v>
      </c>
      <c r="CE21">
        <f>1839</f>
        <v>1839</v>
      </c>
      <c r="CF21">
        <f>1731</f>
        <v>1731</v>
      </c>
      <c r="CG21">
        <f>2194</f>
        <v>2194</v>
      </c>
    </row>
    <row r="22" spans="1:85" x14ac:dyDescent="0.25">
      <c r="A22" t="str">
        <f>"    MAN"</f>
        <v xml:space="preserve">    MAN</v>
      </c>
      <c r="B22" t="str">
        <f>""</f>
        <v/>
      </c>
      <c r="E22" t="str">
        <f t="shared" si="1"/>
        <v>Expression</v>
      </c>
      <c r="F22">
        <f ca="1">IF(AND($B$64=1,LEN($F$33) * LEN($F$40)&gt;0),$F$33+$F$40,HLOOKUP(INDIRECT(ADDRESS(2,COLUMN())),OFFSET($AT$2,0,0,ROW()-1,40),ROW()-1,FALSE))</f>
        <v>775</v>
      </c>
      <c r="G22">
        <f ca="1">IF(AND($B$64=1,LEN($G$33) * LEN($G$40)&gt;0),$G$33+$G$40,HLOOKUP(INDIRECT(ADDRESS(2,COLUMN())),OFFSET($AT$2,0,0,ROW()-1,40),ROW()-1,FALSE))</f>
        <v>722</v>
      </c>
      <c r="H22">
        <f ca="1">IF(AND($B$64=1,LEN($H$33) * LEN($H$40)&gt;0),$H$33+$H$40,HLOOKUP(INDIRECT(ADDRESS(2,COLUMN())),OFFSET($AT$2,0,0,ROW()-1,40),ROW()-1,FALSE))</f>
        <v>680</v>
      </c>
      <c r="I22">
        <f ca="1">IF(AND($B$64=1,LEN($I$33) * LEN($I$40)&gt;0),$I$33+$I$40,HLOOKUP(INDIRECT(ADDRESS(2,COLUMN())),OFFSET($AT$2,0,0,ROW()-1,40),ROW()-1,FALSE))</f>
        <v>588</v>
      </c>
      <c r="J22">
        <f ca="1">IF(AND($B$64=1,LEN($J$33) * LEN($J$40)&gt;0),$J$33+$J$40,HLOOKUP(INDIRECT(ADDRESS(2,COLUMN())),OFFSET($AT$2,0,0,ROW()-1,40),ROW()-1,FALSE))</f>
        <v>517</v>
      </c>
      <c r="K22">
        <f ca="1">IF(AND($B$64=1,LEN($K$33) * LEN($K$40)&gt;0),$K$33+$K$40,HLOOKUP(INDIRECT(ADDRESS(2,COLUMN())),OFFSET($AT$2,0,0,ROW()-1,40),ROW()-1,FALSE))</f>
        <v>543</v>
      </c>
      <c r="L22">
        <f ca="1">IF(AND($B$64=1,LEN($L$33) * LEN($L$40)&gt;0),$L$33+$L$40,HLOOKUP(INDIRECT(ADDRESS(2,COLUMN())),OFFSET($AT$2,0,0,ROW()-1,40),ROW()-1,FALSE))</f>
        <v>518</v>
      </c>
      <c r="M22">
        <f ca="1">IF(AND($B$64=1,LEN($M$33) * LEN($M$40)&gt;0),$M$33+$M$40,HLOOKUP(INDIRECT(ADDRESS(2,COLUMN())),OFFSET($AT$2,0,0,ROW()-1,40),ROW()-1,FALSE))</f>
        <v>416</v>
      </c>
      <c r="N22">
        <f ca="1">IF(AND($B$64=1,LEN($N$33) * LEN($N$40)&gt;0),$N$33+$N$40,HLOOKUP(INDIRECT(ADDRESS(2,COLUMN())),OFFSET($AT$2,0,0,ROW()-1,40),ROW()-1,FALSE))</f>
        <v>250</v>
      </c>
      <c r="O22">
        <f ca="1">IF(AND($B$64=1,LEN($O$33) * LEN($O$40)&gt;0),$O$33+$O$40,HLOOKUP(INDIRECT(ADDRESS(2,COLUMN())),OFFSET($AT$2,0,0,ROW()-1,40),ROW()-1,FALSE))</f>
        <v>329</v>
      </c>
      <c r="P22">
        <f ca="1">IF(AND($B$64=1,LEN($P$33) * LEN($P$40)&gt;0),$P$33+$P$40,HLOOKUP(INDIRECT(ADDRESS(2,COLUMN())),OFFSET($AT$2,0,0,ROW()-1,40),ROW()-1,FALSE))</f>
        <v>561</v>
      </c>
      <c r="Q22">
        <f ca="1">IF(AND($B$64=1,LEN($Q$33) * LEN($Q$40)&gt;0),$Q$33+$Q$40,HLOOKUP(INDIRECT(ADDRESS(2,COLUMN())),OFFSET($AT$2,0,0,ROW()-1,40),ROW()-1,FALSE))</f>
        <v>460</v>
      </c>
      <c r="R22">
        <f ca="1">IF(AND($B$64=1,LEN($R$33) * LEN($R$40)&gt;0),$R$33+$R$40,HLOOKUP(INDIRECT(ADDRESS(2,COLUMN())),OFFSET($AT$2,0,0,ROW()-1,40),ROW()-1,FALSE))</f>
        <v>443</v>
      </c>
      <c r="S22">
        <f ca="1">IF(AND($B$64=1,LEN($S$33) * LEN($S$40)&gt;0),$S$33+$S$40,HLOOKUP(INDIRECT(ADDRESS(2,COLUMN())),OFFSET($AT$2,0,0,ROW()-1,40),ROW()-1,FALSE))</f>
        <v>494</v>
      </c>
      <c r="T22">
        <f ca="1">IF(AND($B$64=1,LEN($T$33) * LEN($T$40)&gt;0),$T$33+$T$40,HLOOKUP(INDIRECT(ADDRESS(2,COLUMN())),OFFSET($AT$2,0,0,ROW()-1,40),ROW()-1,FALSE))</f>
        <v>480</v>
      </c>
      <c r="U22">
        <f ca="1">IF(AND($B$64=1,LEN($U$33) * LEN($U$40)&gt;0),$U$33+$U$40,HLOOKUP(INDIRECT(ADDRESS(2,COLUMN())),OFFSET($AT$2,0,0,ROW()-1,40),ROW()-1,FALSE))</f>
        <v>738</v>
      </c>
      <c r="V22">
        <f ca="1">IF(AND($B$64=1,LEN($V$33) * LEN($V$40)&gt;0),$V$33+$V$40,HLOOKUP(INDIRECT(ADDRESS(2,COLUMN())),OFFSET($AT$2,0,0,ROW()-1,40),ROW()-1,FALSE))</f>
        <v>567</v>
      </c>
      <c r="W22">
        <f ca="1">IF(AND($B$64=1,LEN($W$33) * LEN($W$40)&gt;0),$W$33+$W$40,HLOOKUP(INDIRECT(ADDRESS(2,COLUMN())),OFFSET($AT$2,0,0,ROW()-1,40),ROW()-1,FALSE))</f>
        <v>501</v>
      </c>
      <c r="X22">
        <f ca="1">IF(AND($B$64=1,LEN($X$33) * LEN($X$40)&gt;0),$X$33+$X$40,HLOOKUP(INDIRECT(ADDRESS(2,COLUMN())),OFFSET($AT$2,0,0,ROW()-1,40),ROW()-1,FALSE))</f>
        <v>571</v>
      </c>
      <c r="Y22">
        <f ca="1">IF(AND($B$64=1,LEN($Y$33) * LEN($Y$40)&gt;0),$Y$33+$Y$40,HLOOKUP(INDIRECT(ADDRESS(2,COLUMN())),OFFSET($AT$2,0,0,ROW()-1,40),ROW()-1,FALSE))</f>
        <v>656</v>
      </c>
      <c r="Z22">
        <f ca="1">IF(AND($B$64=1,LEN($Z$33) * LEN($Z$40)&gt;0),$Z$33+$Z$40,HLOOKUP(INDIRECT(ADDRESS(2,COLUMN())),OFFSET($AT$2,0,0,ROW()-1,40),ROW()-1,FALSE))</f>
        <v>504</v>
      </c>
      <c r="AA22">
        <f ca="1">IF(AND($B$64=1,LEN($AA$33) * LEN($AA$40)&gt;0),$AA$33+$AA$40,HLOOKUP(INDIRECT(ADDRESS(2,COLUMN())),OFFSET($AT$2,0,0,ROW()-1,40),ROW()-1,FALSE))</f>
        <v>602</v>
      </c>
      <c r="AB22">
        <f ca="1">IF(AND($B$64=1,LEN($AB$33) * LEN($AB$40)&gt;0),$AB$33+$AB$40,HLOOKUP(INDIRECT(ADDRESS(2,COLUMN())),OFFSET($AT$2,0,0,ROW()-1,40),ROW()-1,FALSE))</f>
        <v>799</v>
      </c>
      <c r="AC22">
        <f ca="1">IF(AND($B$64=1,LEN($AC$33) * LEN($AC$40)&gt;0),$AC$33+$AC$40,HLOOKUP(INDIRECT(ADDRESS(2,COLUMN())),OFFSET($AT$2,0,0,ROW()-1,40),ROW()-1,FALSE))</f>
        <v>657</v>
      </c>
      <c r="AD22">
        <f ca="1">IF(AND($B$64=1,LEN($AD$33) * LEN($AD$40)&gt;0),$AD$33+$AD$40,HLOOKUP(INDIRECT(ADDRESS(2,COLUMN())),OFFSET($AT$2,0,0,ROW()-1,40),ROW()-1,FALSE))</f>
        <v>803</v>
      </c>
      <c r="AE22">
        <f ca="1">IF(AND($B$64=1,LEN($AE$33) * LEN($AE$40)&gt;0),$AE$33+$AE$40,HLOOKUP(INDIRECT(ADDRESS(2,COLUMN())),OFFSET($AT$2,0,0,ROW()-1,40),ROW()-1,FALSE))</f>
        <v>936</v>
      </c>
      <c r="AF22">
        <f ca="1">IF(AND($B$64=1,LEN($AF$33) * LEN($AF$40)&gt;0),$AF$33+$AF$40,HLOOKUP(INDIRECT(ADDRESS(2,COLUMN())),OFFSET($AT$2,0,0,ROW()-1,40),ROW()-1,FALSE))</f>
        <v>681</v>
      </c>
      <c r="AG22">
        <f ca="1">IF(AND($B$64=1,LEN($AG$33) * LEN($AG$40)&gt;0),$AG$33+$AG$40,HLOOKUP(INDIRECT(ADDRESS(2,COLUMN())),OFFSET($AT$2,0,0,ROW()-1,40),ROW()-1,FALSE))</f>
        <v>788</v>
      </c>
      <c r="AH22">
        <f ca="1">IF(AND($B$64=1,LEN($AH$33) * LEN($AH$40)&gt;0),$AH$33+$AH$40,HLOOKUP(INDIRECT(ADDRESS(2,COLUMN())),OFFSET($AT$2,0,0,ROW()-1,40),ROW()-1,FALSE))</f>
        <v>788</v>
      </c>
      <c r="AI22">
        <f ca="1">IF(AND($B$64=1,LEN($AI$33) * LEN($AI$40)&gt;0),$AI$33+$AI$40,HLOOKUP(INDIRECT(ADDRESS(2,COLUMN())),OFFSET($AT$2,0,0,ROW()-1,40),ROW()-1,FALSE))</f>
        <v>759</v>
      </c>
      <c r="AJ22">
        <f ca="1">IF(AND($B$64=1,LEN($AJ$33) * LEN($AJ$40)&gt;0),$AJ$33+$AJ$40,HLOOKUP(INDIRECT(ADDRESS(2,COLUMN())),OFFSET($AT$2,0,0,ROW()-1,40),ROW()-1,FALSE))</f>
        <v>731</v>
      </c>
      <c r="AK22">
        <f ca="1">IF(AND($B$64=1,LEN($AK$33) * LEN($AK$40)&gt;0),$AK$33+$AK$40,HLOOKUP(INDIRECT(ADDRESS(2,COLUMN())),OFFSET($AT$2,0,0,ROW()-1,40),ROW()-1,FALSE))</f>
        <v>1069</v>
      </c>
      <c r="AL22">
        <f ca="1">IF(AND($B$64=1,LEN($AL$33) * LEN($AL$40)&gt;0),$AL$33+$AL$40,HLOOKUP(INDIRECT(ADDRESS(2,COLUMN())),OFFSET($AT$2,0,0,ROW()-1,40),ROW()-1,FALSE))</f>
        <v>798</v>
      </c>
      <c r="AM22">
        <f ca="1">IF(AND($B$64=1,LEN($AM$33) * LEN($AM$40)&gt;0),$AM$33+$AM$40,HLOOKUP(INDIRECT(ADDRESS(2,COLUMN())),OFFSET($AT$2,0,0,ROW()-1,40),ROW()-1,FALSE))</f>
        <v>1157</v>
      </c>
      <c r="AN22">
        <f ca="1">IF(AND($B$64=1,LEN($AN$33) * LEN($AN$40)&gt;0),$AN$33+$AN$40,HLOOKUP(INDIRECT(ADDRESS(2,COLUMN())),OFFSET($AT$2,0,0,ROW()-1,40),ROW()-1,FALSE))</f>
        <v>1866</v>
      </c>
      <c r="AO22">
        <f ca="1">IF(AND($B$64=1,LEN($AO$33) * LEN($AO$40)&gt;0),$AO$33+$AO$40,HLOOKUP(INDIRECT(ADDRESS(2,COLUMN())),OFFSET($AT$2,0,0,ROW()-1,40),ROW()-1,FALSE))</f>
        <v>1753</v>
      </c>
      <c r="AP22">
        <f ca="1">IF(AND($B$64=1,LEN($AP$33) * LEN($AP$40)&gt;0),$AP$33+$AP$40,HLOOKUP(INDIRECT(ADDRESS(2,COLUMN())),OFFSET($AT$2,0,0,ROW()-1,40),ROW()-1,FALSE))</f>
        <v>1759</v>
      </c>
      <c r="AQ22">
        <f ca="1">IF(AND($B$64=1,LEN($AQ$33) * LEN($AQ$40)&gt;0),$AQ$33+$AQ$40,HLOOKUP(INDIRECT(ADDRESS(2,COLUMN())),OFFSET($AT$2,0,0,ROW()-1,40),ROW()-1,FALSE))</f>
        <v>1664</v>
      </c>
      <c r="AR22">
        <f ca="1">IF(AND($B$64=1,LEN($AR$33) * LEN($AR$40)&gt;0),$AR$33+$AR$40,HLOOKUP(INDIRECT(ADDRESS(2,COLUMN())),OFFSET($AT$2,0,0,ROW()-1,40),ROW()-1,FALSE))</f>
        <v>1611</v>
      </c>
      <c r="AS22">
        <f ca="1">IF(AND($B$64=1,LEN($AS$33) * LEN($AS$40)&gt;0),$AS$33+$AS$40,HLOOKUP(INDIRECT(ADDRESS(2,COLUMN())),OFFSET($AT$2,0,0,ROW()-1,40),ROW()-1,FALSE))</f>
        <v>1794</v>
      </c>
      <c r="AT22">
        <f>775</f>
        <v>775</v>
      </c>
      <c r="AU22">
        <f>722</f>
        <v>722</v>
      </c>
      <c r="AV22">
        <f>680</f>
        <v>680</v>
      </c>
      <c r="AW22">
        <f>588</f>
        <v>588</v>
      </c>
      <c r="AX22">
        <f>517</f>
        <v>517</v>
      </c>
      <c r="AY22">
        <f>543</f>
        <v>543</v>
      </c>
      <c r="AZ22">
        <f>518</f>
        <v>518</v>
      </c>
      <c r="BA22">
        <f>416</f>
        <v>416</v>
      </c>
      <c r="BB22">
        <f>250</f>
        <v>250</v>
      </c>
      <c r="BC22">
        <f>329</f>
        <v>329</v>
      </c>
      <c r="BD22">
        <f>561</f>
        <v>561</v>
      </c>
      <c r="BE22">
        <f>460</f>
        <v>460</v>
      </c>
      <c r="BF22">
        <f>443</f>
        <v>443</v>
      </c>
      <c r="BG22">
        <f>494</f>
        <v>494</v>
      </c>
      <c r="BH22">
        <f>480</f>
        <v>480</v>
      </c>
      <c r="BI22">
        <f>738</f>
        <v>738</v>
      </c>
      <c r="BJ22">
        <f>567</f>
        <v>567</v>
      </c>
      <c r="BK22">
        <f>501</f>
        <v>501</v>
      </c>
      <c r="BL22">
        <f>571</f>
        <v>571</v>
      </c>
      <c r="BM22">
        <f>656</f>
        <v>656</v>
      </c>
      <c r="BN22">
        <f>504</f>
        <v>504</v>
      </c>
      <c r="BO22">
        <f>602</f>
        <v>602</v>
      </c>
      <c r="BP22">
        <f>799</f>
        <v>799</v>
      </c>
      <c r="BQ22">
        <f>657</f>
        <v>657</v>
      </c>
      <c r="BR22">
        <f>803</f>
        <v>803</v>
      </c>
      <c r="BS22">
        <f>936</f>
        <v>936</v>
      </c>
      <c r="BT22">
        <f>681</f>
        <v>681</v>
      </c>
      <c r="BU22">
        <f>788</f>
        <v>788</v>
      </c>
      <c r="BV22">
        <f>788</f>
        <v>788</v>
      </c>
      <c r="BW22">
        <f>759</f>
        <v>759</v>
      </c>
      <c r="BX22">
        <f>731</f>
        <v>731</v>
      </c>
      <c r="BY22">
        <f>1069</f>
        <v>1069</v>
      </c>
      <c r="BZ22">
        <f>798</f>
        <v>798</v>
      </c>
      <c r="CA22">
        <f>1157</f>
        <v>1157</v>
      </c>
      <c r="CB22">
        <f>1866</f>
        <v>1866</v>
      </c>
      <c r="CC22">
        <f>1753</f>
        <v>1753</v>
      </c>
      <c r="CD22">
        <f>1759</f>
        <v>1759</v>
      </c>
      <c r="CE22">
        <f>1664</f>
        <v>1664</v>
      </c>
      <c r="CF22">
        <f>1611</f>
        <v>1611</v>
      </c>
      <c r="CG22">
        <f>1794</f>
        <v>1794</v>
      </c>
    </row>
    <row r="23" spans="1:85" x14ac:dyDescent="0.25">
      <c r="A23" t="str">
        <f>"    Ford"</f>
        <v xml:space="preserve">    Ford</v>
      </c>
      <c r="B23" t="str">
        <f>""</f>
        <v/>
      </c>
      <c r="E23" t="str">
        <f t="shared" si="1"/>
        <v>Expression</v>
      </c>
      <c r="F23">
        <f ca="1">IF(AND($B$64=1,LEN($F$35) * LEN($F$42)&gt;0),$F$35+$F$42,HLOOKUP(INDIRECT(ADDRESS(2,COLUMN())),OFFSET($AT$2,0,0,ROW()-1,40),ROW()-1,FALSE))</f>
        <v>176</v>
      </c>
      <c r="G23">
        <f ca="1">IF(AND($B$64=1,LEN($G$35) * LEN($G$42)&gt;0),$G$35+$G$42,HLOOKUP(INDIRECT(ADDRESS(2,COLUMN())),OFFSET($AT$2,0,0,ROW()-1,40),ROW()-1,FALSE))</f>
        <v>204</v>
      </c>
      <c r="H23">
        <f ca="1">IF(AND($B$64=1,LEN($H$35) * LEN($H$42)&gt;0),$H$35+$H$42,HLOOKUP(INDIRECT(ADDRESS(2,COLUMN())),OFFSET($AT$2,0,0,ROW()-1,40),ROW()-1,FALSE))</f>
        <v>241</v>
      </c>
      <c r="I23">
        <f ca="1">IF(AND($B$64=1,LEN($I$35) * LEN($I$42)&gt;0),$I$35+$I$42,HLOOKUP(INDIRECT(ADDRESS(2,COLUMN())),OFFSET($AT$2,0,0,ROW()-1,40),ROW()-1,FALSE))</f>
        <v>194</v>
      </c>
      <c r="J23">
        <f ca="1">IF(AND($B$64=1,LEN($J$35) * LEN($J$42)&gt;0),$J$35+$J$42,HLOOKUP(INDIRECT(ADDRESS(2,COLUMN())),OFFSET($AT$2,0,0,ROW()-1,40),ROW()-1,FALSE))</f>
        <v>184</v>
      </c>
      <c r="K23">
        <f ca="1">IF(AND($B$64=1,LEN($K$35) * LEN($K$42)&gt;0),$K$35+$K$42,HLOOKUP(INDIRECT(ADDRESS(2,COLUMN())),OFFSET($AT$2,0,0,ROW()-1,40),ROW()-1,FALSE))</f>
        <v>205</v>
      </c>
      <c r="L23">
        <f ca="1">IF(AND($B$64=1,LEN($L$35) * LEN($L$42)&gt;0),$L$35+$L$42,HLOOKUP(INDIRECT(ADDRESS(2,COLUMN())),OFFSET($AT$2,0,0,ROW()-1,40),ROW()-1,FALSE))</f>
        <v>158</v>
      </c>
      <c r="M23">
        <f ca="1">IF(AND($B$64=1,LEN($M$35) * LEN($M$42)&gt;0),$M$35+$M$42,HLOOKUP(INDIRECT(ADDRESS(2,COLUMN())),OFFSET($AT$2,0,0,ROW()-1,40),ROW()-1,FALSE))</f>
        <v>203</v>
      </c>
      <c r="N23">
        <f ca="1">IF(AND($B$64=1,LEN($N$35) * LEN($N$42)&gt;0),$N$35+$N$42,HLOOKUP(INDIRECT(ADDRESS(2,COLUMN())),OFFSET($AT$2,0,0,ROW()-1,40),ROW()-1,FALSE))</f>
        <v>94</v>
      </c>
      <c r="O23">
        <f ca="1">IF(AND($B$64=1,LEN($O$35) * LEN($O$42)&gt;0),$O$35+$O$42,HLOOKUP(INDIRECT(ADDRESS(2,COLUMN())),OFFSET($AT$2,0,0,ROW()-1,40),ROW()-1,FALSE))</f>
        <v>193</v>
      </c>
      <c r="P23">
        <f ca="1">IF(AND($B$64=1,LEN($P$35) * LEN($P$42)&gt;0),$P$35+$P$42,HLOOKUP(INDIRECT(ADDRESS(2,COLUMN())),OFFSET($AT$2,0,0,ROW()-1,40),ROW()-1,FALSE))</f>
        <v>194</v>
      </c>
      <c r="Q23">
        <f ca="1">IF(AND($B$64=1,LEN($Q$35) * LEN($Q$42)&gt;0),$Q$35+$Q$42,HLOOKUP(INDIRECT(ADDRESS(2,COLUMN())),OFFSET($AT$2,0,0,ROW()-1,40),ROW()-1,FALSE))</f>
        <v>187</v>
      </c>
      <c r="R23">
        <f ca="1">IF(AND($B$64=1,LEN($R$35) * LEN($R$42)&gt;0),$R$35+$R$42,HLOOKUP(INDIRECT(ADDRESS(2,COLUMN())),OFFSET($AT$2,0,0,ROW()-1,40),ROW()-1,FALSE))</f>
        <v>157</v>
      </c>
      <c r="S23">
        <f ca="1">IF(AND($B$64=1,LEN($S$35) * LEN($S$42)&gt;0),$S$35+$S$42,HLOOKUP(INDIRECT(ADDRESS(2,COLUMN())),OFFSET($AT$2,0,0,ROW()-1,40),ROW()-1,FALSE))</f>
        <v>230</v>
      </c>
      <c r="T23">
        <f ca="1">IF(AND($B$64=1,LEN($T$35) * LEN($T$42)&gt;0),$T$35+$T$42,HLOOKUP(INDIRECT(ADDRESS(2,COLUMN())),OFFSET($AT$2,0,0,ROW()-1,40),ROW()-1,FALSE))</f>
        <v>201</v>
      </c>
      <c r="U23">
        <f ca="1">IF(AND($B$64=1,LEN($U$35) * LEN($U$42)&gt;0),$U$35+$U$42,HLOOKUP(INDIRECT(ADDRESS(2,COLUMN())),OFFSET($AT$2,0,0,ROW()-1,40),ROW()-1,FALSE))</f>
        <v>203</v>
      </c>
      <c r="V23">
        <f ca="1">IF(AND($B$64=1,LEN($V$35) * LEN($V$42)&gt;0),$V$35+$V$42,HLOOKUP(INDIRECT(ADDRESS(2,COLUMN())),OFFSET($AT$2,0,0,ROW()-1,40),ROW()-1,FALSE))</f>
        <v>188</v>
      </c>
      <c r="W23">
        <f ca="1">IF(AND($B$64=1,LEN($W$35) * LEN($W$42)&gt;0),$W$35+$W$42,HLOOKUP(INDIRECT(ADDRESS(2,COLUMN())),OFFSET($AT$2,0,0,ROW()-1,40),ROW()-1,FALSE))</f>
        <v>187</v>
      </c>
      <c r="X23">
        <f ca="1">IF(AND($B$64=1,LEN($X$35) * LEN($X$42)&gt;0),$X$35+$X$42,HLOOKUP(INDIRECT(ADDRESS(2,COLUMN())),OFFSET($AT$2,0,0,ROW()-1,40),ROW()-1,FALSE))</f>
        <v>181</v>
      </c>
      <c r="Y23">
        <f ca="1">IF(AND($B$64=1,LEN($Y$35) * LEN($Y$42)&gt;0),$Y$35+$Y$42,HLOOKUP(INDIRECT(ADDRESS(2,COLUMN())),OFFSET($AT$2,0,0,ROW()-1,40),ROW()-1,FALSE))</f>
        <v>202</v>
      </c>
      <c r="Z23">
        <f ca="1">IF(AND($B$64=1,LEN($Z$35) * LEN($Z$42)&gt;0),$Z$35+$Z$42,HLOOKUP(INDIRECT(ADDRESS(2,COLUMN())),OFFSET($AT$2,0,0,ROW()-1,40),ROW()-1,FALSE))</f>
        <v>203</v>
      </c>
      <c r="AA23">
        <f ca="1">IF(AND($B$64=1,LEN($AA$35) * LEN($AA$42)&gt;0),$AA$35+$AA$42,HLOOKUP(INDIRECT(ADDRESS(2,COLUMN())),OFFSET($AT$2,0,0,ROW()-1,40),ROW()-1,FALSE))</f>
        <v>216</v>
      </c>
      <c r="AB23">
        <f ca="1">IF(AND($B$64=1,LEN($AB$35) * LEN($AB$42)&gt;0),$AB$35+$AB$42,HLOOKUP(INDIRECT(ADDRESS(2,COLUMN())),OFFSET($AT$2,0,0,ROW()-1,40),ROW()-1,FALSE))</f>
        <v>233</v>
      </c>
      <c r="AC23">
        <f ca="1">IF(AND($B$64=1,LEN($AC$35) * LEN($AC$42)&gt;0),$AC$35+$AC$42,HLOOKUP(INDIRECT(ADDRESS(2,COLUMN())),OFFSET($AT$2,0,0,ROW()-1,40),ROW()-1,FALSE))</f>
        <v>185</v>
      </c>
      <c r="AD23">
        <f ca="1">IF(AND($B$64=1,LEN($AD$35) * LEN($AD$42)&gt;0),$AD$35+$AD$42,HLOOKUP(INDIRECT(ADDRESS(2,COLUMN())),OFFSET($AT$2,0,0,ROW()-1,40),ROW()-1,FALSE))</f>
        <v>292</v>
      </c>
      <c r="AE23">
        <f ca="1">IF(AND($B$64=1,LEN($AE$35) * LEN($AE$42)&gt;0),$AE$35+$AE$42,HLOOKUP(INDIRECT(ADDRESS(2,COLUMN())),OFFSET($AT$2,0,0,ROW()-1,40),ROW()-1,FALSE))</f>
        <v>280</v>
      </c>
      <c r="AF23">
        <f ca="1">IF(AND($B$64=1,LEN($AF$35) * LEN($AF$42)&gt;0),$AF$35+$AF$42,HLOOKUP(INDIRECT(ADDRESS(2,COLUMN())),OFFSET($AT$2,0,0,ROW()-1,40),ROW()-1,FALSE))</f>
        <v>304</v>
      </c>
      <c r="AG23">
        <f ca="1">IF(AND($B$64=1,LEN($AG$35) * LEN($AG$42)&gt;0),$AG$35+$AG$42,HLOOKUP(INDIRECT(ADDRESS(2,COLUMN())),OFFSET($AT$2,0,0,ROW()-1,40),ROW()-1,FALSE))</f>
        <v>346</v>
      </c>
      <c r="AH23">
        <f ca="1">IF(AND($B$64=1,LEN($AH$35) * LEN($AH$42)&gt;0),$AH$35+$AH$42,HLOOKUP(INDIRECT(ADDRESS(2,COLUMN())),OFFSET($AT$2,0,0,ROW()-1,40),ROW()-1,FALSE))</f>
        <v>379</v>
      </c>
      <c r="AI23">
        <f ca="1">IF(AND($B$64=1,LEN($AI$35) * LEN($AI$42)&gt;0),$AI$35+$AI$42,HLOOKUP(INDIRECT(ADDRESS(2,COLUMN())),OFFSET($AT$2,0,0,ROW()-1,40),ROW()-1,FALSE))</f>
        <v>314</v>
      </c>
      <c r="AJ23">
        <f ca="1">IF(AND($B$64=1,LEN($AJ$35) * LEN($AJ$42)&gt;0),$AJ$35+$AJ$42,HLOOKUP(INDIRECT(ADDRESS(2,COLUMN())),OFFSET($AT$2,0,0,ROW()-1,40),ROW()-1,FALSE))</f>
        <v>287</v>
      </c>
      <c r="AK23">
        <f ca="1">IF(AND($B$64=1,LEN($AK$35) * LEN($AK$42)&gt;0),$AK$35+$AK$42,HLOOKUP(INDIRECT(ADDRESS(2,COLUMN())),OFFSET($AT$2,0,0,ROW()-1,40),ROW()-1,FALSE))</f>
        <v>319</v>
      </c>
      <c r="AL23">
        <f ca="1">IF(AND($B$64=1,LEN($AL$35) * LEN($AL$42)&gt;0),$AL$35+$AL$42,HLOOKUP(INDIRECT(ADDRESS(2,COLUMN())),OFFSET($AT$2,0,0,ROW()-1,40),ROW()-1,FALSE))</f>
        <v>340</v>
      </c>
      <c r="AM23">
        <f ca="1">IF(AND($B$64=1,LEN($AM$35) * LEN($AM$42)&gt;0),$AM$35+$AM$42,HLOOKUP(INDIRECT(ADDRESS(2,COLUMN())),OFFSET($AT$2,0,0,ROW()-1,40),ROW()-1,FALSE))</f>
        <v>497</v>
      </c>
      <c r="AN23">
        <f ca="1">IF(AND($B$64=1,LEN($AN$35) * LEN($AN$42)&gt;0),$AN$35+$AN$42,HLOOKUP(INDIRECT(ADDRESS(2,COLUMN())),OFFSET($AT$2,0,0,ROW()-1,40),ROW()-1,FALSE))</f>
        <v>812</v>
      </c>
      <c r="AO23">
        <f ca="1">IF(AND($B$64=1,LEN($AO$35) * LEN($AO$42)&gt;0),$AO$35+$AO$42,HLOOKUP(INDIRECT(ADDRESS(2,COLUMN())),OFFSET($AT$2,0,0,ROW()-1,40),ROW()-1,FALSE))</f>
        <v>745</v>
      </c>
      <c r="AP23">
        <f ca="1">IF(AND($B$64=1,LEN($AP$35) * LEN($AP$42)&gt;0),$AP$35+$AP$42,HLOOKUP(INDIRECT(ADDRESS(2,COLUMN())),OFFSET($AT$2,0,0,ROW()-1,40),ROW()-1,FALSE))</f>
        <v>784</v>
      </c>
      <c r="AQ23">
        <f ca="1">IF(AND($B$64=1,LEN($AQ$35) * LEN($AQ$42)&gt;0),$AQ$35+$AQ$42,HLOOKUP(INDIRECT(ADDRESS(2,COLUMN())),OFFSET($AT$2,0,0,ROW()-1,40),ROW()-1,FALSE))</f>
        <v>683</v>
      </c>
      <c r="AR23">
        <f ca="1">IF(AND($B$64=1,LEN($AR$35) * LEN($AR$42)&gt;0),$AR$35+$AR$42,HLOOKUP(INDIRECT(ADDRESS(2,COLUMN())),OFFSET($AT$2,0,0,ROW()-1,40),ROW()-1,FALSE))</f>
        <v>672</v>
      </c>
      <c r="AS23">
        <f ca="1">IF(AND($B$64=1,LEN($AS$35) * LEN($AS$42)&gt;0),$AS$35+$AS$42,HLOOKUP(INDIRECT(ADDRESS(2,COLUMN())),OFFSET($AT$2,0,0,ROW()-1,40),ROW()-1,FALSE))</f>
        <v>902</v>
      </c>
      <c r="AT23">
        <f>176</f>
        <v>176</v>
      </c>
      <c r="AU23">
        <f>204</f>
        <v>204</v>
      </c>
      <c r="AV23">
        <f>241</f>
        <v>241</v>
      </c>
      <c r="AW23">
        <f>194</f>
        <v>194</v>
      </c>
      <c r="AX23">
        <f>184</f>
        <v>184</v>
      </c>
      <c r="AY23">
        <f>205</f>
        <v>205</v>
      </c>
      <c r="AZ23">
        <f>158</f>
        <v>158</v>
      </c>
      <c r="BA23">
        <f>203</f>
        <v>203</v>
      </c>
      <c r="BB23">
        <f>94</f>
        <v>94</v>
      </c>
      <c r="BC23">
        <f>193</f>
        <v>193</v>
      </c>
      <c r="BD23">
        <f>194</f>
        <v>194</v>
      </c>
      <c r="BE23">
        <f>187</f>
        <v>187</v>
      </c>
      <c r="BF23">
        <f>157</f>
        <v>157</v>
      </c>
      <c r="BG23">
        <f>230</f>
        <v>230</v>
      </c>
      <c r="BH23">
        <f>201</f>
        <v>201</v>
      </c>
      <c r="BI23">
        <f>203</f>
        <v>203</v>
      </c>
      <c r="BJ23">
        <f>188</f>
        <v>188</v>
      </c>
      <c r="BK23">
        <f>187</f>
        <v>187</v>
      </c>
      <c r="BL23">
        <f>181</f>
        <v>181</v>
      </c>
      <c r="BM23">
        <f>202</f>
        <v>202</v>
      </c>
      <c r="BN23">
        <f>203</f>
        <v>203</v>
      </c>
      <c r="BO23">
        <f>216</f>
        <v>216</v>
      </c>
      <c r="BP23">
        <f>233</f>
        <v>233</v>
      </c>
      <c r="BQ23">
        <f>185</f>
        <v>185</v>
      </c>
      <c r="BR23">
        <f>292</f>
        <v>292</v>
      </c>
      <c r="BS23">
        <f>280</f>
        <v>280</v>
      </c>
      <c r="BT23">
        <f>304</f>
        <v>304</v>
      </c>
      <c r="BU23">
        <f>346</f>
        <v>346</v>
      </c>
      <c r="BV23">
        <f>379</f>
        <v>379</v>
      </c>
      <c r="BW23">
        <f>314</f>
        <v>314</v>
      </c>
      <c r="BX23">
        <f>287</f>
        <v>287</v>
      </c>
      <c r="BY23">
        <f>319</f>
        <v>319</v>
      </c>
      <c r="BZ23">
        <f>340</f>
        <v>340</v>
      </c>
      <c r="CA23">
        <f>497</f>
        <v>497</v>
      </c>
      <c r="CB23">
        <f>812</f>
        <v>812</v>
      </c>
      <c r="CC23">
        <f>745</f>
        <v>745</v>
      </c>
      <c r="CD23">
        <f>784</f>
        <v>784</v>
      </c>
      <c r="CE23">
        <f>683</f>
        <v>683</v>
      </c>
      <c r="CF23">
        <f>672</f>
        <v>672</v>
      </c>
      <c r="CG23">
        <f>902</f>
        <v>902</v>
      </c>
    </row>
    <row r="24" spans="1:85" x14ac:dyDescent="0.25">
      <c r="A24" t="str">
        <f>"    Iveco"</f>
        <v xml:space="preserve">    Iveco</v>
      </c>
      <c r="B24" t="str">
        <f>""</f>
        <v/>
      </c>
      <c r="E24" t="str">
        <f t="shared" si="1"/>
        <v>Expression</v>
      </c>
      <c r="F24">
        <f ca="1">IF(AND($B$64=1,LEN($F$34) * LEN($F$44)&gt;0),$F$34+$F$44,HLOOKUP(INDIRECT(ADDRESS(2,COLUMN())),OFFSET($AT$2,0,0,ROW()-1,40),ROW()-1,FALSE))</f>
        <v>138</v>
      </c>
      <c r="G24">
        <f ca="1">IF(AND($B$64=1,LEN($G$34) * LEN($G$44)&gt;0),$G$34+$G$44,HLOOKUP(INDIRECT(ADDRESS(2,COLUMN())),OFFSET($AT$2,0,0,ROW()-1,40),ROW()-1,FALSE))</f>
        <v>157</v>
      </c>
      <c r="H24">
        <f ca="1">IF(AND($B$64=1,LEN($H$34) * LEN($H$44)&gt;0),$H$34+$H$44,HLOOKUP(INDIRECT(ADDRESS(2,COLUMN())),OFFSET($AT$2,0,0,ROW()-1,40),ROW()-1,FALSE))</f>
        <v>172</v>
      </c>
      <c r="I24">
        <f ca="1">IF(AND($B$64=1,LEN($I$34) * LEN($I$44)&gt;0),$I$34+$I$44,HLOOKUP(INDIRECT(ADDRESS(2,COLUMN())),OFFSET($AT$2,0,0,ROW()-1,40),ROW()-1,FALSE))</f>
        <v>105</v>
      </c>
      <c r="J24">
        <f ca="1">IF(AND($B$64=1,LEN($J$34) * LEN($J$44)&gt;0),$J$34+$J$44,HLOOKUP(INDIRECT(ADDRESS(2,COLUMN())),OFFSET($AT$2,0,0,ROW()-1,40),ROW()-1,FALSE))</f>
        <v>112</v>
      </c>
      <c r="K24">
        <f ca="1">IF(AND($B$64=1,LEN($K$34) * LEN($K$44)&gt;0),$K$34+$K$44,HLOOKUP(INDIRECT(ADDRESS(2,COLUMN())),OFFSET($AT$2,0,0,ROW()-1,40),ROW()-1,FALSE))</f>
        <v>109</v>
      </c>
      <c r="L24">
        <f ca="1">IF(AND($B$64=1,LEN($L$34) * LEN($L$44)&gt;0),$L$34+$L$44,HLOOKUP(INDIRECT(ADDRESS(2,COLUMN())),OFFSET($AT$2,0,0,ROW()-1,40),ROW()-1,FALSE))</f>
        <v>106</v>
      </c>
      <c r="M24">
        <f ca="1">IF(AND($B$64=1,LEN($M$34) * LEN($M$44)&gt;0),$M$34+$M$44,HLOOKUP(INDIRECT(ADDRESS(2,COLUMN())),OFFSET($AT$2,0,0,ROW()-1,40),ROW()-1,FALSE))</f>
        <v>97</v>
      </c>
      <c r="N24">
        <f ca="1">IF(AND($B$64=1,LEN($N$34) * LEN($N$44)&gt;0),$N$34+$N$44,HLOOKUP(INDIRECT(ADDRESS(2,COLUMN())),OFFSET($AT$2,0,0,ROW()-1,40),ROW()-1,FALSE))</f>
        <v>59</v>
      </c>
      <c r="O24">
        <f ca="1">IF(AND($B$64=1,LEN($O$34) * LEN($O$44)&gt;0),$O$34+$O$44,HLOOKUP(INDIRECT(ADDRESS(2,COLUMN())),OFFSET($AT$2,0,0,ROW()-1,40),ROW()-1,FALSE))</f>
        <v>105</v>
      </c>
      <c r="P24">
        <f ca="1">IF(AND($B$64=1,LEN($P$34) * LEN($P$44)&gt;0),$P$34+$P$44,HLOOKUP(INDIRECT(ADDRESS(2,COLUMN())),OFFSET($AT$2,0,0,ROW()-1,40),ROW()-1,FALSE))</f>
        <v>142</v>
      </c>
      <c r="Q24">
        <f ca="1">IF(AND($B$64=1,LEN($Q$34) * LEN($Q$44)&gt;0),$Q$34+$Q$44,HLOOKUP(INDIRECT(ADDRESS(2,COLUMN())),OFFSET($AT$2,0,0,ROW()-1,40),ROW()-1,FALSE))</f>
        <v>53</v>
      </c>
      <c r="R24">
        <f ca="1">IF(AND($B$64=1,LEN($R$34) * LEN($R$44)&gt;0),$R$34+$R$44,HLOOKUP(INDIRECT(ADDRESS(2,COLUMN())),OFFSET($AT$2,0,0,ROW()-1,40),ROW()-1,FALSE))</f>
        <v>90</v>
      </c>
      <c r="S24">
        <f ca="1">IF(AND($B$64=1,LEN($S$34) * LEN($S$44)&gt;0),$S$34+$S$44,HLOOKUP(INDIRECT(ADDRESS(2,COLUMN())),OFFSET($AT$2,0,0,ROW()-1,40),ROW()-1,FALSE))</f>
        <v>84</v>
      </c>
      <c r="T24">
        <f ca="1">IF(AND($B$64=1,LEN($T$34) * LEN($T$44)&gt;0),$T$34+$T$44,HLOOKUP(INDIRECT(ADDRESS(2,COLUMN())),OFFSET($AT$2,0,0,ROW()-1,40),ROW()-1,FALSE))</f>
        <v>107</v>
      </c>
      <c r="U24">
        <f ca="1">IF(AND($B$64=1,LEN($U$34) * LEN($U$44)&gt;0),$U$34+$U$44,HLOOKUP(INDIRECT(ADDRESS(2,COLUMN())),OFFSET($AT$2,0,0,ROW()-1,40),ROW()-1,FALSE))</f>
        <v>115</v>
      </c>
      <c r="V24">
        <f ca="1">IF(AND($B$64=1,LEN($V$34) * LEN($V$44)&gt;0),$V$34+$V$44,HLOOKUP(INDIRECT(ADDRESS(2,COLUMN())),OFFSET($AT$2,0,0,ROW()-1,40),ROW()-1,FALSE))</f>
        <v>112</v>
      </c>
      <c r="W24">
        <f ca="1">IF(AND($B$64=1,LEN($W$34) * LEN($W$44)&gt;0),$W$34+$W$44,HLOOKUP(INDIRECT(ADDRESS(2,COLUMN())),OFFSET($AT$2,0,0,ROW()-1,40),ROW()-1,FALSE))</f>
        <v>111</v>
      </c>
      <c r="X24">
        <f ca="1">IF(AND($B$64=1,LEN($X$34) * LEN($X$44)&gt;0),$X$34+$X$44,HLOOKUP(INDIRECT(ADDRESS(2,COLUMN())),OFFSET($AT$2,0,0,ROW()-1,40),ROW()-1,FALSE))</f>
        <v>138</v>
      </c>
      <c r="Y24">
        <f ca="1">IF(AND($B$64=1,LEN($Y$34) * LEN($Y$44)&gt;0),$Y$34+$Y$44,HLOOKUP(INDIRECT(ADDRESS(2,COLUMN())),OFFSET($AT$2,0,0,ROW()-1,40),ROW()-1,FALSE))</f>
        <v>133</v>
      </c>
      <c r="Z24">
        <f ca="1">IF(AND($B$64=1,LEN($Z$34) * LEN($Z$44)&gt;0),$Z$34+$Z$44,HLOOKUP(INDIRECT(ADDRESS(2,COLUMN())),OFFSET($AT$2,0,0,ROW()-1,40),ROW()-1,FALSE))</f>
        <v>117</v>
      </c>
      <c r="AA24">
        <f ca="1">IF(AND($B$64=1,LEN($AA$34) * LEN($AA$44)&gt;0),$AA$34+$AA$44,HLOOKUP(INDIRECT(ADDRESS(2,COLUMN())),OFFSET($AT$2,0,0,ROW()-1,40),ROW()-1,FALSE))</f>
        <v>139</v>
      </c>
      <c r="AB24">
        <f ca="1">IF(AND($B$64=1,LEN($AB$34) * LEN($AB$44)&gt;0),$AB$34+$AB$44,HLOOKUP(INDIRECT(ADDRESS(2,COLUMN())),OFFSET($AT$2,0,0,ROW()-1,40),ROW()-1,FALSE))</f>
        <v>295</v>
      </c>
      <c r="AC24">
        <f ca="1">IF(AND($B$64=1,LEN($AC$34) * LEN($AC$44)&gt;0),$AC$34+$AC$44,HLOOKUP(INDIRECT(ADDRESS(2,COLUMN())),OFFSET($AT$2,0,0,ROW()-1,40),ROW()-1,FALSE))</f>
        <v>124</v>
      </c>
      <c r="AD24">
        <f ca="1">IF(AND($B$64=1,LEN($AD$34) * LEN($AD$44)&gt;0),$AD$34+$AD$44,HLOOKUP(INDIRECT(ADDRESS(2,COLUMN())),OFFSET($AT$2,0,0,ROW()-1,40),ROW()-1,FALSE))</f>
        <v>212</v>
      </c>
      <c r="AE24">
        <f ca="1">IF(AND($B$64=1,LEN($AE$34) * LEN($AE$44)&gt;0),$AE$34+$AE$44,HLOOKUP(INDIRECT(ADDRESS(2,COLUMN())),OFFSET($AT$2,0,0,ROW()-1,40),ROW()-1,FALSE))</f>
        <v>174</v>
      </c>
      <c r="AF24">
        <f ca="1">IF(AND($B$64=1,LEN($AF$34) * LEN($AF$44)&gt;0),$AF$34+$AF$44,HLOOKUP(INDIRECT(ADDRESS(2,COLUMN())),OFFSET($AT$2,0,0,ROW()-1,40),ROW()-1,FALSE))</f>
        <v>179</v>
      </c>
      <c r="AG24">
        <f ca="1">IF(AND($B$64=1,LEN($AG$34) * LEN($AG$44)&gt;0),$AG$34+$AG$44,HLOOKUP(INDIRECT(ADDRESS(2,COLUMN())),OFFSET($AT$2,0,0,ROW()-1,40),ROW()-1,FALSE))</f>
        <v>244</v>
      </c>
      <c r="AH24">
        <f ca="1">IF(AND($B$64=1,LEN($AH$34) * LEN($AH$44)&gt;0),$AH$34+$AH$44,HLOOKUP(INDIRECT(ADDRESS(2,COLUMN())),OFFSET($AT$2,0,0,ROW()-1,40),ROW()-1,FALSE))</f>
        <v>279</v>
      </c>
      <c r="AI24">
        <f ca="1">IF(AND($B$64=1,LEN($AI$34) * LEN($AI$44)&gt;0),$AI$34+$AI$44,HLOOKUP(INDIRECT(ADDRESS(2,COLUMN())),OFFSET($AT$2,0,0,ROW()-1,40),ROW()-1,FALSE))</f>
        <v>266</v>
      </c>
      <c r="AJ24">
        <f ca="1">IF(AND($B$64=1,LEN($AJ$34) * LEN($AJ$44)&gt;0),$AJ$34+$AJ$44,HLOOKUP(INDIRECT(ADDRESS(2,COLUMN())),OFFSET($AT$2,0,0,ROW()-1,40),ROW()-1,FALSE))</f>
        <v>216</v>
      </c>
      <c r="AK24">
        <f ca="1">IF(AND($B$64=1,LEN($AK$34) * LEN($AK$44)&gt;0),$AK$34+$AK$44,HLOOKUP(INDIRECT(ADDRESS(2,COLUMN())),OFFSET($AT$2,0,0,ROW()-1,40),ROW()-1,FALSE))</f>
        <v>284</v>
      </c>
      <c r="AL24">
        <f ca="1">IF(AND($B$64=1,LEN($AL$34) * LEN($AL$44)&gt;0),$AL$34+$AL$44,HLOOKUP(INDIRECT(ADDRESS(2,COLUMN())),OFFSET($AT$2,0,0,ROW()-1,40),ROW()-1,FALSE))</f>
        <v>184</v>
      </c>
      <c r="AM24">
        <f ca="1">IF(AND($B$64=1,LEN($AM$34) * LEN($AM$44)&gt;0),$AM$34+$AM$44,HLOOKUP(INDIRECT(ADDRESS(2,COLUMN())),OFFSET($AT$2,0,0,ROW()-1,40),ROW()-1,FALSE))</f>
        <v>245</v>
      </c>
      <c r="AN24">
        <f ca="1">IF(AND($B$64=1,LEN($AN$34) * LEN($AN$44)&gt;0),$AN$34+$AN$44,HLOOKUP(INDIRECT(ADDRESS(2,COLUMN())),OFFSET($AT$2,0,0,ROW()-1,40),ROW()-1,FALSE))</f>
        <v>453</v>
      </c>
      <c r="AO24">
        <f ca="1">IF(AND($B$64=1,LEN($AO$34) * LEN($AO$44)&gt;0),$AO$34+$AO$44,HLOOKUP(INDIRECT(ADDRESS(2,COLUMN())),OFFSET($AT$2,0,0,ROW()-1,40),ROW()-1,FALSE))</f>
        <v>444</v>
      </c>
      <c r="AP24">
        <f ca="1">IF(AND($B$64=1,LEN($AP$34) * LEN($AP$44)&gt;0),$AP$34+$AP$44,HLOOKUP(INDIRECT(ADDRESS(2,COLUMN())),OFFSET($AT$2,0,0,ROW()-1,40),ROW()-1,FALSE))</f>
        <v>407</v>
      </c>
      <c r="AQ24">
        <f ca="1">IF(AND($B$64=1,LEN($AQ$34) * LEN($AQ$44)&gt;0),$AQ$34+$AQ$44,HLOOKUP(INDIRECT(ADDRESS(2,COLUMN())),OFFSET($AT$2,0,0,ROW()-1,40),ROW()-1,FALSE))</f>
        <v>407</v>
      </c>
      <c r="AR24">
        <f ca="1">IF(AND($B$64=1,LEN($AR$34) * LEN($AR$44)&gt;0),$AR$34+$AR$44,HLOOKUP(INDIRECT(ADDRESS(2,COLUMN())),OFFSET($AT$2,0,0,ROW()-1,40),ROW()-1,FALSE))</f>
        <v>373</v>
      </c>
      <c r="AS24">
        <f ca="1">IF(AND($B$64=1,LEN($AS$34) * LEN($AS$44)&gt;0),$AS$34+$AS$44,HLOOKUP(INDIRECT(ADDRESS(2,COLUMN())),OFFSET($AT$2,0,0,ROW()-1,40),ROW()-1,FALSE))</f>
        <v>464</v>
      </c>
      <c r="AT24">
        <f>138</f>
        <v>138</v>
      </c>
      <c r="AU24">
        <f>157</f>
        <v>157</v>
      </c>
      <c r="AV24">
        <f>172</f>
        <v>172</v>
      </c>
      <c r="AW24">
        <f>105</f>
        <v>105</v>
      </c>
      <c r="AX24">
        <f>112</f>
        <v>112</v>
      </c>
      <c r="AY24">
        <f>109</f>
        <v>109</v>
      </c>
      <c r="AZ24">
        <f>106</f>
        <v>106</v>
      </c>
      <c r="BA24">
        <f>97</f>
        <v>97</v>
      </c>
      <c r="BB24">
        <f>59</f>
        <v>59</v>
      </c>
      <c r="BC24">
        <f>105</f>
        <v>105</v>
      </c>
      <c r="BD24">
        <f>142</f>
        <v>142</v>
      </c>
      <c r="BE24">
        <f>53</f>
        <v>53</v>
      </c>
      <c r="BF24">
        <f>90</f>
        <v>90</v>
      </c>
      <c r="BG24">
        <f>84</f>
        <v>84</v>
      </c>
      <c r="BH24">
        <f>107</f>
        <v>107</v>
      </c>
      <c r="BI24">
        <f>115</f>
        <v>115</v>
      </c>
      <c r="BJ24">
        <f>112</f>
        <v>112</v>
      </c>
      <c r="BK24">
        <f>111</f>
        <v>111</v>
      </c>
      <c r="BL24">
        <f>138</f>
        <v>138</v>
      </c>
      <c r="BM24">
        <f>133</f>
        <v>133</v>
      </c>
      <c r="BN24">
        <f>117</f>
        <v>117</v>
      </c>
      <c r="BO24">
        <f>139</f>
        <v>139</v>
      </c>
      <c r="BP24">
        <f>295</f>
        <v>295</v>
      </c>
      <c r="BQ24">
        <f>124</f>
        <v>124</v>
      </c>
      <c r="BR24">
        <f>212</f>
        <v>212</v>
      </c>
      <c r="BS24">
        <f>174</f>
        <v>174</v>
      </c>
      <c r="BT24">
        <f>179</f>
        <v>179</v>
      </c>
      <c r="BU24">
        <f>244</f>
        <v>244</v>
      </c>
      <c r="BV24">
        <f>279</f>
        <v>279</v>
      </c>
      <c r="BW24">
        <f>266</f>
        <v>266</v>
      </c>
      <c r="BX24">
        <f>216</f>
        <v>216</v>
      </c>
      <c r="BY24">
        <f>284</f>
        <v>284</v>
      </c>
      <c r="BZ24">
        <f>184</f>
        <v>184</v>
      </c>
      <c r="CA24">
        <f>245</f>
        <v>245</v>
      </c>
      <c r="CB24">
        <f>453</f>
        <v>453</v>
      </c>
      <c r="CC24">
        <f>444</f>
        <v>444</v>
      </c>
      <c r="CD24">
        <f>407</f>
        <v>407</v>
      </c>
      <c r="CE24">
        <f>407</f>
        <v>407</v>
      </c>
      <c r="CF24">
        <f>373</f>
        <v>373</v>
      </c>
      <c r="CG24">
        <f>464</f>
        <v>464</v>
      </c>
    </row>
    <row r="25" spans="1:85" x14ac:dyDescent="0.25">
      <c r="A25" t="str">
        <f>"    International"</f>
        <v xml:space="preserve">    International</v>
      </c>
      <c r="B25" t="str">
        <f>""</f>
        <v/>
      </c>
      <c r="E25" t="str">
        <f t="shared" si="1"/>
        <v>Expression</v>
      </c>
      <c r="F25">
        <f ca="1">IF(AND($B$64=1,LEN($F$36) * LEN($F$46)&gt;0),$F$36+$F$46,HLOOKUP(INDIRECT(ADDRESS(2,COLUMN())),OFFSET($AT$2,0,0,ROW()-1,40),ROW()-1,FALSE))</f>
        <v>0</v>
      </c>
      <c r="G25">
        <f ca="1">IF(AND($B$64=1,LEN($G$36) * LEN($G$46)&gt;0),$G$36+$G$46,HLOOKUP(INDIRECT(ADDRESS(2,COLUMN())),OFFSET($AT$2,0,0,ROW()-1,40),ROW()-1,FALSE))</f>
        <v>1</v>
      </c>
      <c r="H25">
        <f ca="1">IF(AND($B$64=1,LEN($H$36) * LEN($H$46)&gt;0),$H$36+$H$46,HLOOKUP(INDIRECT(ADDRESS(2,COLUMN())),OFFSET($AT$2,0,0,ROW()-1,40),ROW()-1,FALSE))</f>
        <v>2</v>
      </c>
      <c r="I25">
        <f ca="1">IF(AND($B$64=1,LEN($I$36) * LEN($I$46)&gt;0),$I$36+$I$46,HLOOKUP(INDIRECT(ADDRESS(2,COLUMN())),OFFSET($AT$2,0,0,ROW()-1,40),ROW()-1,FALSE))</f>
        <v>0</v>
      </c>
      <c r="J25">
        <f ca="1">IF(AND($B$64=1,LEN($J$36) * LEN($J$46)&gt;0),$J$36+$J$46,HLOOKUP(INDIRECT(ADDRESS(2,COLUMN())),OFFSET($AT$2,0,0,ROW()-1,40),ROW()-1,FALSE))</f>
        <v>1</v>
      </c>
      <c r="K25">
        <f ca="1">IF(AND($B$64=1,LEN($K$36) * LEN($K$46)&gt;0),$K$36+$K$46,HLOOKUP(INDIRECT(ADDRESS(2,COLUMN())),OFFSET($AT$2,0,0,ROW()-1,40),ROW()-1,FALSE))</f>
        <v>6</v>
      </c>
      <c r="L25">
        <f ca="1">IF(AND($B$64=1,LEN($L$36) * LEN($L$46)&gt;0),$L$36+$L$46,HLOOKUP(INDIRECT(ADDRESS(2,COLUMN())),OFFSET($AT$2,0,0,ROW()-1,40),ROW()-1,FALSE))</f>
        <v>7</v>
      </c>
      <c r="M25">
        <f ca="1">IF(AND($B$64=1,LEN($M$36) * LEN($M$46)&gt;0),$M$36+$M$46,HLOOKUP(INDIRECT(ADDRESS(2,COLUMN())),OFFSET($AT$2,0,0,ROW()-1,40),ROW()-1,FALSE))</f>
        <v>1</v>
      </c>
      <c r="N25">
        <f ca="1">IF(AND($B$64=1,LEN($N$36) * LEN($N$46)&gt;0),$N$36+$N$46,HLOOKUP(INDIRECT(ADDRESS(2,COLUMN())),OFFSET($AT$2,0,0,ROW()-1,40),ROW()-1,FALSE))</f>
        <v>5</v>
      </c>
      <c r="O25">
        <f ca="1">IF(AND($B$64=1,LEN($O$36) * LEN($O$46)&gt;0),$O$36+$O$46,HLOOKUP(INDIRECT(ADDRESS(2,COLUMN())),OFFSET($AT$2,0,0,ROW()-1,40),ROW()-1,FALSE))</f>
        <v>8</v>
      </c>
      <c r="P25">
        <f ca="1">IF(AND($B$64=1,LEN($P$36) * LEN($P$46)&gt;0),$P$36+$P$46,HLOOKUP(INDIRECT(ADDRESS(2,COLUMN())),OFFSET($AT$2,0,0,ROW()-1,40),ROW()-1,FALSE))</f>
        <v>9</v>
      </c>
      <c r="Q25">
        <f ca="1">IF(AND($B$64=1,LEN($Q$36) * LEN($Q$46)&gt;0),$Q$36+$Q$46,HLOOKUP(INDIRECT(ADDRESS(2,COLUMN())),OFFSET($AT$2,0,0,ROW()-1,40),ROW()-1,FALSE))</f>
        <v>8</v>
      </c>
      <c r="R25">
        <f ca="1">IF(AND($B$64=1,LEN($R$36) * LEN($R$46)&gt;0),$R$36+$R$46,HLOOKUP(INDIRECT(ADDRESS(2,COLUMN())),OFFSET($AT$2,0,0,ROW()-1,40),ROW()-1,FALSE))</f>
        <v>14</v>
      </c>
      <c r="S25">
        <f ca="1">IF(AND($B$64=1,LEN($S$36) * LEN($S$46)&gt;0),$S$36+$S$46,HLOOKUP(INDIRECT(ADDRESS(2,COLUMN())),OFFSET($AT$2,0,0,ROW()-1,40),ROW()-1,FALSE))</f>
        <v>6</v>
      </c>
      <c r="T25">
        <f ca="1">IF(AND($B$64=1,LEN($T$36) * LEN($T$46)&gt;0),$T$36+$T$46,HLOOKUP(INDIRECT(ADDRESS(2,COLUMN())),OFFSET($AT$2,0,0,ROW()-1,40),ROW()-1,FALSE))</f>
        <v>2</v>
      </c>
      <c r="U25">
        <f ca="1">IF(AND($B$64=1,LEN($U$36) * LEN($U$46)&gt;0),$U$36+$U$46,HLOOKUP(INDIRECT(ADDRESS(2,COLUMN())),OFFSET($AT$2,0,0,ROW()-1,40),ROW()-1,FALSE))</f>
        <v>6</v>
      </c>
      <c r="V25">
        <f ca="1">IF(AND($B$64=1,LEN($V$36) * LEN($V$46)&gt;0),$V$36+$V$46,HLOOKUP(INDIRECT(ADDRESS(2,COLUMN())),OFFSET($AT$2,0,0,ROW()-1,40),ROW()-1,FALSE))</f>
        <v>3</v>
      </c>
      <c r="W25">
        <f ca="1">IF(AND($B$64=1,LEN($W$36) * LEN($W$46)&gt;0),$W$36+$W$46,HLOOKUP(INDIRECT(ADDRESS(2,COLUMN())),OFFSET($AT$2,0,0,ROW()-1,40),ROW()-1,FALSE))</f>
        <v>3</v>
      </c>
      <c r="X25">
        <f ca="1">IF(AND($B$64=1,LEN($X$36) * LEN($X$46)&gt;0),$X$36+$X$46,HLOOKUP(INDIRECT(ADDRESS(2,COLUMN())),OFFSET($AT$2,0,0,ROW()-1,40),ROW()-1,FALSE))</f>
        <v>10</v>
      </c>
      <c r="Y25">
        <f ca="1">IF(AND($B$64=1,LEN($Y$36) * LEN($Y$46)&gt;0),$Y$36+$Y$46,HLOOKUP(INDIRECT(ADDRESS(2,COLUMN())),OFFSET($AT$2,0,0,ROW()-1,40),ROW()-1,FALSE))</f>
        <v>7</v>
      </c>
      <c r="Z25">
        <f ca="1">IF(AND($B$64=1,LEN($Z$36) * LEN($Z$46)&gt;0),$Z$36+$Z$46,HLOOKUP(INDIRECT(ADDRESS(2,COLUMN())),OFFSET($AT$2,0,0,ROW()-1,40),ROW()-1,FALSE))</f>
        <v>2</v>
      </c>
      <c r="AA25">
        <f ca="1">IF(AND($B$64=1,LEN($AA$36) * LEN($AA$46)&gt;0),$AA$36+$AA$46,HLOOKUP(INDIRECT(ADDRESS(2,COLUMN())),OFFSET($AT$2,0,0,ROW()-1,40),ROW()-1,FALSE))</f>
        <v>3</v>
      </c>
      <c r="AB25">
        <f ca="1">IF(AND($B$64=1,LEN($AB$36) * LEN($AB$46)&gt;0),$AB$36+$AB$46,HLOOKUP(INDIRECT(ADDRESS(2,COLUMN())),OFFSET($AT$2,0,0,ROW()-1,40),ROW()-1,FALSE))</f>
        <v>4</v>
      </c>
      <c r="AC25">
        <f ca="1">IF(AND($B$64=1,LEN($AC$36) * LEN($AC$46)&gt;0),$AC$36+$AC$46,HLOOKUP(INDIRECT(ADDRESS(2,COLUMN())),OFFSET($AT$2,0,0,ROW()-1,40),ROW()-1,FALSE))</f>
        <v>5</v>
      </c>
      <c r="AD25">
        <f ca="1">IF(AND($B$64=1,LEN($AD$36) * LEN($AD$46)&gt;0),$AD$36+$AD$46,HLOOKUP(INDIRECT(ADDRESS(2,COLUMN())),OFFSET($AT$2,0,0,ROW()-1,40),ROW()-1,FALSE))</f>
        <v>1</v>
      </c>
      <c r="AE25">
        <f ca="1">IF(AND($B$64=1,LEN($AE$36) * LEN($AE$46)&gt;0),$AE$36+$AE$46,HLOOKUP(INDIRECT(ADDRESS(2,COLUMN())),OFFSET($AT$2,0,0,ROW()-1,40),ROW()-1,FALSE))</f>
        <v>4</v>
      </c>
      <c r="AF25">
        <f ca="1">IF(AND($B$64=1,LEN($AF$36) * LEN($AF$46)&gt;0),$AF$36+$AF$46,HLOOKUP(INDIRECT(ADDRESS(2,COLUMN())),OFFSET($AT$2,0,0,ROW()-1,40),ROW()-1,FALSE))</f>
        <v>3</v>
      </c>
      <c r="AG25">
        <f ca="1">IF(AND($B$64=1,LEN($AG$36) * LEN($AG$46)&gt;0),$AG$36+$AG$46,HLOOKUP(INDIRECT(ADDRESS(2,COLUMN())),OFFSET($AT$2,0,0,ROW()-1,40),ROW()-1,FALSE))</f>
        <v>3</v>
      </c>
      <c r="AH25">
        <f ca="1">IF(AND($B$64=1,LEN($AH$36) * LEN($AH$46)&gt;0),$AH$36+$AH$46,HLOOKUP(INDIRECT(ADDRESS(2,COLUMN())),OFFSET($AT$2,0,0,ROW()-1,40),ROW()-1,FALSE))</f>
        <v>5</v>
      </c>
      <c r="AI25">
        <f ca="1">IF(AND($B$64=1,LEN($AI$36) * LEN($AI$46)&gt;0),$AI$36+$AI$46,HLOOKUP(INDIRECT(ADDRESS(2,COLUMN())),OFFSET($AT$2,0,0,ROW()-1,40),ROW()-1,FALSE))</f>
        <v>3</v>
      </c>
      <c r="AJ25">
        <f ca="1">IF(AND($B$64=1,LEN($AJ$36) * LEN($AJ$46)&gt;0),$AJ$36+$AJ$46,HLOOKUP(INDIRECT(ADDRESS(2,COLUMN())),OFFSET($AT$2,0,0,ROW()-1,40),ROW()-1,FALSE))</f>
        <v>8</v>
      </c>
      <c r="AK25">
        <f ca="1">IF(AND($B$64=1,LEN($AK$36) * LEN($AK$46)&gt;0),$AK$36+$AK$46,HLOOKUP(INDIRECT(ADDRESS(2,COLUMN())),OFFSET($AT$2,0,0,ROW()-1,40),ROW()-1,FALSE))</f>
        <v>9</v>
      </c>
      <c r="AL25">
        <f ca="1">IF(AND($B$64=1,LEN($AL$36) * LEN($AL$46)&gt;0),$AL$36+$AL$46,HLOOKUP(INDIRECT(ADDRESS(2,COLUMN())),OFFSET($AT$2,0,0,ROW()-1,40),ROW()-1,FALSE))</f>
        <v>12</v>
      </c>
      <c r="AM25">
        <f ca="1">IF(AND($B$64=1,LEN($AM$36) * LEN($AM$46)&gt;0),$AM$36+$AM$46,HLOOKUP(INDIRECT(ADDRESS(2,COLUMN())),OFFSET($AT$2,0,0,ROW()-1,40),ROW()-1,FALSE))</f>
        <v>10</v>
      </c>
      <c r="AN25">
        <f ca="1">IF(AND($B$64=1,LEN($AN$36) * LEN($AN$46)&gt;0),$AN$36+$AN$46,HLOOKUP(INDIRECT(ADDRESS(2,COLUMN())),OFFSET($AT$2,0,0,ROW()-1,40),ROW()-1,FALSE))</f>
        <v>8</v>
      </c>
      <c r="AO25">
        <f ca="1">IF(AND($B$64=1,LEN($AO$36) * LEN($AO$46)&gt;0),$AO$36+$AO$46,HLOOKUP(INDIRECT(ADDRESS(2,COLUMN())),OFFSET($AT$2,0,0,ROW()-1,40),ROW()-1,FALSE))</f>
        <v>10</v>
      </c>
      <c r="AP25">
        <f ca="1">IF(AND($B$64=1,LEN($AP$36) * LEN($AP$46)&gt;0),$AP$36+$AP$46,HLOOKUP(INDIRECT(ADDRESS(2,COLUMN())),OFFSET($AT$2,0,0,ROW()-1,40),ROW()-1,FALSE))</f>
        <v>16</v>
      </c>
      <c r="AQ25">
        <f ca="1">IF(AND($B$64=1,LEN($AQ$36) * LEN($AQ$46)&gt;0),$AQ$36+$AQ$46,HLOOKUP(INDIRECT(ADDRESS(2,COLUMN())),OFFSET($AT$2,0,0,ROW()-1,40),ROW()-1,FALSE))</f>
        <v>20</v>
      </c>
      <c r="AR25">
        <f ca="1">IF(AND($B$64=1,LEN($AR$36) * LEN($AR$46)&gt;0),$AR$36+$AR$46,HLOOKUP(INDIRECT(ADDRESS(2,COLUMN())),OFFSET($AT$2,0,0,ROW()-1,40),ROW()-1,FALSE))</f>
        <v>32</v>
      </c>
      <c r="AS25">
        <f ca="1">IF(AND($B$64=1,LEN($AS$36) * LEN($AS$46)&gt;0),$AS$36+$AS$46,HLOOKUP(INDIRECT(ADDRESS(2,COLUMN())),OFFSET($AT$2,0,0,ROW()-1,40),ROW()-1,FALSE))</f>
        <v>95</v>
      </c>
      <c r="AT25">
        <f>0</f>
        <v>0</v>
      </c>
      <c r="AU25">
        <f>1</f>
        <v>1</v>
      </c>
      <c r="AV25">
        <f>2</f>
        <v>2</v>
      </c>
      <c r="AW25">
        <f>0</f>
        <v>0</v>
      </c>
      <c r="AX25">
        <f>1</f>
        <v>1</v>
      </c>
      <c r="AY25">
        <f>6</f>
        <v>6</v>
      </c>
      <c r="AZ25">
        <f>7</f>
        <v>7</v>
      </c>
      <c r="BA25">
        <f>1</f>
        <v>1</v>
      </c>
      <c r="BB25">
        <f>5</f>
        <v>5</v>
      </c>
      <c r="BC25">
        <f>8</f>
        <v>8</v>
      </c>
      <c r="BD25">
        <f>9</f>
        <v>9</v>
      </c>
      <c r="BE25">
        <f>8</f>
        <v>8</v>
      </c>
      <c r="BF25">
        <f>14</f>
        <v>14</v>
      </c>
      <c r="BG25">
        <f>6</f>
        <v>6</v>
      </c>
      <c r="BH25">
        <f>2</f>
        <v>2</v>
      </c>
      <c r="BI25">
        <f>6</f>
        <v>6</v>
      </c>
      <c r="BJ25">
        <f>3</f>
        <v>3</v>
      </c>
      <c r="BK25">
        <f>3</f>
        <v>3</v>
      </c>
      <c r="BL25">
        <f>10</f>
        <v>10</v>
      </c>
      <c r="BM25">
        <f>7</f>
        <v>7</v>
      </c>
      <c r="BN25">
        <f>2</f>
        <v>2</v>
      </c>
      <c r="BO25">
        <f>3</f>
        <v>3</v>
      </c>
      <c r="BP25">
        <f>4</f>
        <v>4</v>
      </c>
      <c r="BQ25">
        <f>5</f>
        <v>5</v>
      </c>
      <c r="BR25">
        <f>1</f>
        <v>1</v>
      </c>
      <c r="BS25">
        <f>4</f>
        <v>4</v>
      </c>
      <c r="BT25">
        <f>3</f>
        <v>3</v>
      </c>
      <c r="BU25">
        <f>3</f>
        <v>3</v>
      </c>
      <c r="BV25">
        <f>5</f>
        <v>5</v>
      </c>
      <c r="BW25">
        <f>3</f>
        <v>3</v>
      </c>
      <c r="BX25">
        <f>8</f>
        <v>8</v>
      </c>
      <c r="BY25">
        <f>9</f>
        <v>9</v>
      </c>
      <c r="BZ25">
        <f>12</f>
        <v>12</v>
      </c>
      <c r="CA25">
        <f>10</f>
        <v>10</v>
      </c>
      <c r="CB25">
        <f>8</f>
        <v>8</v>
      </c>
      <c r="CC25">
        <f>10</f>
        <v>10</v>
      </c>
      <c r="CD25">
        <f>16</f>
        <v>16</v>
      </c>
      <c r="CE25">
        <f>20</f>
        <v>20</v>
      </c>
      <c r="CF25">
        <f>32</f>
        <v>32</v>
      </c>
      <c r="CG25">
        <f>95</f>
        <v>95</v>
      </c>
    </row>
    <row r="26" spans="1:85" x14ac:dyDescent="0.25">
      <c r="A26" t="str">
        <f>"    DAF"</f>
        <v xml:space="preserve">    DAF</v>
      </c>
      <c r="B26" t="str">
        <f>""</f>
        <v/>
      </c>
      <c r="E26" t="str">
        <f t="shared" si="1"/>
        <v>Expression</v>
      </c>
      <c r="F26">
        <f ca="1">IF(AND($B$64=1,LEN($F$37)&gt;0),$F$37,HLOOKUP(INDIRECT(ADDRESS(2,COLUMN())),OFFSET($AT$2,0,0,ROW()-1,40),ROW()-1,FALSE))</f>
        <v>112</v>
      </c>
      <c r="G26">
        <f ca="1">IF(AND($B$64=1,LEN($G$37)&gt;0),$G$37,HLOOKUP(INDIRECT(ADDRESS(2,COLUMN())),OFFSET($AT$2,0,0,ROW()-1,40),ROW()-1,FALSE))</f>
        <v>107</v>
      </c>
      <c r="H26">
        <f ca="1">IF(AND($B$64=1,LEN($H$37)&gt;0),$H$37,HLOOKUP(INDIRECT(ADDRESS(2,COLUMN())),OFFSET($AT$2,0,0,ROW()-1,40),ROW()-1,FALSE))</f>
        <v>115</v>
      </c>
      <c r="I26">
        <f ca="1">IF(AND($B$64=1,LEN($I$37)&gt;0),$I$37,HLOOKUP(INDIRECT(ADDRESS(2,COLUMN())),OFFSET($AT$2,0,0,ROW()-1,40),ROW()-1,FALSE))</f>
        <v>90</v>
      </c>
      <c r="J26">
        <f ca="1">IF(AND($B$64=1,LEN($J$37)&gt;0),$J$37,HLOOKUP(INDIRECT(ADDRESS(2,COLUMN())),OFFSET($AT$2,0,0,ROW()-1,40),ROW()-1,FALSE))</f>
        <v>70</v>
      </c>
      <c r="K26">
        <f ca="1">IF(AND($B$64=1,LEN($K$37)&gt;0),$K$37,HLOOKUP(INDIRECT(ADDRESS(2,COLUMN())),OFFSET($AT$2,0,0,ROW()-1,40),ROW()-1,FALSE))</f>
        <v>78</v>
      </c>
      <c r="L26">
        <f ca="1">IF(AND($B$64=1,LEN($L$37)&gt;0),$L$37,HLOOKUP(INDIRECT(ADDRESS(2,COLUMN())),OFFSET($AT$2,0,0,ROW()-1,40),ROW()-1,FALSE))</f>
        <v>51</v>
      </c>
      <c r="M26">
        <f ca="1">IF(AND($B$64=1,LEN($M$37)&gt;0),$M$37,HLOOKUP(INDIRECT(ADDRESS(2,COLUMN())),OFFSET($AT$2,0,0,ROW()-1,40),ROW()-1,FALSE))</f>
        <v>66</v>
      </c>
      <c r="N26">
        <f ca="1">IF(AND($B$64=1,LEN($N$37)&gt;0),$N$37,HLOOKUP(INDIRECT(ADDRESS(2,COLUMN())),OFFSET($AT$2,0,0,ROW()-1,40),ROW()-1,FALSE))</f>
        <v>37</v>
      </c>
      <c r="O26">
        <f ca="1">IF(AND($B$64=1,LEN($O$37)&gt;0),$O$37,HLOOKUP(INDIRECT(ADDRESS(2,COLUMN())),OFFSET($AT$2,0,0,ROW()-1,40),ROW()-1,FALSE))</f>
        <v>61</v>
      </c>
      <c r="P26">
        <f ca="1">IF(AND($B$64=1,LEN($P$37)&gt;0),$P$37,HLOOKUP(INDIRECT(ADDRESS(2,COLUMN())),OFFSET($AT$2,0,0,ROW()-1,40),ROW()-1,FALSE))</f>
        <v>92</v>
      </c>
      <c r="Q26">
        <f ca="1">IF(AND($B$64=1,LEN($Q$37)&gt;0),$Q$37,HLOOKUP(INDIRECT(ADDRESS(2,COLUMN())),OFFSET($AT$2,0,0,ROW()-1,40),ROW()-1,FALSE))</f>
        <v>47</v>
      </c>
      <c r="R26">
        <f ca="1">IF(AND($B$64=1,LEN($R$37)&gt;0),$R$37,HLOOKUP(INDIRECT(ADDRESS(2,COLUMN())),OFFSET($AT$2,0,0,ROW()-1,40),ROW()-1,FALSE))</f>
        <v>42</v>
      </c>
      <c r="S26">
        <f ca="1">IF(AND($B$64=1,LEN($S$37)&gt;0),$S$37,HLOOKUP(INDIRECT(ADDRESS(2,COLUMN())),OFFSET($AT$2,0,0,ROW()-1,40),ROW()-1,FALSE))</f>
        <v>56</v>
      </c>
      <c r="T26">
        <f ca="1">IF(AND($B$64=1,LEN($T$37)&gt;0),$T$37,HLOOKUP(INDIRECT(ADDRESS(2,COLUMN())),OFFSET($AT$2,0,0,ROW()-1,40),ROW()-1,FALSE))</f>
        <v>67</v>
      </c>
      <c r="U26">
        <f ca="1">IF(AND($B$64=1,LEN($U$37)&gt;0),$U$37,HLOOKUP(INDIRECT(ADDRESS(2,COLUMN())),OFFSET($AT$2,0,0,ROW()-1,40),ROW()-1,FALSE))</f>
        <v>92</v>
      </c>
      <c r="V26">
        <f ca="1">IF(AND($B$64=1,LEN($V$37)&gt;0),$V$37,HLOOKUP(INDIRECT(ADDRESS(2,COLUMN())),OFFSET($AT$2,0,0,ROW()-1,40),ROW()-1,FALSE))</f>
        <v>38</v>
      </c>
      <c r="W26">
        <f ca="1">IF(AND($B$64=1,LEN($W$37)&gt;0),$W$37,HLOOKUP(INDIRECT(ADDRESS(2,COLUMN())),OFFSET($AT$2,0,0,ROW()-1,40),ROW()-1,FALSE))</f>
        <v>48</v>
      </c>
      <c r="X26">
        <f ca="1">IF(AND($B$64=1,LEN($X$37)&gt;0),$X$37,HLOOKUP(INDIRECT(ADDRESS(2,COLUMN())),OFFSET($AT$2,0,0,ROW()-1,40),ROW()-1,FALSE))</f>
        <v>59</v>
      </c>
      <c r="Y26">
        <f ca="1">IF(AND($B$64=1,LEN($Y$37)&gt;0),$Y$37,HLOOKUP(INDIRECT(ADDRESS(2,COLUMN())),OFFSET($AT$2,0,0,ROW()-1,40),ROW()-1,FALSE))</f>
        <v>49</v>
      </c>
      <c r="Z26">
        <f ca="1">IF(AND($B$64=1,LEN($Z$37)&gt;0),$Z$37,HLOOKUP(INDIRECT(ADDRESS(2,COLUMN())),OFFSET($AT$2,0,0,ROW()-1,40),ROW()-1,FALSE))</f>
        <v>32</v>
      </c>
      <c r="AA26">
        <f ca="1">IF(AND($B$64=1,LEN($AA$37)&gt;0),$AA$37,HLOOKUP(INDIRECT(ADDRESS(2,COLUMN())),OFFSET($AT$2,0,0,ROW()-1,40),ROW()-1,FALSE))</f>
        <v>51</v>
      </c>
      <c r="AB26">
        <f ca="1">IF(AND($B$64=1,LEN($AB$37)&gt;0),$AB$37,HLOOKUP(INDIRECT(ADDRESS(2,COLUMN())),OFFSET($AT$2,0,0,ROW()-1,40),ROW()-1,FALSE))</f>
        <v>58</v>
      </c>
      <c r="AC26">
        <f ca="1">IF(AND($B$64=1,LEN($AC$37)&gt;0),$AC$37,HLOOKUP(INDIRECT(ADDRESS(2,COLUMN())),OFFSET($AT$2,0,0,ROW()-1,40),ROW()-1,FALSE))</f>
        <v>35</v>
      </c>
      <c r="AD26">
        <f ca="1">IF(AND($B$64=1,LEN($AD$37)&gt;0),$AD$37,HLOOKUP(INDIRECT(ADDRESS(2,COLUMN())),OFFSET($AT$2,0,0,ROW()-1,40),ROW()-1,FALSE))</f>
        <v>38</v>
      </c>
      <c r="AE26">
        <f ca="1">IF(AND($B$64=1,LEN($AE$37)&gt;0),$AE$37,HLOOKUP(INDIRECT(ADDRESS(2,COLUMN())),OFFSET($AT$2,0,0,ROW()-1,40),ROW()-1,FALSE))</f>
        <v>54</v>
      </c>
      <c r="AF26">
        <f ca="1">IF(AND($B$64=1,LEN($AF$37)&gt;0),$AF$37,HLOOKUP(INDIRECT(ADDRESS(2,COLUMN())),OFFSET($AT$2,0,0,ROW()-1,40),ROW()-1,FALSE))</f>
        <v>41</v>
      </c>
      <c r="AG26">
        <f ca="1">IF(AND($B$64=1,LEN($AG$37)&gt;0),$AG$37,HLOOKUP(INDIRECT(ADDRESS(2,COLUMN())),OFFSET($AT$2,0,0,ROW()-1,40),ROW()-1,FALSE))</f>
        <v>42</v>
      </c>
      <c r="AH26">
        <f ca="1">IF(AND($B$64=1,LEN($AH$37)&gt;0),$AH$37,HLOOKUP(INDIRECT(ADDRESS(2,COLUMN())),OFFSET($AT$2,0,0,ROW()-1,40),ROW()-1,FALSE))</f>
        <v>28</v>
      </c>
      <c r="AI26">
        <f ca="1">IF(AND($B$64=1,LEN($AI$37)&gt;0),$AI$37,HLOOKUP(INDIRECT(ADDRESS(2,COLUMN())),OFFSET($AT$2,0,0,ROW()-1,40),ROW()-1,FALSE))</f>
        <v>30</v>
      </c>
      <c r="AJ26">
        <f ca="1">IF(AND($B$64=1,LEN($AJ$37)&gt;0),$AJ$37,HLOOKUP(INDIRECT(ADDRESS(2,COLUMN())),OFFSET($AT$2,0,0,ROW()-1,40),ROW()-1,FALSE))</f>
        <v>34</v>
      </c>
      <c r="AK26">
        <f ca="1">IF(AND($B$64=1,LEN($AK$37)&gt;0),$AK$37,HLOOKUP(INDIRECT(ADDRESS(2,COLUMN())),OFFSET($AT$2,0,0,ROW()-1,40),ROW()-1,FALSE))</f>
        <v>26</v>
      </c>
      <c r="AL26">
        <f ca="1">IF(AND($B$64=1,LEN($AL$37)&gt;0),$AL$37,HLOOKUP(INDIRECT(ADDRESS(2,COLUMN())),OFFSET($AT$2,0,0,ROW()-1,40),ROW()-1,FALSE))</f>
        <v>23</v>
      </c>
      <c r="AM26">
        <f ca="1">IF(AND($B$64=1,LEN($AM$37)&gt;0),$AM$37,HLOOKUP(INDIRECT(ADDRESS(2,COLUMN())),OFFSET($AT$2,0,0,ROW()-1,40),ROW()-1,FALSE))</f>
        <v>34</v>
      </c>
      <c r="AN26">
        <f ca="1">IF(AND($B$64=1,LEN($AN$37)&gt;0),$AN$37,HLOOKUP(INDIRECT(ADDRESS(2,COLUMN())),OFFSET($AT$2,0,0,ROW()-1,40),ROW()-1,FALSE))</f>
        <v>34</v>
      </c>
      <c r="AO26">
        <f ca="1">IF(AND($B$64=1,LEN($AO$37)&gt;0),$AO$37,HLOOKUP(INDIRECT(ADDRESS(2,COLUMN())),OFFSET($AT$2,0,0,ROW()-1,40),ROW()-1,FALSE))</f>
        <v>13</v>
      </c>
      <c r="AP26">
        <f ca="1">IF(AND($B$64=1,LEN($AP$37)&gt;0),$AP$37,HLOOKUP(INDIRECT(ADDRESS(2,COLUMN())),OFFSET($AT$2,0,0,ROW()-1,40),ROW()-1,FALSE))</f>
        <v>78</v>
      </c>
      <c r="AQ26">
        <f ca="1">IF(AND($B$64=1,LEN($AQ$37)&gt;0),$AQ$37,HLOOKUP(INDIRECT(ADDRESS(2,COLUMN())),OFFSET($AT$2,0,0,ROW()-1,40),ROW()-1,FALSE))</f>
        <v>16</v>
      </c>
      <c r="AR26">
        <f ca="1">IF(AND($B$64=1,LEN($AR$37)&gt;0),$AR$37,HLOOKUP(INDIRECT(ADDRESS(2,COLUMN())),OFFSET($AT$2,0,0,ROW()-1,40),ROW()-1,FALSE))</f>
        <v>14</v>
      </c>
      <c r="AS26">
        <f ca="1">IF(AND($B$64=1,LEN($AS$37)&gt;0),$AS$37,HLOOKUP(INDIRECT(ADDRESS(2,COLUMN())),OFFSET($AT$2,0,0,ROW()-1,40),ROW()-1,FALSE))</f>
        <v>31</v>
      </c>
      <c r="AT26">
        <f>112</f>
        <v>112</v>
      </c>
      <c r="AU26">
        <f>107</f>
        <v>107</v>
      </c>
      <c r="AV26">
        <f>115</f>
        <v>115</v>
      </c>
      <c r="AW26">
        <f>90</f>
        <v>90</v>
      </c>
      <c r="AX26">
        <f>70</f>
        <v>70</v>
      </c>
      <c r="AY26">
        <f>78</f>
        <v>78</v>
      </c>
      <c r="AZ26">
        <f>51</f>
        <v>51</v>
      </c>
      <c r="BA26">
        <f>66</f>
        <v>66</v>
      </c>
      <c r="BB26">
        <f>37</f>
        <v>37</v>
      </c>
      <c r="BC26">
        <f>61</f>
        <v>61</v>
      </c>
      <c r="BD26">
        <f>92</f>
        <v>92</v>
      </c>
      <c r="BE26">
        <f>47</f>
        <v>47</v>
      </c>
      <c r="BF26">
        <f>42</f>
        <v>42</v>
      </c>
      <c r="BG26">
        <f>56</f>
        <v>56</v>
      </c>
      <c r="BH26">
        <f>67</f>
        <v>67</v>
      </c>
      <c r="BI26">
        <f>92</f>
        <v>92</v>
      </c>
      <c r="BJ26">
        <f>38</f>
        <v>38</v>
      </c>
      <c r="BK26">
        <f>48</f>
        <v>48</v>
      </c>
      <c r="BL26">
        <f>59</f>
        <v>59</v>
      </c>
      <c r="BM26">
        <f>49</f>
        <v>49</v>
      </c>
      <c r="BN26">
        <f>32</f>
        <v>32</v>
      </c>
      <c r="BO26">
        <f>51</f>
        <v>51</v>
      </c>
      <c r="BP26">
        <f>58</f>
        <v>58</v>
      </c>
      <c r="BQ26">
        <f>35</f>
        <v>35</v>
      </c>
      <c r="BR26">
        <f>38</f>
        <v>38</v>
      </c>
      <c r="BS26">
        <f>54</f>
        <v>54</v>
      </c>
      <c r="BT26">
        <f>41</f>
        <v>41</v>
      </c>
      <c r="BU26">
        <f>42</f>
        <v>42</v>
      </c>
      <c r="BV26">
        <f>28</f>
        <v>28</v>
      </c>
      <c r="BW26">
        <f>30</f>
        <v>30</v>
      </c>
      <c r="BX26">
        <f>34</f>
        <v>34</v>
      </c>
      <c r="BY26">
        <f>26</f>
        <v>26</v>
      </c>
      <c r="BZ26">
        <f>23</f>
        <v>23</v>
      </c>
      <c r="CA26">
        <f>34</f>
        <v>34</v>
      </c>
      <c r="CB26">
        <f>34</f>
        <v>34</v>
      </c>
      <c r="CC26">
        <f>13</f>
        <v>13</v>
      </c>
      <c r="CD26">
        <f>78</f>
        <v>78</v>
      </c>
      <c r="CE26">
        <f>16</f>
        <v>16</v>
      </c>
      <c r="CF26">
        <f>14</f>
        <v>14</v>
      </c>
      <c r="CG26">
        <f>31</f>
        <v>31</v>
      </c>
    </row>
    <row r="27" spans="1:85" x14ac:dyDescent="0.25">
      <c r="A27" t="str">
        <f>"    Agrale"</f>
        <v xml:space="preserve">    Agrale</v>
      </c>
      <c r="B27" t="str">
        <f>""</f>
        <v/>
      </c>
      <c r="E27" t="str">
        <f t="shared" si="1"/>
        <v>Expression</v>
      </c>
      <c r="F27">
        <f ca="1">IF(AND($B$64=1,LEN($F$47)&gt;0),$F$47,HLOOKUP(INDIRECT(ADDRESS(2,COLUMN())),OFFSET($AT$2,0,0,ROW()-1,40),ROW()-1,FALSE))</f>
        <v>0</v>
      </c>
      <c r="G27">
        <f ca="1">IF(AND($B$64=1,LEN($G$47)&gt;0),$G$47,HLOOKUP(INDIRECT(ADDRESS(2,COLUMN())),OFFSET($AT$2,0,0,ROW()-1,40),ROW()-1,FALSE))</f>
        <v>0</v>
      </c>
      <c r="H27">
        <f ca="1">IF(AND($B$64=1,LEN($H$47)&gt;0),$H$47,HLOOKUP(INDIRECT(ADDRESS(2,COLUMN())),OFFSET($AT$2,0,0,ROW()-1,40),ROW()-1,FALSE))</f>
        <v>1</v>
      </c>
      <c r="I27">
        <f ca="1">IF(AND($B$64=1,LEN($I$47)&gt;0),$I$47,HLOOKUP(INDIRECT(ADDRESS(2,COLUMN())),OFFSET($AT$2,0,0,ROW()-1,40),ROW()-1,FALSE))</f>
        <v>0</v>
      </c>
      <c r="J27">
        <f ca="1">IF(AND($B$64=1,LEN($J$47)&gt;0),$J$47,HLOOKUP(INDIRECT(ADDRESS(2,COLUMN())),OFFSET($AT$2,0,0,ROW()-1,40),ROW()-1,FALSE))</f>
        <v>1</v>
      </c>
      <c r="K27">
        <f ca="1">IF(AND($B$64=1,LEN($K$47)&gt;0),$K$47,HLOOKUP(INDIRECT(ADDRESS(2,COLUMN())),OFFSET($AT$2,0,0,ROW()-1,40),ROW()-1,FALSE))</f>
        <v>0</v>
      </c>
      <c r="L27">
        <f ca="1">IF(AND($B$64=1,LEN($L$47)&gt;0),$L$47,HLOOKUP(INDIRECT(ADDRESS(2,COLUMN())),OFFSET($AT$2,0,0,ROW()-1,40),ROW()-1,FALSE))</f>
        <v>0</v>
      </c>
      <c r="M27">
        <f ca="1">IF(AND($B$64=1,LEN($M$47)&gt;0),$M$47,HLOOKUP(INDIRECT(ADDRESS(2,COLUMN())),OFFSET($AT$2,0,0,ROW()-1,40),ROW()-1,FALSE))</f>
        <v>1</v>
      </c>
      <c r="N27">
        <f ca="1">IF(AND($B$64=1,LEN($N$47)&gt;0),$N$47,HLOOKUP(INDIRECT(ADDRESS(2,COLUMN())),OFFSET($AT$2,0,0,ROW()-1,40),ROW()-1,FALSE))</f>
        <v>0</v>
      </c>
      <c r="O27">
        <f ca="1">IF(AND($B$64=1,LEN($O$47)&gt;0),$O$47,HLOOKUP(INDIRECT(ADDRESS(2,COLUMN())),OFFSET($AT$2,0,0,ROW()-1,40),ROW()-1,FALSE))</f>
        <v>0</v>
      </c>
      <c r="P27">
        <f ca="1">IF(AND($B$64=1,LEN($P$47)&gt;0),$P$47,HLOOKUP(INDIRECT(ADDRESS(2,COLUMN())),OFFSET($AT$2,0,0,ROW()-1,40),ROW()-1,FALSE))</f>
        <v>0</v>
      </c>
      <c r="Q27">
        <f ca="1">IF(AND($B$64=1,LEN($Q$47)&gt;0),$Q$47,HLOOKUP(INDIRECT(ADDRESS(2,COLUMN())),OFFSET($AT$2,0,0,ROW()-1,40),ROW()-1,FALSE))</f>
        <v>0</v>
      </c>
      <c r="R27">
        <f ca="1">IF(AND($B$64=1,LEN($R$47)&gt;0),$R$47,HLOOKUP(INDIRECT(ADDRESS(2,COLUMN())),OFFSET($AT$2,0,0,ROW()-1,40),ROW()-1,FALSE))</f>
        <v>0</v>
      </c>
      <c r="S27">
        <f ca="1">IF(AND($B$64=1,LEN($S$47)&gt;0),$S$47,HLOOKUP(INDIRECT(ADDRESS(2,COLUMN())),OFFSET($AT$2,0,0,ROW()-1,40),ROW()-1,FALSE))</f>
        <v>0</v>
      </c>
      <c r="T27">
        <f ca="1">IF(AND($B$64=1,LEN($T$47)&gt;0),$T$47,HLOOKUP(INDIRECT(ADDRESS(2,COLUMN())),OFFSET($AT$2,0,0,ROW()-1,40),ROW()-1,FALSE))</f>
        <v>0</v>
      </c>
      <c r="U27">
        <f ca="1">IF(AND($B$64=1,LEN($U$47)&gt;0),$U$47,HLOOKUP(INDIRECT(ADDRESS(2,COLUMN())),OFFSET($AT$2,0,0,ROW()-1,40),ROW()-1,FALSE))</f>
        <v>0</v>
      </c>
      <c r="V27">
        <f ca="1">IF(AND($B$64=1,LEN($V$47)&gt;0),$V$47,HLOOKUP(INDIRECT(ADDRESS(2,COLUMN())),OFFSET($AT$2,0,0,ROW()-1,40),ROW()-1,FALSE))</f>
        <v>0</v>
      </c>
      <c r="W27">
        <f ca="1">IF(AND($B$64=1,LEN($W$47)&gt;0),$W$47,HLOOKUP(INDIRECT(ADDRESS(2,COLUMN())),OFFSET($AT$2,0,0,ROW()-1,40),ROW()-1,FALSE))</f>
        <v>0</v>
      </c>
      <c r="X27">
        <f ca="1">IF(AND($B$64=1,LEN($X$47)&gt;0),$X$47,HLOOKUP(INDIRECT(ADDRESS(2,COLUMN())),OFFSET($AT$2,0,0,ROW()-1,40),ROW()-1,FALSE))</f>
        <v>0</v>
      </c>
      <c r="Y27">
        <f ca="1">IF(AND($B$64=1,LEN($Y$47)&gt;0),$Y$47,HLOOKUP(INDIRECT(ADDRESS(2,COLUMN())),OFFSET($AT$2,0,0,ROW()-1,40),ROW()-1,FALSE))</f>
        <v>1</v>
      </c>
      <c r="Z27">
        <f ca="1">IF(AND($B$64=1,LEN($Z$47)&gt;0),$Z$47,HLOOKUP(INDIRECT(ADDRESS(2,COLUMN())),OFFSET($AT$2,0,0,ROW()-1,40),ROW()-1,FALSE))</f>
        <v>1</v>
      </c>
      <c r="AA27">
        <f ca="1">IF(AND($B$64=1,LEN($AA$47)&gt;0),$AA$47,HLOOKUP(INDIRECT(ADDRESS(2,COLUMN())),OFFSET($AT$2,0,0,ROW()-1,40),ROW()-1,FALSE))</f>
        <v>2</v>
      </c>
      <c r="AB27">
        <f ca="1">IF(AND($B$64=1,LEN($AB$47)&gt;0),$AB$47,HLOOKUP(INDIRECT(ADDRESS(2,COLUMN())),OFFSET($AT$2,0,0,ROW()-1,40),ROW()-1,FALSE))</f>
        <v>2</v>
      </c>
      <c r="AC27">
        <f ca="1">IF(AND($B$64=1,LEN($AC$47)&gt;0),$AC$47,HLOOKUP(INDIRECT(ADDRESS(2,COLUMN())),OFFSET($AT$2,0,0,ROW()-1,40),ROW()-1,FALSE))</f>
        <v>0</v>
      </c>
      <c r="AD27">
        <f ca="1">IF(AND($B$64=1,LEN($AD$47)&gt;0),$AD$47,HLOOKUP(INDIRECT(ADDRESS(2,COLUMN())),OFFSET($AT$2,0,0,ROW()-1,40),ROW()-1,FALSE))</f>
        <v>0</v>
      </c>
      <c r="AE27">
        <f ca="1">IF(AND($B$64=1,LEN($AE$47)&gt;0),$AE$47,HLOOKUP(INDIRECT(ADDRESS(2,COLUMN())),OFFSET($AT$2,0,0,ROW()-1,40),ROW()-1,FALSE))</f>
        <v>1</v>
      </c>
      <c r="AF27">
        <f ca="1">IF(AND($B$64=1,LEN($AF$47)&gt;0),$AF$47,HLOOKUP(INDIRECT(ADDRESS(2,COLUMN())),OFFSET($AT$2,0,0,ROW()-1,40),ROW()-1,FALSE))</f>
        <v>3</v>
      </c>
      <c r="AG27">
        <f ca="1">IF(AND($B$64=1,LEN($AG$47)&gt;0),$AG$47,HLOOKUP(INDIRECT(ADDRESS(2,COLUMN())),OFFSET($AT$2,0,0,ROW()-1,40),ROW()-1,FALSE))</f>
        <v>0</v>
      </c>
      <c r="AH27">
        <f ca="1">IF(AND($B$64=1,LEN($AH$47)&gt;0),$AH$47,HLOOKUP(INDIRECT(ADDRESS(2,COLUMN())),OFFSET($AT$2,0,0,ROW()-1,40),ROW()-1,FALSE))</f>
        <v>1</v>
      </c>
      <c r="AI27">
        <f ca="1">IF(AND($B$64=1,LEN($AI$47)&gt;0),$AI$47,HLOOKUP(INDIRECT(ADDRESS(2,COLUMN())),OFFSET($AT$2,0,0,ROW()-1,40),ROW()-1,FALSE))</f>
        <v>2</v>
      </c>
      <c r="AJ27">
        <f ca="1">IF(AND($B$64=1,LEN($AJ$47)&gt;0),$AJ$47,HLOOKUP(INDIRECT(ADDRESS(2,COLUMN())),OFFSET($AT$2,0,0,ROW()-1,40),ROW()-1,FALSE))</f>
        <v>1</v>
      </c>
      <c r="AK27">
        <f ca="1">IF(AND($B$64=1,LEN($AK$47)&gt;0),$AK$47,HLOOKUP(INDIRECT(ADDRESS(2,COLUMN())),OFFSET($AT$2,0,0,ROW()-1,40),ROW()-1,FALSE))</f>
        <v>3</v>
      </c>
      <c r="AL27">
        <f ca="1">IF(AND($B$64=1,LEN($AL$47)&gt;0),$AL$47,HLOOKUP(INDIRECT(ADDRESS(2,COLUMN())),OFFSET($AT$2,0,0,ROW()-1,40),ROW()-1,FALSE))</f>
        <v>2</v>
      </c>
      <c r="AM27">
        <f ca="1">IF(AND($B$64=1,LEN($AM$47)&gt;0),$AM$47,HLOOKUP(INDIRECT(ADDRESS(2,COLUMN())),OFFSET($AT$2,0,0,ROW()-1,40),ROW()-1,FALSE))</f>
        <v>2</v>
      </c>
      <c r="AN27">
        <f ca="1">IF(AND($B$64=1,LEN($AN$47)&gt;0),$AN$47,HLOOKUP(INDIRECT(ADDRESS(2,COLUMN())),OFFSET($AT$2,0,0,ROW()-1,40),ROW()-1,FALSE))</f>
        <v>0</v>
      </c>
      <c r="AO27">
        <f ca="1">IF(AND($B$64=1,LEN($AO$47)&gt;0),$AO$47,HLOOKUP(INDIRECT(ADDRESS(2,COLUMN())),OFFSET($AT$2,0,0,ROW()-1,40),ROW()-1,FALSE))</f>
        <v>5</v>
      </c>
      <c r="AP27">
        <f ca="1">IF(AND($B$64=1,LEN($AP$47)&gt;0),$AP$47,HLOOKUP(INDIRECT(ADDRESS(2,COLUMN())),OFFSET($AT$2,0,0,ROW()-1,40),ROW()-1,FALSE))</f>
        <v>3</v>
      </c>
      <c r="AQ27">
        <f ca="1">IF(AND($B$64=1,LEN($AQ$47)&gt;0),$AQ$47,HLOOKUP(INDIRECT(ADDRESS(2,COLUMN())),OFFSET($AT$2,0,0,ROW()-1,40),ROW()-1,FALSE))</f>
        <v>3</v>
      </c>
      <c r="AR27">
        <f ca="1">IF(AND($B$64=1,LEN($AR$47)&gt;0),$AR$47,HLOOKUP(INDIRECT(ADDRESS(2,COLUMN())),OFFSET($AT$2,0,0,ROW()-1,40),ROW()-1,FALSE))</f>
        <v>4</v>
      </c>
      <c r="AS27">
        <f ca="1">IF(AND($B$64=1,LEN($AS$47)&gt;0),$AS$47,HLOOKUP(INDIRECT(ADDRESS(2,COLUMN())),OFFSET($AT$2,0,0,ROW()-1,40),ROW()-1,FALSE))</f>
        <v>6</v>
      </c>
      <c r="AT27">
        <f>0</f>
        <v>0</v>
      </c>
      <c r="AU27">
        <f>0</f>
        <v>0</v>
      </c>
      <c r="AV27">
        <f>1</f>
        <v>1</v>
      </c>
      <c r="AW27">
        <f>0</f>
        <v>0</v>
      </c>
      <c r="AX27">
        <f>1</f>
        <v>1</v>
      </c>
      <c r="AY27">
        <f>0</f>
        <v>0</v>
      </c>
      <c r="AZ27">
        <f>0</f>
        <v>0</v>
      </c>
      <c r="BA27">
        <f>1</f>
        <v>1</v>
      </c>
      <c r="BB27">
        <f>0</f>
        <v>0</v>
      </c>
      <c r="BC27">
        <f>0</f>
        <v>0</v>
      </c>
      <c r="BD27">
        <f>0</f>
        <v>0</v>
      </c>
      <c r="BE27">
        <f>0</f>
        <v>0</v>
      </c>
      <c r="BF27">
        <f>0</f>
        <v>0</v>
      </c>
      <c r="BG27">
        <f>0</f>
        <v>0</v>
      </c>
      <c r="BH27">
        <f>0</f>
        <v>0</v>
      </c>
      <c r="BI27">
        <f>0</f>
        <v>0</v>
      </c>
      <c r="BJ27">
        <f>0</f>
        <v>0</v>
      </c>
      <c r="BK27">
        <f>0</f>
        <v>0</v>
      </c>
      <c r="BL27">
        <f>0</f>
        <v>0</v>
      </c>
      <c r="BM27">
        <f>1</f>
        <v>1</v>
      </c>
      <c r="BN27">
        <f>1</f>
        <v>1</v>
      </c>
      <c r="BO27">
        <f>2</f>
        <v>2</v>
      </c>
      <c r="BP27">
        <f>2</f>
        <v>2</v>
      </c>
      <c r="BQ27">
        <f>0</f>
        <v>0</v>
      </c>
      <c r="BR27">
        <f>0</f>
        <v>0</v>
      </c>
      <c r="BS27">
        <f>1</f>
        <v>1</v>
      </c>
      <c r="BT27">
        <f>3</f>
        <v>3</v>
      </c>
      <c r="BU27">
        <f>0</f>
        <v>0</v>
      </c>
      <c r="BV27">
        <f>1</f>
        <v>1</v>
      </c>
      <c r="BW27">
        <f>2</f>
        <v>2</v>
      </c>
      <c r="BX27">
        <f>1</f>
        <v>1</v>
      </c>
      <c r="BY27">
        <f>3</f>
        <v>3</v>
      </c>
      <c r="BZ27">
        <f>2</f>
        <v>2</v>
      </c>
      <c r="CA27">
        <f>2</f>
        <v>2</v>
      </c>
      <c r="CB27">
        <f>0</f>
        <v>0</v>
      </c>
      <c r="CC27">
        <f>5</f>
        <v>5</v>
      </c>
      <c r="CD27">
        <f>3</f>
        <v>3</v>
      </c>
      <c r="CE27">
        <f>3</f>
        <v>3</v>
      </c>
      <c r="CF27">
        <f>4</f>
        <v>4</v>
      </c>
      <c r="CG27">
        <f>6</f>
        <v>6</v>
      </c>
    </row>
    <row r="28" spans="1:85" x14ac:dyDescent="0.25">
      <c r="A28" t="str">
        <f>"    Other"</f>
        <v xml:space="preserve">    Other</v>
      </c>
      <c r="B28" t="str">
        <f>""</f>
        <v/>
      </c>
      <c r="E28" t="str">
        <f t="shared" si="1"/>
        <v>Expression</v>
      </c>
      <c r="F28">
        <f ca="1">IF(AND($B$64=1,LEN($F$38) * LEN($F$48)&gt;0),$F$38+$F$48,HLOOKUP(INDIRECT(ADDRESS(2,COLUMN())),OFFSET($AT$2,0,0,ROW()-1,40),ROW()-1,FALSE))</f>
        <v>0</v>
      </c>
      <c r="G28">
        <f ca="1">IF(AND($B$64=1,LEN($G$38) * LEN($G$48)&gt;0),$G$38+$G$48,HLOOKUP(INDIRECT(ADDRESS(2,COLUMN())),OFFSET($AT$2,0,0,ROW()-1,40),ROW()-1,FALSE))</f>
        <v>1</v>
      </c>
      <c r="H28">
        <f ca="1">IF(AND($B$64=1,LEN($H$38) * LEN($H$48)&gt;0),$H$38+$H$48,HLOOKUP(INDIRECT(ADDRESS(2,COLUMN())),OFFSET($AT$2,0,0,ROW()-1,40),ROW()-1,FALSE))</f>
        <v>0</v>
      </c>
      <c r="I28">
        <f ca="1">IF(AND($B$64=1,LEN($I$38) * LEN($I$48)&gt;0),$I$38+$I$48,HLOOKUP(INDIRECT(ADDRESS(2,COLUMN())),OFFSET($AT$2,0,0,ROW()-1,40),ROW()-1,FALSE))</f>
        <v>0</v>
      </c>
      <c r="J28">
        <f ca="1">IF(AND($B$64=1,LEN($J$38) * LEN($J$48)&gt;0),$J$38+$J$48,HLOOKUP(INDIRECT(ADDRESS(2,COLUMN())),OFFSET($AT$2,0,0,ROW()-1,40),ROW()-1,FALSE))</f>
        <v>0</v>
      </c>
      <c r="K28">
        <f ca="1">IF(AND($B$64=1,LEN($K$38) * LEN($K$48)&gt;0),$K$38+$K$48,HLOOKUP(INDIRECT(ADDRESS(2,COLUMN())),OFFSET($AT$2,0,0,ROW()-1,40),ROW()-1,FALSE))</f>
        <v>2</v>
      </c>
      <c r="L28">
        <f ca="1">IF(AND($B$64=1,LEN($L$38) * LEN($L$48)&gt;0),$L$38+$L$48,HLOOKUP(INDIRECT(ADDRESS(2,COLUMN())),OFFSET($AT$2,0,0,ROW()-1,40),ROW()-1,FALSE))</f>
        <v>0</v>
      </c>
      <c r="M28">
        <f ca="1">IF(AND($B$64=1,LEN($M$38) * LEN($M$48)&gt;0),$M$38+$M$48,HLOOKUP(INDIRECT(ADDRESS(2,COLUMN())),OFFSET($AT$2,0,0,ROW()-1,40),ROW()-1,FALSE))</f>
        <v>2</v>
      </c>
      <c r="N28">
        <f ca="1">IF(AND($B$64=1,LEN($N$38) * LEN($N$48)&gt;0),$N$38+$N$48,HLOOKUP(INDIRECT(ADDRESS(2,COLUMN())),OFFSET($AT$2,0,0,ROW()-1,40),ROW()-1,FALSE))</f>
        <v>1</v>
      </c>
      <c r="O28">
        <f ca="1">IF(AND($B$64=1,LEN($O$38) * LEN($O$48)&gt;0),$O$38+$O$48,HLOOKUP(INDIRECT(ADDRESS(2,COLUMN())),OFFSET($AT$2,0,0,ROW()-1,40),ROW()-1,FALSE))</f>
        <v>6</v>
      </c>
      <c r="P28">
        <f ca="1">IF(AND($B$64=1,LEN($P$38) * LEN($P$48)&gt;0),$P$38+$P$48,HLOOKUP(INDIRECT(ADDRESS(2,COLUMN())),OFFSET($AT$2,0,0,ROW()-1,40),ROW()-1,FALSE))</f>
        <v>29</v>
      </c>
      <c r="Q28">
        <f ca="1">IF(AND($B$64=1,LEN($Q$38) * LEN($Q$48)&gt;0),$Q$38+$Q$48,HLOOKUP(INDIRECT(ADDRESS(2,COLUMN())),OFFSET($AT$2,0,0,ROW()-1,40),ROW()-1,FALSE))</f>
        <v>11</v>
      </c>
      <c r="R28">
        <f ca="1">IF(AND($B$64=1,LEN($R$38) * LEN($R$48)&gt;0),$R$38+$R$48,HLOOKUP(INDIRECT(ADDRESS(2,COLUMN())),OFFSET($AT$2,0,0,ROW()-1,40),ROW()-1,FALSE))</f>
        <v>12</v>
      </c>
      <c r="S28">
        <f ca="1">IF(AND($B$64=1,LEN($S$38) * LEN($S$48)&gt;0),$S$38+$S$48,HLOOKUP(INDIRECT(ADDRESS(2,COLUMN())),OFFSET($AT$2,0,0,ROW()-1,40),ROW()-1,FALSE))</f>
        <v>19</v>
      </c>
      <c r="T28">
        <f ca="1">IF(AND($B$64=1,LEN($T$38) * LEN($T$48)&gt;0),$T$38+$T$48,HLOOKUP(INDIRECT(ADDRESS(2,COLUMN())),OFFSET($AT$2,0,0,ROW()-1,40),ROW()-1,FALSE))</f>
        <v>34</v>
      </c>
      <c r="U28">
        <f ca="1">IF(AND($B$64=1,LEN($U$38) * LEN($U$48)&gt;0),$U$38+$U$48,HLOOKUP(INDIRECT(ADDRESS(2,COLUMN())),OFFSET($AT$2,0,0,ROW()-1,40),ROW()-1,FALSE))</f>
        <v>53</v>
      </c>
      <c r="V28">
        <f ca="1">IF(AND($B$64=1,LEN($V$38) * LEN($V$48)&gt;0),$V$38+$V$48,HLOOKUP(INDIRECT(ADDRESS(2,COLUMN())),OFFSET($AT$2,0,0,ROW()-1,40),ROW()-1,FALSE))</f>
        <v>16</v>
      </c>
      <c r="W28">
        <f ca="1">IF(AND($B$64=1,LEN($W$38) * LEN($W$48)&gt;0),$W$38+$W$48,HLOOKUP(INDIRECT(ADDRESS(2,COLUMN())),OFFSET($AT$2,0,0,ROW()-1,40),ROW()-1,FALSE))</f>
        <v>2</v>
      </c>
      <c r="X28">
        <f ca="1">IF(AND($B$64=1,LEN($X$38) * LEN($X$48)&gt;0),$X$38+$X$48,HLOOKUP(INDIRECT(ADDRESS(2,COLUMN())),OFFSET($AT$2,0,0,ROW()-1,40),ROW()-1,FALSE))</f>
        <v>1</v>
      </c>
      <c r="Y28">
        <f ca="1">IF(AND($B$64=1,LEN($Y$38) * LEN($Y$48)&gt;0),$Y$38+$Y$48,HLOOKUP(INDIRECT(ADDRESS(2,COLUMN())),OFFSET($AT$2,0,0,ROW()-1,40),ROW()-1,FALSE))</f>
        <v>4</v>
      </c>
      <c r="Z28">
        <f ca="1">IF(AND($B$64=1,LEN($Z$38) * LEN($Z$48)&gt;0),$Z$38+$Z$48,HLOOKUP(INDIRECT(ADDRESS(2,COLUMN())),OFFSET($AT$2,0,0,ROW()-1,40),ROW()-1,FALSE))</f>
        <v>3</v>
      </c>
      <c r="AA28">
        <f ca="1">IF(AND($B$64=1,LEN($AA$38) * LEN($AA$48)&gt;0),$AA$38+$AA$48,HLOOKUP(INDIRECT(ADDRESS(2,COLUMN())),OFFSET($AT$2,0,0,ROW()-1,40),ROW()-1,FALSE))</f>
        <v>0</v>
      </c>
      <c r="AB28">
        <f ca="1">IF(AND($B$64=1,LEN($AB$38) * LEN($AB$48)&gt;0),$AB$38+$AB$48,HLOOKUP(INDIRECT(ADDRESS(2,COLUMN())),OFFSET($AT$2,0,0,ROW()-1,40),ROW()-1,FALSE))</f>
        <v>2</v>
      </c>
      <c r="AC28">
        <f ca="1">IF(AND($B$64=1,LEN($AC$38) * LEN($AC$48)&gt;0),$AC$38+$AC$48,HLOOKUP(INDIRECT(ADDRESS(2,COLUMN())),OFFSET($AT$2,0,0,ROW()-1,40),ROW()-1,FALSE))</f>
        <v>2</v>
      </c>
      <c r="AD28">
        <f ca="1">IF(AND($B$64=1,LEN($AD$38) * LEN($AD$48)&gt;0),$AD$38+$AD$48,HLOOKUP(INDIRECT(ADDRESS(2,COLUMN())),OFFSET($AT$2,0,0,ROW()-1,40),ROW()-1,FALSE))</f>
        <v>3</v>
      </c>
      <c r="AE28">
        <f ca="1">IF(AND($B$64=1,LEN($AE$38) * LEN($AE$48)&gt;0),$AE$38+$AE$48,HLOOKUP(INDIRECT(ADDRESS(2,COLUMN())),OFFSET($AT$2,0,0,ROW()-1,40),ROW()-1,FALSE))</f>
        <v>4</v>
      </c>
      <c r="AF28">
        <f ca="1">IF(AND($B$64=1,LEN($AF$38) * LEN($AF$48)&gt;0),$AF$38+$AF$48,HLOOKUP(INDIRECT(ADDRESS(2,COLUMN())),OFFSET($AT$2,0,0,ROW()-1,40),ROW()-1,FALSE))</f>
        <v>19</v>
      </c>
      <c r="AG28">
        <f ca="1">IF(AND($B$64=1,LEN($AG$38) * LEN($AG$48)&gt;0),$AG$38+$AG$48,HLOOKUP(INDIRECT(ADDRESS(2,COLUMN())),OFFSET($AT$2,0,0,ROW()-1,40),ROW()-1,FALSE))</f>
        <v>22</v>
      </c>
      <c r="AH28">
        <f ca="1">IF(AND($B$64=1,LEN($AH$38) * LEN($AH$48)&gt;0),$AH$38+$AH$48,HLOOKUP(INDIRECT(ADDRESS(2,COLUMN())),OFFSET($AT$2,0,0,ROW()-1,40),ROW()-1,FALSE))</f>
        <v>4</v>
      </c>
      <c r="AI28">
        <f ca="1">IF(AND($B$64=1,LEN($AI$38) * LEN($AI$48)&gt;0),$AI$38+$AI$48,HLOOKUP(INDIRECT(ADDRESS(2,COLUMN())),OFFSET($AT$2,0,0,ROW()-1,40),ROW()-1,FALSE))</f>
        <v>5</v>
      </c>
      <c r="AJ28">
        <f ca="1">IF(AND($B$64=1,LEN($AJ$38) * LEN($AJ$48)&gt;0),$AJ$38+$AJ$48,HLOOKUP(INDIRECT(ADDRESS(2,COLUMN())),OFFSET($AT$2,0,0,ROW()-1,40),ROW()-1,FALSE))</f>
        <v>7</v>
      </c>
      <c r="AK28">
        <f ca="1">IF(AND($B$64=1,LEN($AK$38) * LEN($AK$48)&gt;0),$AK$38+$AK$48,HLOOKUP(INDIRECT(ADDRESS(2,COLUMN())),OFFSET($AT$2,0,0,ROW()-1,40),ROW()-1,FALSE))</f>
        <v>5</v>
      </c>
      <c r="AL28">
        <f ca="1">IF(AND($B$64=1,LEN($AL$38) * LEN($AL$48)&gt;0),$AL$38+$AL$48,HLOOKUP(INDIRECT(ADDRESS(2,COLUMN())),OFFSET($AT$2,0,0,ROW()-1,40),ROW()-1,FALSE))</f>
        <v>12</v>
      </c>
      <c r="AM28">
        <f ca="1">IF(AND($B$64=1,LEN($AM$38) * LEN($AM$48)&gt;0),$AM$38+$AM$48,HLOOKUP(INDIRECT(ADDRESS(2,COLUMN())),OFFSET($AT$2,0,0,ROW()-1,40),ROW()-1,FALSE))</f>
        <v>24</v>
      </c>
      <c r="AN28">
        <f ca="1">IF(AND($B$64=1,LEN($AN$38) * LEN($AN$48)&gt;0),$AN$38+$AN$48,HLOOKUP(INDIRECT(ADDRESS(2,COLUMN())),OFFSET($AT$2,0,0,ROW()-1,40),ROW()-1,FALSE))</f>
        <v>7</v>
      </c>
      <c r="AO28">
        <f ca="1">IF(AND($B$64=1,LEN($AO$38) * LEN($AO$48)&gt;0),$AO$38+$AO$48,HLOOKUP(INDIRECT(ADDRESS(2,COLUMN())),OFFSET($AT$2,0,0,ROW()-1,40),ROW()-1,FALSE))</f>
        <v>18</v>
      </c>
      <c r="AP28">
        <f ca="1">IF(AND($B$64=1,LEN($AP$38) * LEN($AP$48)&gt;0),$AP$38+$AP$48,HLOOKUP(INDIRECT(ADDRESS(2,COLUMN())),OFFSET($AT$2,0,0,ROW()-1,40),ROW()-1,FALSE))</f>
        <v>8</v>
      </c>
      <c r="AQ28">
        <f ca="1">IF(AND($B$64=1,LEN($AQ$38) * LEN($AQ$48)&gt;0),$AQ$38+$AQ$48,HLOOKUP(INDIRECT(ADDRESS(2,COLUMN())),OFFSET($AT$2,0,0,ROW()-1,40),ROW()-1,FALSE))</f>
        <v>10</v>
      </c>
      <c r="AR28">
        <f ca="1">IF(AND($B$64=1,LEN($AR$38) * LEN($AR$48)&gt;0),$AR$38+$AR$48,HLOOKUP(INDIRECT(ADDRESS(2,COLUMN())),OFFSET($AT$2,0,0,ROW()-1,40),ROW()-1,FALSE))</f>
        <v>5</v>
      </c>
      <c r="AS28">
        <f ca="1">IF(AND($B$64=1,LEN($AS$38) * LEN($AS$48)&gt;0),$AS$38+$AS$48,HLOOKUP(INDIRECT(ADDRESS(2,COLUMN())),OFFSET($AT$2,0,0,ROW()-1,40),ROW()-1,FALSE))</f>
        <v>8</v>
      </c>
      <c r="AT28">
        <f>0</f>
        <v>0</v>
      </c>
      <c r="AU28">
        <f>1</f>
        <v>1</v>
      </c>
      <c r="AV28">
        <f>0</f>
        <v>0</v>
      </c>
      <c r="AW28">
        <f>0</f>
        <v>0</v>
      </c>
      <c r="AX28">
        <f>0</f>
        <v>0</v>
      </c>
      <c r="AY28">
        <f>2</f>
        <v>2</v>
      </c>
      <c r="AZ28">
        <f>0</f>
        <v>0</v>
      </c>
      <c r="BA28">
        <f>2</f>
        <v>2</v>
      </c>
      <c r="BB28">
        <f>1</f>
        <v>1</v>
      </c>
      <c r="BC28">
        <f>6</f>
        <v>6</v>
      </c>
      <c r="BD28">
        <f>29</f>
        <v>29</v>
      </c>
      <c r="BE28">
        <f>11</f>
        <v>11</v>
      </c>
      <c r="BF28">
        <f>12</f>
        <v>12</v>
      </c>
      <c r="BG28">
        <f>19</f>
        <v>19</v>
      </c>
      <c r="BH28">
        <f>34</f>
        <v>34</v>
      </c>
      <c r="BI28">
        <f>53</f>
        <v>53</v>
      </c>
      <c r="BJ28">
        <f>16</f>
        <v>16</v>
      </c>
      <c r="BK28">
        <f>2</f>
        <v>2</v>
      </c>
      <c r="BL28">
        <f>1</f>
        <v>1</v>
      </c>
      <c r="BM28">
        <f>4</f>
        <v>4</v>
      </c>
      <c r="BN28">
        <f>3</f>
        <v>3</v>
      </c>
      <c r="BO28">
        <f>0</f>
        <v>0</v>
      </c>
      <c r="BP28">
        <f>2</f>
        <v>2</v>
      </c>
      <c r="BQ28">
        <f>2</f>
        <v>2</v>
      </c>
      <c r="BR28">
        <f>3</f>
        <v>3</v>
      </c>
      <c r="BS28">
        <f>4</f>
        <v>4</v>
      </c>
      <c r="BT28">
        <f>19</f>
        <v>19</v>
      </c>
      <c r="BU28">
        <f>22</f>
        <v>22</v>
      </c>
      <c r="BV28">
        <f>4</f>
        <v>4</v>
      </c>
      <c r="BW28">
        <f>5</f>
        <v>5</v>
      </c>
      <c r="BX28">
        <f>7</f>
        <v>7</v>
      </c>
      <c r="BY28">
        <f>5</f>
        <v>5</v>
      </c>
      <c r="BZ28">
        <f>12</f>
        <v>12</v>
      </c>
      <c r="CA28">
        <f>24</f>
        <v>24</v>
      </c>
      <c r="CB28">
        <f>7</f>
        <v>7</v>
      </c>
      <c r="CC28">
        <f>18</f>
        <v>18</v>
      </c>
      <c r="CD28">
        <f>8</f>
        <v>8</v>
      </c>
      <c r="CE28">
        <f>10</f>
        <v>10</v>
      </c>
      <c r="CF28">
        <f>5</f>
        <v>5</v>
      </c>
      <c r="CG28">
        <f>8</f>
        <v>8</v>
      </c>
    </row>
    <row r="29" spans="1:85" x14ac:dyDescent="0.25">
      <c r="A29" t="str">
        <f>"Heavy (GCV &gt;45t)"</f>
        <v>Heavy (GCV &gt;45t)</v>
      </c>
      <c r="B29" t="str">
        <f>"BZVLMIHV Index"</f>
        <v>BZVLMIHV Index</v>
      </c>
      <c r="C29" t="str">
        <f>"PR005"</f>
        <v>PR005</v>
      </c>
      <c r="D29" t="str">
        <f>"PX_LAST"</f>
        <v>PX_LAST</v>
      </c>
      <c r="E29" t="str">
        <f t="shared" ref="E29:E37" si="2">"Dynamic"</f>
        <v>Dynamic</v>
      </c>
      <c r="F29">
        <f ca="1">IF(AND(ISNUMBER($F$68),$B$64=1),$F$68,HLOOKUP(INDIRECT(ADDRESS(2,COLUMN())),OFFSET($AT$2,0,0,ROW()-1,40),ROW()-1,FALSE))</f>
        <v>1974</v>
      </c>
      <c r="G29">
        <f ca="1">IF(AND(ISNUMBER($G$68),$B$64=1),$G$68,HLOOKUP(INDIRECT(ADDRESS(2,COLUMN())),OFFSET($AT$2,0,0,ROW()-1,40),ROW()-1,FALSE))</f>
        <v>1725</v>
      </c>
      <c r="H29">
        <f ca="1">IF(AND(ISNUMBER($H$68),$B$64=1),$H$68,HLOOKUP(INDIRECT(ADDRESS(2,COLUMN())),OFFSET($AT$2,0,0,ROW()-1,40),ROW()-1,FALSE))</f>
        <v>1693</v>
      </c>
      <c r="I29">
        <f ca="1">IF(AND(ISNUMBER($I$68),$B$64=1),$I$68,HLOOKUP(INDIRECT(ADDRESS(2,COLUMN())),OFFSET($AT$2,0,0,ROW()-1,40),ROW()-1,FALSE))</f>
        <v>1555</v>
      </c>
      <c r="J29">
        <f ca="1">IF(AND(ISNUMBER($J$68),$B$64=1),$J$68,HLOOKUP(INDIRECT(ADDRESS(2,COLUMN())),OFFSET($AT$2,0,0,ROW()-1,40),ROW()-1,FALSE))</f>
        <v>1406</v>
      </c>
      <c r="K29">
        <f ca="1">IF(AND(ISNUMBER($K$68),$B$64=1),$K$68,HLOOKUP(INDIRECT(ADDRESS(2,COLUMN())),OFFSET($AT$2,0,0,ROW()-1,40),ROW()-1,FALSE))</f>
        <v>1486</v>
      </c>
      <c r="L29">
        <f ca="1">IF(AND(ISNUMBER($L$68),$B$64=1),$L$68,HLOOKUP(INDIRECT(ADDRESS(2,COLUMN())),OFFSET($AT$2,0,0,ROW()-1,40),ROW()-1,FALSE))</f>
        <v>1308</v>
      </c>
      <c r="M29">
        <f ca="1">IF(AND(ISNUMBER($M$68),$B$64=1),$M$68,HLOOKUP(INDIRECT(ADDRESS(2,COLUMN())),OFFSET($AT$2,0,0,ROW()-1,40),ROW()-1,FALSE))</f>
        <v>1468</v>
      </c>
      <c r="N29">
        <f ca="1">IF(AND(ISNUMBER($N$68),$B$64=1),$N$68,HLOOKUP(INDIRECT(ADDRESS(2,COLUMN())),OFFSET($AT$2,0,0,ROW()-1,40),ROW()-1,FALSE))</f>
        <v>901</v>
      </c>
      <c r="O29">
        <f ca="1">IF(AND(ISNUMBER($O$68),$B$64=1),$O$68,HLOOKUP(INDIRECT(ADDRESS(2,COLUMN())),OFFSET($AT$2,0,0,ROW()-1,40),ROW()-1,FALSE))</f>
        <v>1003</v>
      </c>
      <c r="P29">
        <f ca="1">IF(AND(ISNUMBER($P$68),$B$64=1),$P$68,HLOOKUP(INDIRECT(ADDRESS(2,COLUMN())),OFFSET($AT$2,0,0,ROW()-1,40),ROW()-1,FALSE))</f>
        <v>1354</v>
      </c>
      <c r="Q29">
        <f ca="1">IF(AND(ISNUMBER($Q$68),$B$64=1),$Q$68,HLOOKUP(INDIRECT(ADDRESS(2,COLUMN())),OFFSET($AT$2,0,0,ROW()-1,40),ROW()-1,FALSE))</f>
        <v>1139</v>
      </c>
      <c r="R29">
        <f ca="1">IF(AND(ISNUMBER($R$68),$B$64=1),$R$68,HLOOKUP(INDIRECT(ADDRESS(2,COLUMN())),OFFSET($AT$2,0,0,ROW()-1,40),ROW()-1,FALSE))</f>
        <v>853</v>
      </c>
      <c r="S29">
        <f ca="1">IF(AND(ISNUMBER($S$68),$B$64=1),$S$68,HLOOKUP(INDIRECT(ADDRESS(2,COLUMN())),OFFSET($AT$2,0,0,ROW()-1,40),ROW()-1,FALSE))</f>
        <v>1125</v>
      </c>
      <c r="T29">
        <f ca="1">IF(AND(ISNUMBER($T$68),$B$64=1),$T$68,HLOOKUP(INDIRECT(ADDRESS(2,COLUMN())),OFFSET($AT$2,0,0,ROW()-1,40),ROW()-1,FALSE))</f>
        <v>1299</v>
      </c>
      <c r="U29">
        <f ca="1">IF(AND(ISNUMBER($U$68),$B$64=1),$U$68,HLOOKUP(INDIRECT(ADDRESS(2,COLUMN())),OFFSET($AT$2,0,0,ROW()-1,40),ROW()-1,FALSE))</f>
        <v>1538</v>
      </c>
      <c r="V29">
        <f ca="1">IF(AND(ISNUMBER($V$68),$B$64=1),$V$68,HLOOKUP(INDIRECT(ADDRESS(2,COLUMN())),OFFSET($AT$2,0,0,ROW()-1,40),ROW()-1,FALSE))</f>
        <v>1146</v>
      </c>
      <c r="W29">
        <f ca="1">IF(AND(ISNUMBER($W$68),$B$64=1),$W$68,HLOOKUP(INDIRECT(ADDRESS(2,COLUMN())),OFFSET($AT$2,0,0,ROW()-1,40),ROW()-1,FALSE))</f>
        <v>1228</v>
      </c>
      <c r="X29">
        <f ca="1">IF(AND(ISNUMBER($X$68),$B$64=1),$X$68,HLOOKUP(INDIRECT(ADDRESS(2,COLUMN())),OFFSET($AT$2,0,0,ROW()-1,40),ROW()-1,FALSE))</f>
        <v>1297</v>
      </c>
      <c r="Y29">
        <f ca="1">IF(AND(ISNUMBER($Y$68),$B$64=1),$Y$68,HLOOKUP(INDIRECT(ADDRESS(2,COLUMN())),OFFSET($AT$2,0,0,ROW()-1,40),ROW()-1,FALSE))</f>
        <v>1650</v>
      </c>
      <c r="Z29">
        <f ca="1">IF(AND(ISNUMBER($Z$68),$B$64=1),$Z$68,HLOOKUP(INDIRECT(ADDRESS(2,COLUMN())),OFFSET($AT$2,0,0,ROW()-1,40),ROW()-1,FALSE))</f>
        <v>1176</v>
      </c>
      <c r="AA29">
        <f ca="1">IF(AND(ISNUMBER($AA$68),$B$64=1),$AA$68,HLOOKUP(INDIRECT(ADDRESS(2,COLUMN())),OFFSET($AT$2,0,0,ROW()-1,40),ROW()-1,FALSE))</f>
        <v>1397</v>
      </c>
      <c r="AB29">
        <f ca="1">IF(AND(ISNUMBER($AB$68),$B$64=1),$AB$68,HLOOKUP(INDIRECT(ADDRESS(2,COLUMN())),OFFSET($AT$2,0,0,ROW()-1,40),ROW()-1,FALSE))</f>
        <v>1709</v>
      </c>
      <c r="AC29">
        <f ca="1">IF(AND(ISNUMBER($AC$68),$B$64=1),$AC$68,HLOOKUP(INDIRECT(ADDRESS(2,COLUMN())),OFFSET($AT$2,0,0,ROW()-1,40),ROW()-1,FALSE))</f>
        <v>1257</v>
      </c>
      <c r="AD29">
        <f ca="1">IF(AND(ISNUMBER($AD$68),$B$64=1),$AD$68,HLOOKUP(INDIRECT(ADDRESS(2,COLUMN())),OFFSET($AT$2,0,0,ROW()-1,40),ROW()-1,FALSE))</f>
        <v>1788</v>
      </c>
      <c r="AE29">
        <f ca="1">IF(AND(ISNUMBER($AE$68),$B$64=1),$AE$68,HLOOKUP(INDIRECT(ADDRESS(2,COLUMN())),OFFSET($AT$2,0,0,ROW()-1,40),ROW()-1,FALSE))</f>
        <v>1542</v>
      </c>
      <c r="AF29">
        <f ca="1">IF(AND(ISNUMBER($AF$68),$B$64=1),$AF$68,HLOOKUP(INDIRECT(ADDRESS(2,COLUMN())),OFFSET($AT$2,0,0,ROW()-1,40),ROW()-1,FALSE))</f>
        <v>1530</v>
      </c>
      <c r="AG29">
        <f ca="1">IF(AND(ISNUMBER($AG$68),$B$64=1),$AG$68,HLOOKUP(INDIRECT(ADDRESS(2,COLUMN())),OFFSET($AT$2,0,0,ROW()-1,40),ROW()-1,FALSE))</f>
        <v>1669</v>
      </c>
      <c r="AH29">
        <f ca="1">IF(AND(ISNUMBER($AH$68),$B$64=1),$AH$68,HLOOKUP(INDIRECT(ADDRESS(2,COLUMN())),OFFSET($AT$2,0,0,ROW()-1,40),ROW()-1,FALSE))</f>
        <v>1543</v>
      </c>
      <c r="AI29">
        <f ca="1">IF(AND(ISNUMBER($AI$68),$B$64=1),$AI$68,HLOOKUP(INDIRECT(ADDRESS(2,COLUMN())),OFFSET($AT$2,0,0,ROW()-1,40),ROW()-1,FALSE))</f>
        <v>1660</v>
      </c>
      <c r="AJ29">
        <f ca="1">IF(AND(ISNUMBER($AJ$68),$B$64=1),$AJ$68,HLOOKUP(INDIRECT(ADDRESS(2,COLUMN())),OFFSET($AT$2,0,0,ROW()-1,40),ROW()-1,FALSE))</f>
        <v>1547</v>
      </c>
      <c r="AK29">
        <f ca="1">IF(AND(ISNUMBER($AK$68),$B$64=1),$AK$68,HLOOKUP(INDIRECT(ADDRESS(2,COLUMN())),OFFSET($AT$2,0,0,ROW()-1,40),ROW()-1,FALSE))</f>
        <v>1461</v>
      </c>
      <c r="AL29">
        <f ca="1">IF(AND(ISNUMBER($AL$68),$B$64=1),$AL$68,HLOOKUP(INDIRECT(ADDRESS(2,COLUMN())),OFFSET($AT$2,0,0,ROW()-1,40),ROW()-1,FALSE))</f>
        <v>1061</v>
      </c>
      <c r="AM29">
        <f ca="1">IF(AND(ISNUMBER($AM$68),$B$64=1),$AM$68,HLOOKUP(INDIRECT(ADDRESS(2,COLUMN())),OFFSET($AT$2,0,0,ROW()-1,40),ROW()-1,FALSE))</f>
        <v>1896</v>
      </c>
      <c r="AN29">
        <f ca="1">IF(AND(ISNUMBER($AN$68),$B$64=1),$AN$68,HLOOKUP(INDIRECT(ADDRESS(2,COLUMN())),OFFSET($AT$2,0,0,ROW()-1,40),ROW()-1,FALSE))</f>
        <v>4521</v>
      </c>
      <c r="AO29">
        <f ca="1">IF(AND(ISNUMBER($AO$68),$B$64=1),$AO$68,HLOOKUP(INDIRECT(ADDRESS(2,COLUMN())),OFFSET($AT$2,0,0,ROW()-1,40),ROW()-1,FALSE))</f>
        <v>3907</v>
      </c>
      <c r="AP29">
        <f ca="1">IF(AND(ISNUMBER($AP$68),$B$64=1),$AP$68,HLOOKUP(INDIRECT(ADDRESS(2,COLUMN())),OFFSET($AT$2,0,0,ROW()-1,40),ROW()-1,FALSE))</f>
        <v>3938</v>
      </c>
      <c r="AQ29">
        <f ca="1">IF(AND(ISNUMBER($AQ$68),$B$64=1),$AQ$68,HLOOKUP(INDIRECT(ADDRESS(2,COLUMN())),OFFSET($AT$2,0,0,ROW()-1,40),ROW()-1,FALSE))</f>
        <v>3598</v>
      </c>
      <c r="AR29">
        <f ca="1">IF(AND(ISNUMBER($AR$68),$B$64=1),$AR$68,HLOOKUP(INDIRECT(ADDRESS(2,COLUMN())),OFFSET($AT$2,0,0,ROW()-1,40),ROW()-1,FALSE))</f>
        <v>3571</v>
      </c>
      <c r="AS29">
        <f ca="1">IF(AND(ISNUMBER($AS$68),$B$64=1),$AS$68,HLOOKUP(INDIRECT(ADDRESS(2,COLUMN())),OFFSET($AT$2,0,0,ROW()-1,40),ROW()-1,FALSE))</f>
        <v>4121</v>
      </c>
      <c r="AT29">
        <f>1974</f>
        <v>1974</v>
      </c>
      <c r="AU29">
        <f>1725</f>
        <v>1725</v>
      </c>
      <c r="AV29">
        <f>1693</f>
        <v>1693</v>
      </c>
      <c r="AW29">
        <f>1555</f>
        <v>1555</v>
      </c>
      <c r="AX29">
        <f>1406</f>
        <v>1406</v>
      </c>
      <c r="AY29">
        <f>1486</f>
        <v>1486</v>
      </c>
      <c r="AZ29">
        <f>1308</f>
        <v>1308</v>
      </c>
      <c r="BA29">
        <f>1468</f>
        <v>1468</v>
      </c>
      <c r="BB29">
        <f>901</f>
        <v>901</v>
      </c>
      <c r="BC29">
        <f>1003</f>
        <v>1003</v>
      </c>
      <c r="BD29">
        <f>1354</f>
        <v>1354</v>
      </c>
      <c r="BE29">
        <f>1139</f>
        <v>1139</v>
      </c>
      <c r="BF29">
        <f>853</f>
        <v>853</v>
      </c>
      <c r="BG29">
        <f>1125</f>
        <v>1125</v>
      </c>
      <c r="BH29">
        <f>1299</f>
        <v>1299</v>
      </c>
      <c r="BI29">
        <f>1538</f>
        <v>1538</v>
      </c>
      <c r="BJ29">
        <f>1146</f>
        <v>1146</v>
      </c>
      <c r="BK29">
        <f>1228</f>
        <v>1228</v>
      </c>
      <c r="BL29">
        <f>1297</f>
        <v>1297</v>
      </c>
      <c r="BM29">
        <f>1650</f>
        <v>1650</v>
      </c>
      <c r="BN29">
        <f>1176</f>
        <v>1176</v>
      </c>
      <c r="BO29">
        <f>1397</f>
        <v>1397</v>
      </c>
      <c r="BP29">
        <f>1709</f>
        <v>1709</v>
      </c>
      <c r="BQ29">
        <f>1257</f>
        <v>1257</v>
      </c>
      <c r="BR29">
        <f>1788</f>
        <v>1788</v>
      </c>
      <c r="BS29">
        <f>1542</f>
        <v>1542</v>
      </c>
      <c r="BT29">
        <f>1530</f>
        <v>1530</v>
      </c>
      <c r="BU29">
        <f>1669</f>
        <v>1669</v>
      </c>
      <c r="BV29">
        <f>1543</f>
        <v>1543</v>
      </c>
      <c r="BW29">
        <f>1660</f>
        <v>1660</v>
      </c>
      <c r="BX29">
        <f>1547</f>
        <v>1547</v>
      </c>
      <c r="BY29">
        <f>1461</f>
        <v>1461</v>
      </c>
      <c r="BZ29">
        <f>1061</f>
        <v>1061</v>
      </c>
      <c r="CA29">
        <f>1896</f>
        <v>1896</v>
      </c>
      <c r="CB29">
        <f>4521</f>
        <v>4521</v>
      </c>
      <c r="CC29">
        <f>3907</f>
        <v>3907</v>
      </c>
      <c r="CD29">
        <f>3938</f>
        <v>3938</v>
      </c>
      <c r="CE29">
        <f>3598</f>
        <v>3598</v>
      </c>
      <c r="CF29">
        <f>3571</f>
        <v>3571</v>
      </c>
      <c r="CG29">
        <f>4121</f>
        <v>4121</v>
      </c>
    </row>
    <row r="30" spans="1:85" x14ac:dyDescent="0.25">
      <c r="A30" t="str">
        <f>"    Scania"</f>
        <v xml:space="preserve">    Scania</v>
      </c>
      <c r="B30" t="str">
        <f>"BRTRHSCA Index"</f>
        <v>BRTRHSCA Index</v>
      </c>
      <c r="C30" t="str">
        <f t="shared" ref="C30:C37" si="3">"PX385"</f>
        <v>PX385</v>
      </c>
      <c r="D30" t="str">
        <f t="shared" ref="D30:D37" si="4">"INTERVAL_SUM"</f>
        <v>INTERVAL_SUM</v>
      </c>
      <c r="E30" t="str">
        <f t="shared" si="2"/>
        <v>Dynamic</v>
      </c>
      <c r="F30">
        <f ca="1">IF(AND(ISNUMBER($F$69),$B$64=1),$F$69,HLOOKUP(INDIRECT(ADDRESS(2,COLUMN())),OFFSET($AT$2,0,0,ROW()-1,40),ROW()-1,FALSE))</f>
        <v>511</v>
      </c>
      <c r="G30">
        <f ca="1">IF(AND(ISNUMBER($G$69),$B$64=1),$G$69,HLOOKUP(INDIRECT(ADDRESS(2,COLUMN())),OFFSET($AT$2,0,0,ROW()-1,40),ROW()-1,FALSE))</f>
        <v>428</v>
      </c>
      <c r="H30">
        <f ca="1">IF(AND(ISNUMBER($H$69),$B$64=1),$H$69,HLOOKUP(INDIRECT(ADDRESS(2,COLUMN())),OFFSET($AT$2,0,0,ROW()-1,40),ROW()-1,FALSE))</f>
        <v>371</v>
      </c>
      <c r="I30">
        <f ca="1">IF(AND(ISNUMBER($I$69),$B$64=1),$I$69,HLOOKUP(INDIRECT(ADDRESS(2,COLUMN())),OFFSET($AT$2,0,0,ROW()-1,40),ROW()-1,FALSE))</f>
        <v>432</v>
      </c>
      <c r="J30">
        <f ca="1">IF(AND(ISNUMBER($J$69),$B$64=1),$J$69,HLOOKUP(INDIRECT(ADDRESS(2,COLUMN())),OFFSET($AT$2,0,0,ROW()-1,40),ROW()-1,FALSE))</f>
        <v>355</v>
      </c>
      <c r="K30">
        <f ca="1">IF(AND(ISNUMBER($K$69),$B$64=1),$K$69,HLOOKUP(INDIRECT(ADDRESS(2,COLUMN())),OFFSET($AT$2,0,0,ROW()-1,40),ROW()-1,FALSE))</f>
        <v>365</v>
      </c>
      <c r="L30">
        <f ca="1">IF(AND(ISNUMBER($L$69),$B$64=1),$L$69,HLOOKUP(INDIRECT(ADDRESS(2,COLUMN())),OFFSET($AT$2,0,0,ROW()-1,40),ROW()-1,FALSE))</f>
        <v>281</v>
      </c>
      <c r="M30">
        <f ca="1">IF(AND(ISNUMBER($M$69),$B$64=1),$M$69,HLOOKUP(INDIRECT(ADDRESS(2,COLUMN())),OFFSET($AT$2,0,0,ROW()-1,40),ROW()-1,FALSE))</f>
        <v>443</v>
      </c>
      <c r="N30">
        <f ca="1">IF(AND(ISNUMBER($N$69),$B$64=1),$N$69,HLOOKUP(INDIRECT(ADDRESS(2,COLUMN())),OFFSET($AT$2,0,0,ROW()-1,40),ROW()-1,FALSE))</f>
        <v>194</v>
      </c>
      <c r="O30">
        <f ca="1">IF(AND(ISNUMBER($O$69),$B$64=1),$O$69,HLOOKUP(INDIRECT(ADDRESS(2,COLUMN())),OFFSET($AT$2,0,0,ROW()-1,40),ROW()-1,FALSE))</f>
        <v>274</v>
      </c>
      <c r="P30">
        <f ca="1">IF(AND(ISNUMBER($P$69),$B$64=1),$P$69,HLOOKUP(INDIRECT(ADDRESS(2,COLUMN())),OFFSET($AT$2,0,0,ROW()-1,40),ROW()-1,FALSE))</f>
        <v>254</v>
      </c>
      <c r="Q30">
        <f ca="1">IF(AND(ISNUMBER($Q$69),$B$64=1),$Q$69,HLOOKUP(INDIRECT(ADDRESS(2,COLUMN())),OFFSET($AT$2,0,0,ROW()-1,40),ROW()-1,FALSE))</f>
        <v>278</v>
      </c>
      <c r="R30">
        <f ca="1">IF(AND(ISNUMBER($R$69),$B$64=1),$R$69,HLOOKUP(INDIRECT(ADDRESS(2,COLUMN())),OFFSET($AT$2,0,0,ROW()-1,40),ROW()-1,FALSE))</f>
        <v>264</v>
      </c>
      <c r="S30">
        <f ca="1">IF(AND(ISNUMBER($S$69),$B$64=1),$S$69,HLOOKUP(INDIRECT(ADDRESS(2,COLUMN())),OFFSET($AT$2,0,0,ROW()-1,40),ROW()-1,FALSE))</f>
        <v>308</v>
      </c>
      <c r="T30">
        <f ca="1">IF(AND(ISNUMBER($T$69),$B$64=1),$T$69,HLOOKUP(INDIRECT(ADDRESS(2,COLUMN())),OFFSET($AT$2,0,0,ROW()-1,40),ROW()-1,FALSE))</f>
        <v>302</v>
      </c>
      <c r="U30">
        <f ca="1">IF(AND(ISNUMBER($U$69),$B$64=1),$U$69,HLOOKUP(INDIRECT(ADDRESS(2,COLUMN())),OFFSET($AT$2,0,0,ROW()-1,40),ROW()-1,FALSE))</f>
        <v>372</v>
      </c>
      <c r="V30">
        <f ca="1">IF(AND(ISNUMBER($V$69),$B$64=1),$V$69,HLOOKUP(INDIRECT(ADDRESS(2,COLUMN())),OFFSET($AT$2,0,0,ROW()-1,40),ROW()-1,FALSE))</f>
        <v>364</v>
      </c>
      <c r="W30">
        <f ca="1">IF(AND(ISNUMBER($W$69),$B$64=1),$W$69,HLOOKUP(INDIRECT(ADDRESS(2,COLUMN())),OFFSET($AT$2,0,0,ROW()-1,40),ROW()-1,FALSE))</f>
        <v>319</v>
      </c>
      <c r="X30">
        <f ca="1">IF(AND(ISNUMBER($X$69),$B$64=1),$X$69,HLOOKUP(INDIRECT(ADDRESS(2,COLUMN())),OFFSET($AT$2,0,0,ROW()-1,40),ROW()-1,FALSE))</f>
        <v>224</v>
      </c>
      <c r="Y30">
        <f ca="1">IF(AND(ISNUMBER($Y$69),$B$64=1),$Y$69,HLOOKUP(INDIRECT(ADDRESS(2,COLUMN())),OFFSET($AT$2,0,0,ROW()-1,40),ROW()-1,FALSE))</f>
        <v>381</v>
      </c>
      <c r="Z30">
        <f ca="1">IF(AND(ISNUMBER($Z$69),$B$64=1),$Z$69,HLOOKUP(INDIRECT(ADDRESS(2,COLUMN())),OFFSET($AT$2,0,0,ROW()-1,40),ROW()-1,FALSE))</f>
        <v>199</v>
      </c>
      <c r="AA30">
        <f ca="1">IF(AND(ISNUMBER($AA$69),$B$64=1),$AA$69,HLOOKUP(INDIRECT(ADDRESS(2,COLUMN())),OFFSET($AT$2,0,0,ROW()-1,40),ROW()-1,FALSE))</f>
        <v>277</v>
      </c>
      <c r="AB30">
        <f ca="1">IF(AND(ISNUMBER($AB$69),$B$64=1),$AB$69,HLOOKUP(INDIRECT(ADDRESS(2,COLUMN())),OFFSET($AT$2,0,0,ROW()-1,40),ROW()-1,FALSE))</f>
        <v>409</v>
      </c>
      <c r="AC30">
        <f ca="1">IF(AND(ISNUMBER($AC$69),$B$64=1),$AC$69,HLOOKUP(INDIRECT(ADDRESS(2,COLUMN())),OFFSET($AT$2,0,0,ROW()-1,40),ROW()-1,FALSE))</f>
        <v>312</v>
      </c>
      <c r="AD30">
        <f ca="1">IF(AND(ISNUMBER($AD$69),$B$64=1),$AD$69,HLOOKUP(INDIRECT(ADDRESS(2,COLUMN())),OFFSET($AT$2,0,0,ROW()-1,40),ROW()-1,FALSE))</f>
        <v>395</v>
      </c>
      <c r="AE30">
        <f ca="1">IF(AND(ISNUMBER($AE$69),$B$64=1),$AE$69,HLOOKUP(INDIRECT(ADDRESS(2,COLUMN())),OFFSET($AT$2,0,0,ROW()-1,40),ROW()-1,FALSE))</f>
        <v>399</v>
      </c>
      <c r="AF30">
        <f ca="1">IF(AND(ISNUMBER($AF$69),$B$64=1),$AF$69,HLOOKUP(INDIRECT(ADDRESS(2,COLUMN())),OFFSET($AT$2,0,0,ROW()-1,40),ROW()-1,FALSE))</f>
        <v>332</v>
      </c>
      <c r="AG30">
        <f ca="1">IF(AND(ISNUMBER($AG$69),$B$64=1),$AG$69,HLOOKUP(INDIRECT(ADDRESS(2,COLUMN())),OFFSET($AT$2,0,0,ROW()-1,40),ROW()-1,FALSE))</f>
        <v>321</v>
      </c>
      <c r="AH30">
        <f ca="1">IF(AND(ISNUMBER($AH$69),$B$64=1),$AH$69,HLOOKUP(INDIRECT(ADDRESS(2,COLUMN())),OFFSET($AT$2,0,0,ROW()-1,40),ROW()-1,FALSE))</f>
        <v>318</v>
      </c>
      <c r="AI30">
        <f ca="1">IF(AND(ISNUMBER($AI$69),$B$64=1),$AI$69,HLOOKUP(INDIRECT(ADDRESS(2,COLUMN())),OFFSET($AT$2,0,0,ROW()-1,40),ROW()-1,FALSE))</f>
        <v>309</v>
      </c>
      <c r="AJ30">
        <f ca="1">IF(AND(ISNUMBER($AJ$69),$B$64=1),$AJ$69,HLOOKUP(INDIRECT(ADDRESS(2,COLUMN())),OFFSET($AT$2,0,0,ROW()-1,40),ROW()-1,FALSE))</f>
        <v>374</v>
      </c>
      <c r="AK30">
        <f ca="1">IF(AND(ISNUMBER($AK$69),$B$64=1),$AK$69,HLOOKUP(INDIRECT(ADDRESS(2,COLUMN())),OFFSET($AT$2,0,0,ROW()-1,40),ROW()-1,FALSE))</f>
        <v>242</v>
      </c>
      <c r="AL30">
        <f ca="1">IF(AND(ISNUMBER($AL$69),$B$64=1),$AL$69,HLOOKUP(INDIRECT(ADDRESS(2,COLUMN())),OFFSET($AT$2,0,0,ROW()-1,40),ROW()-1,FALSE))</f>
        <v>299</v>
      </c>
      <c r="AM30">
        <f ca="1">IF(AND(ISNUMBER($AM$69),$B$64=1),$AM$69,HLOOKUP(INDIRECT(ADDRESS(2,COLUMN())),OFFSET($AT$2,0,0,ROW()-1,40),ROW()-1,FALSE))</f>
        <v>481</v>
      </c>
      <c r="AN30">
        <f ca="1">IF(AND(ISNUMBER($AN$69),$B$64=1),$AN$69,HLOOKUP(INDIRECT(ADDRESS(2,COLUMN())),OFFSET($AT$2,0,0,ROW()-1,40),ROW()-1,FALSE))</f>
        <v>1083</v>
      </c>
      <c r="AO30">
        <f ca="1">IF(AND(ISNUMBER($AO$69),$B$64=1),$AO$69,HLOOKUP(INDIRECT(ADDRESS(2,COLUMN())),OFFSET($AT$2,0,0,ROW()-1,40),ROW()-1,FALSE))</f>
        <v>1042</v>
      </c>
      <c r="AP30">
        <f ca="1">IF(AND(ISNUMBER($AP$69),$B$64=1),$AP$69,HLOOKUP(INDIRECT(ADDRESS(2,COLUMN())),OFFSET($AT$2,0,0,ROW()-1,40),ROW()-1,FALSE))</f>
        <v>997</v>
      </c>
      <c r="AQ30">
        <f ca="1">IF(AND(ISNUMBER($AQ$69),$B$64=1),$AQ$69,HLOOKUP(INDIRECT(ADDRESS(2,COLUMN())),OFFSET($AT$2,0,0,ROW()-1,40),ROW()-1,FALSE))</f>
        <v>965</v>
      </c>
      <c r="AR30">
        <f ca="1">IF(AND(ISNUMBER($AR$69),$B$64=1),$AR$69,HLOOKUP(INDIRECT(ADDRESS(2,COLUMN())),OFFSET($AT$2,0,0,ROW()-1,40),ROW()-1,FALSE))</f>
        <v>871</v>
      </c>
      <c r="AS30">
        <f ca="1">IF(AND(ISNUMBER($AS$69),$B$64=1),$AS$69,HLOOKUP(INDIRECT(ADDRESS(2,COLUMN())),OFFSET($AT$2,0,0,ROW()-1,40),ROW()-1,FALSE))</f>
        <v>977</v>
      </c>
      <c r="AT30">
        <f>511</f>
        <v>511</v>
      </c>
      <c r="AU30">
        <f>428</f>
        <v>428</v>
      </c>
      <c r="AV30">
        <f>371</f>
        <v>371</v>
      </c>
      <c r="AW30">
        <f>432</f>
        <v>432</v>
      </c>
      <c r="AX30">
        <f>355</f>
        <v>355</v>
      </c>
      <c r="AY30">
        <f>365</f>
        <v>365</v>
      </c>
      <c r="AZ30">
        <f>281</f>
        <v>281</v>
      </c>
      <c r="BA30">
        <f>443</f>
        <v>443</v>
      </c>
      <c r="BB30">
        <f>194</f>
        <v>194</v>
      </c>
      <c r="BC30">
        <f>274</f>
        <v>274</v>
      </c>
      <c r="BD30">
        <f>254</f>
        <v>254</v>
      </c>
      <c r="BE30">
        <f>278</f>
        <v>278</v>
      </c>
      <c r="BF30">
        <f>264</f>
        <v>264</v>
      </c>
      <c r="BG30">
        <f>308</f>
        <v>308</v>
      </c>
      <c r="BH30">
        <f>302</f>
        <v>302</v>
      </c>
      <c r="BI30">
        <f>372</f>
        <v>372</v>
      </c>
      <c r="BJ30">
        <f>364</f>
        <v>364</v>
      </c>
      <c r="BK30">
        <f>319</f>
        <v>319</v>
      </c>
      <c r="BL30">
        <f>224</f>
        <v>224</v>
      </c>
      <c r="BM30">
        <f>381</f>
        <v>381</v>
      </c>
      <c r="BN30">
        <f>199</f>
        <v>199</v>
      </c>
      <c r="BO30">
        <f>277</f>
        <v>277</v>
      </c>
      <c r="BP30">
        <f>409</f>
        <v>409</v>
      </c>
      <c r="BQ30">
        <f>312</f>
        <v>312</v>
      </c>
      <c r="BR30">
        <f>395</f>
        <v>395</v>
      </c>
      <c r="BS30">
        <f>399</f>
        <v>399</v>
      </c>
      <c r="BT30">
        <f>332</f>
        <v>332</v>
      </c>
      <c r="BU30">
        <f>321</f>
        <v>321</v>
      </c>
      <c r="BV30">
        <f>318</f>
        <v>318</v>
      </c>
      <c r="BW30">
        <f>309</f>
        <v>309</v>
      </c>
      <c r="BX30">
        <f>374</f>
        <v>374</v>
      </c>
      <c r="BY30">
        <f>242</f>
        <v>242</v>
      </c>
      <c r="BZ30">
        <f>299</f>
        <v>299</v>
      </c>
      <c r="CA30">
        <f>481</f>
        <v>481</v>
      </c>
      <c r="CB30">
        <f>1083</f>
        <v>1083</v>
      </c>
      <c r="CC30">
        <f>1042</f>
        <v>1042</v>
      </c>
      <c r="CD30">
        <f>997</f>
        <v>997</v>
      </c>
      <c r="CE30">
        <f>965</f>
        <v>965</v>
      </c>
      <c r="CF30">
        <f>871</f>
        <v>871</v>
      </c>
      <c r="CG30">
        <f>977</f>
        <v>977</v>
      </c>
    </row>
    <row r="31" spans="1:85" x14ac:dyDescent="0.25">
      <c r="A31" t="str">
        <f>"    Volvo"</f>
        <v xml:space="preserve">    Volvo</v>
      </c>
      <c r="B31" t="str">
        <f>"BRTRHVOL Index"</f>
        <v>BRTRHVOL Index</v>
      </c>
      <c r="C31" t="str">
        <f t="shared" si="3"/>
        <v>PX385</v>
      </c>
      <c r="D31" t="str">
        <f t="shared" si="4"/>
        <v>INTERVAL_SUM</v>
      </c>
      <c r="E31" t="str">
        <f t="shared" si="2"/>
        <v>Dynamic</v>
      </c>
      <c r="F31">
        <f ca="1">IF(AND(ISNUMBER($F$70),$B$64=1),$F$70,HLOOKUP(INDIRECT(ADDRESS(2,COLUMN())),OFFSET($AT$2,0,0,ROW()-1,40),ROW()-1,FALSE))</f>
        <v>584</v>
      </c>
      <c r="G31">
        <f ca="1">IF(AND(ISNUMBER($G$70),$B$64=1),$G$70,HLOOKUP(INDIRECT(ADDRESS(2,COLUMN())),OFFSET($AT$2,0,0,ROW()-1,40),ROW()-1,FALSE))</f>
        <v>421</v>
      </c>
      <c r="H31">
        <f ca="1">IF(AND(ISNUMBER($H$70),$B$64=1),$H$70,HLOOKUP(INDIRECT(ADDRESS(2,COLUMN())),OFFSET($AT$2,0,0,ROW()-1,40),ROW()-1,FALSE))</f>
        <v>414</v>
      </c>
      <c r="I31">
        <f ca="1">IF(AND(ISNUMBER($I$70),$B$64=1),$I$70,HLOOKUP(INDIRECT(ADDRESS(2,COLUMN())),OFFSET($AT$2,0,0,ROW()-1,40),ROW()-1,FALSE))</f>
        <v>447</v>
      </c>
      <c r="J31">
        <f ca="1">IF(AND(ISNUMBER($J$70),$B$64=1),$J$70,HLOOKUP(INDIRECT(ADDRESS(2,COLUMN())),OFFSET($AT$2,0,0,ROW()-1,40),ROW()-1,FALSE))</f>
        <v>400</v>
      </c>
      <c r="K31">
        <f ca="1">IF(AND(ISNUMBER($K$70),$B$64=1),$K$70,HLOOKUP(INDIRECT(ADDRESS(2,COLUMN())),OFFSET($AT$2,0,0,ROW()-1,40),ROW()-1,FALSE))</f>
        <v>388</v>
      </c>
      <c r="L31">
        <f ca="1">IF(AND(ISNUMBER($L$70),$B$64=1),$L$70,HLOOKUP(INDIRECT(ADDRESS(2,COLUMN())),OFFSET($AT$2,0,0,ROW()-1,40),ROW()-1,FALSE))</f>
        <v>358</v>
      </c>
      <c r="M31">
        <f ca="1">IF(AND(ISNUMBER($M$70),$B$64=1),$M$70,HLOOKUP(INDIRECT(ADDRESS(2,COLUMN())),OFFSET($AT$2,0,0,ROW()-1,40),ROW()-1,FALSE))</f>
        <v>302</v>
      </c>
      <c r="N31">
        <f ca="1">IF(AND(ISNUMBER($N$70),$B$64=1),$N$70,HLOOKUP(INDIRECT(ADDRESS(2,COLUMN())),OFFSET($AT$2,0,0,ROW()-1,40),ROW()-1,FALSE))</f>
        <v>328</v>
      </c>
      <c r="O31">
        <f ca="1">IF(AND(ISNUMBER($O$70),$B$64=1),$O$70,HLOOKUP(INDIRECT(ADDRESS(2,COLUMN())),OFFSET($AT$2,0,0,ROW()-1,40),ROW()-1,FALSE))</f>
        <v>273</v>
      </c>
      <c r="P31">
        <f ca="1">IF(AND(ISNUMBER($P$70),$B$64=1),$P$70,HLOOKUP(INDIRECT(ADDRESS(2,COLUMN())),OFFSET($AT$2,0,0,ROW()-1,40),ROW()-1,FALSE))</f>
        <v>520</v>
      </c>
      <c r="Q31">
        <f ca="1">IF(AND(ISNUMBER($Q$70),$B$64=1),$Q$70,HLOOKUP(INDIRECT(ADDRESS(2,COLUMN())),OFFSET($AT$2,0,0,ROW()-1,40),ROW()-1,FALSE))</f>
        <v>324</v>
      </c>
      <c r="R31">
        <f ca="1">IF(AND(ISNUMBER($R$70),$B$64=1),$R$70,HLOOKUP(INDIRECT(ADDRESS(2,COLUMN())),OFFSET($AT$2,0,0,ROW()-1,40),ROW()-1,FALSE))</f>
        <v>207</v>
      </c>
      <c r="S31">
        <f ca="1">IF(AND(ISNUMBER($S$70),$B$64=1),$S$70,HLOOKUP(INDIRECT(ADDRESS(2,COLUMN())),OFFSET($AT$2,0,0,ROW()-1,40),ROW()-1,FALSE))</f>
        <v>330</v>
      </c>
      <c r="T31">
        <f ca="1">IF(AND(ISNUMBER($T$70),$B$64=1),$T$70,HLOOKUP(INDIRECT(ADDRESS(2,COLUMN())),OFFSET($AT$2,0,0,ROW()-1,40),ROW()-1,FALSE))</f>
        <v>387</v>
      </c>
      <c r="U31">
        <f ca="1">IF(AND(ISNUMBER($U$70),$B$64=1),$U$70,HLOOKUP(INDIRECT(ADDRESS(2,COLUMN())),OFFSET($AT$2,0,0,ROW()-1,40),ROW()-1,FALSE))</f>
        <v>340</v>
      </c>
      <c r="V31">
        <f ca="1">IF(AND(ISNUMBER($V$70),$B$64=1),$V$70,HLOOKUP(INDIRECT(ADDRESS(2,COLUMN())),OFFSET($AT$2,0,0,ROW()-1,40),ROW()-1,FALSE))</f>
        <v>295</v>
      </c>
      <c r="W31">
        <f ca="1">IF(AND(ISNUMBER($W$70),$B$64=1),$W$70,HLOOKUP(INDIRECT(ADDRESS(2,COLUMN())),OFFSET($AT$2,0,0,ROW()-1,40),ROW()-1,FALSE))</f>
        <v>315</v>
      </c>
      <c r="X31">
        <f ca="1">IF(AND(ISNUMBER($X$70),$B$64=1),$X$70,HLOOKUP(INDIRECT(ADDRESS(2,COLUMN())),OFFSET($AT$2,0,0,ROW()-1,40),ROW()-1,FALSE))</f>
        <v>362</v>
      </c>
      <c r="Y31">
        <f ca="1">IF(AND(ISNUMBER($Y$70),$B$64=1),$Y$70,HLOOKUP(INDIRECT(ADDRESS(2,COLUMN())),OFFSET($AT$2,0,0,ROW()-1,40),ROW()-1,FALSE))</f>
        <v>369</v>
      </c>
      <c r="Z31">
        <f ca="1">IF(AND(ISNUMBER($Z$70),$B$64=1),$Z$70,HLOOKUP(INDIRECT(ADDRESS(2,COLUMN())),OFFSET($AT$2,0,0,ROW()-1,40),ROW()-1,FALSE))</f>
        <v>382</v>
      </c>
      <c r="AA31">
        <f ca="1">IF(AND(ISNUMBER($AA$70),$B$64=1),$AA$70,HLOOKUP(INDIRECT(ADDRESS(2,COLUMN())),OFFSET($AT$2,0,0,ROW()-1,40),ROW()-1,FALSE))</f>
        <v>412</v>
      </c>
      <c r="AB31">
        <f ca="1">IF(AND(ISNUMBER($AB$70),$B$64=1),$AB$70,HLOOKUP(INDIRECT(ADDRESS(2,COLUMN())),OFFSET($AT$2,0,0,ROW()-1,40),ROW()-1,FALSE))</f>
        <v>438</v>
      </c>
      <c r="AC31">
        <f ca="1">IF(AND(ISNUMBER($AC$70),$B$64=1),$AC$70,HLOOKUP(INDIRECT(ADDRESS(2,COLUMN())),OFFSET($AT$2,0,0,ROW()-1,40),ROW()-1,FALSE))</f>
        <v>368</v>
      </c>
      <c r="AD31">
        <f ca="1">IF(AND(ISNUMBER($AD$70),$B$64=1),$AD$70,HLOOKUP(INDIRECT(ADDRESS(2,COLUMN())),OFFSET($AT$2,0,0,ROW()-1,40),ROW()-1,FALSE))</f>
        <v>542</v>
      </c>
      <c r="AE31">
        <f ca="1">IF(AND(ISNUMBER($AE$70),$B$64=1),$AE$70,HLOOKUP(INDIRECT(ADDRESS(2,COLUMN())),OFFSET($AT$2,0,0,ROW()-1,40),ROW()-1,FALSE))</f>
        <v>458</v>
      </c>
      <c r="AF31">
        <f ca="1">IF(AND(ISNUMBER($AF$70),$B$64=1),$AF$70,HLOOKUP(INDIRECT(ADDRESS(2,COLUMN())),OFFSET($AT$2,0,0,ROW()-1,40),ROW()-1,FALSE))</f>
        <v>430</v>
      </c>
      <c r="AG31">
        <f ca="1">IF(AND(ISNUMBER($AG$70),$B$64=1),$AG$70,HLOOKUP(INDIRECT(ADDRESS(2,COLUMN())),OFFSET($AT$2,0,0,ROW()-1,40),ROW()-1,FALSE))</f>
        <v>493</v>
      </c>
      <c r="AH31">
        <f ca="1">IF(AND(ISNUMBER($AH$70),$B$64=1),$AH$70,HLOOKUP(INDIRECT(ADDRESS(2,COLUMN())),OFFSET($AT$2,0,0,ROW()-1,40),ROW()-1,FALSE))</f>
        <v>516</v>
      </c>
      <c r="AI31">
        <f ca="1">IF(AND(ISNUMBER($AI$70),$B$64=1),$AI$70,HLOOKUP(INDIRECT(ADDRESS(2,COLUMN())),OFFSET($AT$2,0,0,ROW()-1,40),ROW()-1,FALSE))</f>
        <v>607</v>
      </c>
      <c r="AJ31">
        <f ca="1">IF(AND(ISNUMBER($AJ$70),$B$64=1),$AJ$70,HLOOKUP(INDIRECT(ADDRESS(2,COLUMN())),OFFSET($AT$2,0,0,ROW()-1,40),ROW()-1,FALSE))</f>
        <v>460</v>
      </c>
      <c r="AK31">
        <f ca="1">IF(AND(ISNUMBER($AK$70),$B$64=1),$AK$70,HLOOKUP(INDIRECT(ADDRESS(2,COLUMN())),OFFSET($AT$2,0,0,ROW()-1,40),ROW()-1,FALSE))</f>
        <v>446</v>
      </c>
      <c r="AL31">
        <f ca="1">IF(AND(ISNUMBER($AL$70),$B$64=1),$AL$70,HLOOKUP(INDIRECT(ADDRESS(2,COLUMN())),OFFSET($AT$2,0,0,ROW()-1,40),ROW()-1,FALSE))</f>
        <v>255</v>
      </c>
      <c r="AM31">
        <f ca="1">IF(AND(ISNUMBER($AM$70),$B$64=1),$AM$70,HLOOKUP(INDIRECT(ADDRESS(2,COLUMN())),OFFSET($AT$2,0,0,ROW()-1,40),ROW()-1,FALSE))</f>
        <v>505</v>
      </c>
      <c r="AN31">
        <f ca="1">IF(AND(ISNUMBER($AN$70),$B$64=1),$AN$70,HLOOKUP(INDIRECT(ADDRESS(2,COLUMN())),OFFSET($AT$2,0,0,ROW()-1,40),ROW()-1,FALSE))</f>
        <v>1501</v>
      </c>
      <c r="AO31">
        <f ca="1">IF(AND(ISNUMBER($AO$70),$B$64=1),$AO$70,HLOOKUP(INDIRECT(ADDRESS(2,COLUMN())),OFFSET($AT$2,0,0,ROW()-1,40),ROW()-1,FALSE))</f>
        <v>1293</v>
      </c>
      <c r="AP31">
        <f ca="1">IF(AND(ISNUMBER($AP$70),$B$64=1),$AP$70,HLOOKUP(INDIRECT(ADDRESS(2,COLUMN())),OFFSET($AT$2,0,0,ROW()-1,40),ROW()-1,FALSE))</f>
        <v>1050</v>
      </c>
      <c r="AQ31">
        <f ca="1">IF(AND(ISNUMBER($AQ$70),$B$64=1),$AQ$70,HLOOKUP(INDIRECT(ADDRESS(2,COLUMN())),OFFSET($AT$2,0,0,ROW()-1,40),ROW()-1,FALSE))</f>
        <v>977</v>
      </c>
      <c r="AR31">
        <f ca="1">IF(AND(ISNUMBER($AR$70),$B$64=1),$AR$70,HLOOKUP(INDIRECT(ADDRESS(2,COLUMN())),OFFSET($AT$2,0,0,ROW()-1,40),ROW()-1,FALSE))</f>
        <v>1116</v>
      </c>
      <c r="AS31">
        <f ca="1">IF(AND(ISNUMBER($AS$70),$B$64=1),$AS$70,HLOOKUP(INDIRECT(ADDRESS(2,COLUMN())),OFFSET($AT$2,0,0,ROW()-1,40),ROW()-1,FALSE))</f>
        <v>1110</v>
      </c>
      <c r="AT31">
        <f>584</f>
        <v>584</v>
      </c>
      <c r="AU31">
        <f>421</f>
        <v>421</v>
      </c>
      <c r="AV31">
        <f>414</f>
        <v>414</v>
      </c>
      <c r="AW31">
        <f>447</f>
        <v>447</v>
      </c>
      <c r="AX31">
        <f>400</f>
        <v>400</v>
      </c>
      <c r="AY31">
        <f>388</f>
        <v>388</v>
      </c>
      <c r="AZ31">
        <f>358</f>
        <v>358</v>
      </c>
      <c r="BA31">
        <f>302</f>
        <v>302</v>
      </c>
      <c r="BB31">
        <f>328</f>
        <v>328</v>
      </c>
      <c r="BC31">
        <f>273</f>
        <v>273</v>
      </c>
      <c r="BD31">
        <f>520</f>
        <v>520</v>
      </c>
      <c r="BE31">
        <f>324</f>
        <v>324</v>
      </c>
      <c r="BF31">
        <f>207</f>
        <v>207</v>
      </c>
      <c r="BG31">
        <f>330</f>
        <v>330</v>
      </c>
      <c r="BH31">
        <f>387</f>
        <v>387</v>
      </c>
      <c r="BI31">
        <f>340</f>
        <v>340</v>
      </c>
      <c r="BJ31">
        <f>295</f>
        <v>295</v>
      </c>
      <c r="BK31">
        <f>315</f>
        <v>315</v>
      </c>
      <c r="BL31">
        <f>362</f>
        <v>362</v>
      </c>
      <c r="BM31">
        <f>369</f>
        <v>369</v>
      </c>
      <c r="BN31">
        <f>382</f>
        <v>382</v>
      </c>
      <c r="BO31">
        <f>412</f>
        <v>412</v>
      </c>
      <c r="BP31">
        <f>438</f>
        <v>438</v>
      </c>
      <c r="BQ31">
        <f>368</f>
        <v>368</v>
      </c>
      <c r="BR31">
        <f>542</f>
        <v>542</v>
      </c>
      <c r="BS31">
        <f>458</f>
        <v>458</v>
      </c>
      <c r="BT31">
        <f>430</f>
        <v>430</v>
      </c>
      <c r="BU31">
        <f>493</f>
        <v>493</v>
      </c>
      <c r="BV31">
        <f>516</f>
        <v>516</v>
      </c>
      <c r="BW31">
        <f>607</f>
        <v>607</v>
      </c>
      <c r="BX31">
        <f>460</f>
        <v>460</v>
      </c>
      <c r="BY31">
        <f>446</f>
        <v>446</v>
      </c>
      <c r="BZ31">
        <f>255</f>
        <v>255</v>
      </c>
      <c r="CA31">
        <f>505</f>
        <v>505</v>
      </c>
      <c r="CB31">
        <f>1501</f>
        <v>1501</v>
      </c>
      <c r="CC31">
        <f>1293</f>
        <v>1293</v>
      </c>
      <c r="CD31">
        <f>1050</f>
        <v>1050</v>
      </c>
      <c r="CE31">
        <f>977</f>
        <v>977</v>
      </c>
      <c r="CF31">
        <f>1116</f>
        <v>1116</v>
      </c>
      <c r="CG31">
        <f>1110</f>
        <v>1110</v>
      </c>
    </row>
    <row r="32" spans="1:85" x14ac:dyDescent="0.25">
      <c r="A32" t="str">
        <f>"    Mercedes-Benz"</f>
        <v xml:space="preserve">    Mercedes-Benz</v>
      </c>
      <c r="B32" t="str">
        <f>"BRTRHMER Index"</f>
        <v>BRTRHMER Index</v>
      </c>
      <c r="C32" t="str">
        <f t="shared" si="3"/>
        <v>PX385</v>
      </c>
      <c r="D32" t="str">
        <f t="shared" si="4"/>
        <v>INTERVAL_SUM</v>
      </c>
      <c r="E32" t="str">
        <f t="shared" si="2"/>
        <v>Dynamic</v>
      </c>
      <c r="F32">
        <f ca="1">IF(AND(ISNUMBER($F$71),$B$64=1),$F$71,HLOOKUP(INDIRECT(ADDRESS(2,COLUMN())),OFFSET($AT$2,0,0,ROW()-1,40),ROW()-1,FALSE))</f>
        <v>418</v>
      </c>
      <c r="G32">
        <f ca="1">IF(AND(ISNUMBER($G$71),$B$64=1),$G$71,HLOOKUP(INDIRECT(ADDRESS(2,COLUMN())),OFFSET($AT$2,0,0,ROW()-1,40),ROW()-1,FALSE))</f>
        <v>439</v>
      </c>
      <c r="H32">
        <f ca="1">IF(AND(ISNUMBER($H$71),$B$64=1),$H$71,HLOOKUP(INDIRECT(ADDRESS(2,COLUMN())),OFFSET($AT$2,0,0,ROW()-1,40),ROW()-1,FALSE))</f>
        <v>575</v>
      </c>
      <c r="I32">
        <f ca="1">IF(AND(ISNUMBER($I$71),$B$64=1),$I$71,HLOOKUP(INDIRECT(ADDRESS(2,COLUMN())),OFFSET($AT$2,0,0,ROW()-1,40),ROW()-1,FALSE))</f>
        <v>354</v>
      </c>
      <c r="J32">
        <f ca="1">IF(AND(ISNUMBER($J$71),$B$64=1),$J$71,HLOOKUP(INDIRECT(ADDRESS(2,COLUMN())),OFFSET($AT$2,0,0,ROW()-1,40),ROW()-1,FALSE))</f>
        <v>431</v>
      </c>
      <c r="K32">
        <f ca="1">IF(AND(ISNUMBER($K$71),$B$64=1),$K$71,HLOOKUP(INDIRECT(ADDRESS(2,COLUMN())),OFFSET($AT$2,0,0,ROW()-1,40),ROW()-1,FALSE))</f>
        <v>404</v>
      </c>
      <c r="L32">
        <f ca="1">IF(AND(ISNUMBER($L$71),$B$64=1),$L$71,HLOOKUP(INDIRECT(ADDRESS(2,COLUMN())),OFFSET($AT$2,0,0,ROW()-1,40),ROW()-1,FALSE))</f>
        <v>308</v>
      </c>
      <c r="M32">
        <f ca="1">IF(AND(ISNUMBER($M$71),$B$64=1),$M$71,HLOOKUP(INDIRECT(ADDRESS(2,COLUMN())),OFFSET($AT$2,0,0,ROW()-1,40),ROW()-1,FALSE))</f>
        <v>505</v>
      </c>
      <c r="N32">
        <f ca="1">IF(AND(ISNUMBER($N$71),$B$64=1),$N$71,HLOOKUP(INDIRECT(ADDRESS(2,COLUMN())),OFFSET($AT$2,0,0,ROW()-1,40),ROW()-1,FALSE))</f>
        <v>260</v>
      </c>
      <c r="O32">
        <f ca="1">IF(AND(ISNUMBER($O$71),$B$64=1),$O$71,HLOOKUP(INDIRECT(ADDRESS(2,COLUMN())),OFFSET($AT$2,0,0,ROW()-1,40),ROW()-1,FALSE))</f>
        <v>270</v>
      </c>
      <c r="P32">
        <f ca="1">IF(AND(ISNUMBER($P$71),$B$64=1),$P$71,HLOOKUP(INDIRECT(ADDRESS(2,COLUMN())),OFFSET($AT$2,0,0,ROW()-1,40),ROW()-1,FALSE))</f>
        <v>269</v>
      </c>
      <c r="Q32">
        <f ca="1">IF(AND(ISNUMBER($Q$71),$B$64=1),$Q$71,HLOOKUP(INDIRECT(ADDRESS(2,COLUMN())),OFFSET($AT$2,0,0,ROW()-1,40),ROW()-1,FALSE))</f>
        <v>318</v>
      </c>
      <c r="R32">
        <f ca="1">IF(AND(ISNUMBER($R$71),$B$64=1),$R$71,HLOOKUP(INDIRECT(ADDRESS(2,COLUMN())),OFFSET($AT$2,0,0,ROW()-1,40),ROW()-1,FALSE))</f>
        <v>206</v>
      </c>
      <c r="S32">
        <f ca="1">IF(AND(ISNUMBER($S$71),$B$64=1),$S$71,HLOOKUP(INDIRECT(ADDRESS(2,COLUMN())),OFFSET($AT$2,0,0,ROW()-1,40),ROW()-1,FALSE))</f>
        <v>254</v>
      </c>
      <c r="T32">
        <f ca="1">IF(AND(ISNUMBER($T$71),$B$64=1),$T$71,HLOOKUP(INDIRECT(ADDRESS(2,COLUMN())),OFFSET($AT$2,0,0,ROW()-1,40),ROW()-1,FALSE))</f>
        <v>337</v>
      </c>
      <c r="U32">
        <f ca="1">IF(AND(ISNUMBER($U$71),$B$64=1),$U$71,HLOOKUP(INDIRECT(ADDRESS(2,COLUMN())),OFFSET($AT$2,0,0,ROW()-1,40),ROW()-1,FALSE))</f>
        <v>329</v>
      </c>
      <c r="V32">
        <f ca="1">IF(AND(ISNUMBER($V$71),$B$64=1),$V$71,HLOOKUP(INDIRECT(ADDRESS(2,COLUMN())),OFFSET($AT$2,0,0,ROW()-1,40),ROW()-1,FALSE))</f>
        <v>244</v>
      </c>
      <c r="W32">
        <f ca="1">IF(AND(ISNUMBER($W$71),$B$64=1),$W$71,HLOOKUP(INDIRECT(ADDRESS(2,COLUMN())),OFFSET($AT$2,0,0,ROW()-1,40),ROW()-1,FALSE))</f>
        <v>333</v>
      </c>
      <c r="X32">
        <f ca="1">IF(AND(ISNUMBER($X$71),$B$64=1),$X$71,HLOOKUP(INDIRECT(ADDRESS(2,COLUMN())),OFFSET($AT$2,0,0,ROW()-1,40),ROW()-1,FALSE))</f>
        <v>404</v>
      </c>
      <c r="Y32">
        <f ca="1">IF(AND(ISNUMBER($Y$71),$B$64=1),$Y$71,HLOOKUP(INDIRECT(ADDRESS(2,COLUMN())),OFFSET($AT$2,0,0,ROW()-1,40),ROW()-1,FALSE))</f>
        <v>629</v>
      </c>
      <c r="Z32">
        <f ca="1">IF(AND(ISNUMBER($Z$71),$B$64=1),$Z$71,HLOOKUP(INDIRECT(ADDRESS(2,COLUMN())),OFFSET($AT$2,0,0,ROW()-1,40),ROW()-1,FALSE))</f>
        <v>355</v>
      </c>
      <c r="AA32">
        <f ca="1">IF(AND(ISNUMBER($AA$71),$B$64=1),$AA$71,HLOOKUP(INDIRECT(ADDRESS(2,COLUMN())),OFFSET($AT$2,0,0,ROW()-1,40),ROW()-1,FALSE))</f>
        <v>308</v>
      </c>
      <c r="AB32">
        <f ca="1">IF(AND(ISNUMBER($AB$71),$B$64=1),$AB$71,HLOOKUP(INDIRECT(ADDRESS(2,COLUMN())),OFFSET($AT$2,0,0,ROW()-1,40),ROW()-1,FALSE))</f>
        <v>350</v>
      </c>
      <c r="AC32">
        <f ca="1">IF(AND(ISNUMBER($AC$71),$B$64=1),$AC$71,HLOOKUP(INDIRECT(ADDRESS(2,COLUMN())),OFFSET($AT$2,0,0,ROW()-1,40),ROW()-1,FALSE))</f>
        <v>282</v>
      </c>
      <c r="AD32">
        <f ca="1">IF(AND(ISNUMBER($AD$71),$B$64=1),$AD$71,HLOOKUP(INDIRECT(ADDRESS(2,COLUMN())),OFFSET($AT$2,0,0,ROW()-1,40),ROW()-1,FALSE))</f>
        <v>375</v>
      </c>
      <c r="AE32">
        <f ca="1">IF(AND(ISNUMBER($AE$71),$B$64=1),$AE$71,HLOOKUP(INDIRECT(ADDRESS(2,COLUMN())),OFFSET($AT$2,0,0,ROW()-1,40),ROW()-1,FALSE))</f>
        <v>328</v>
      </c>
      <c r="AF32">
        <f ca="1">IF(AND(ISNUMBER($AF$71),$B$64=1),$AF$71,HLOOKUP(INDIRECT(ADDRESS(2,COLUMN())),OFFSET($AT$2,0,0,ROW()-1,40),ROW()-1,FALSE))</f>
        <v>458</v>
      </c>
      <c r="AG32">
        <f ca="1">IF(AND(ISNUMBER($AG$71),$B$64=1),$AG$71,HLOOKUP(INDIRECT(ADDRESS(2,COLUMN())),OFFSET($AT$2,0,0,ROW()-1,40),ROW()-1,FALSE))</f>
        <v>542</v>
      </c>
      <c r="AH32">
        <f ca="1">IF(AND(ISNUMBER($AH$71),$B$64=1),$AH$71,HLOOKUP(INDIRECT(ADDRESS(2,COLUMN())),OFFSET($AT$2,0,0,ROW()-1,40),ROW()-1,FALSE))</f>
        <v>398</v>
      </c>
      <c r="AI32">
        <f ca="1">IF(AND(ISNUMBER($AI$71),$B$64=1),$AI$71,HLOOKUP(INDIRECT(ADDRESS(2,COLUMN())),OFFSET($AT$2,0,0,ROW()-1,40),ROW()-1,FALSE))</f>
        <v>460</v>
      </c>
      <c r="AJ32">
        <f ca="1">IF(AND(ISNUMBER($AJ$71),$B$64=1),$AJ$71,HLOOKUP(INDIRECT(ADDRESS(2,COLUMN())),OFFSET($AT$2,0,0,ROW()-1,40),ROW()-1,FALSE))</f>
        <v>447</v>
      </c>
      <c r="AK32">
        <f ca="1">IF(AND(ISNUMBER($AK$71),$B$64=1),$AK$71,HLOOKUP(INDIRECT(ADDRESS(2,COLUMN())),OFFSET($AT$2,0,0,ROW()-1,40),ROW()-1,FALSE))</f>
        <v>450</v>
      </c>
      <c r="AL32">
        <f ca="1">IF(AND(ISNUMBER($AL$71),$B$64=1),$AL$71,HLOOKUP(INDIRECT(ADDRESS(2,COLUMN())),OFFSET($AT$2,0,0,ROW()-1,40),ROW()-1,FALSE))</f>
        <v>240</v>
      </c>
      <c r="AM32">
        <f ca="1">IF(AND(ISNUMBER($AM$71),$B$64=1),$AM$71,HLOOKUP(INDIRECT(ADDRESS(2,COLUMN())),OFFSET($AT$2,0,0,ROW()-1,40),ROW()-1,FALSE))</f>
        <v>401</v>
      </c>
      <c r="AN32">
        <f ca="1">IF(AND(ISNUMBER($AN$71),$B$64=1),$AN$71,HLOOKUP(INDIRECT(ADDRESS(2,COLUMN())),OFFSET($AT$2,0,0,ROW()-1,40),ROW()-1,FALSE))</f>
        <v>1027</v>
      </c>
      <c r="AO32">
        <f ca="1">IF(AND(ISNUMBER($AO$71),$B$64=1),$AO$71,HLOOKUP(INDIRECT(ADDRESS(2,COLUMN())),OFFSET($AT$2,0,0,ROW()-1,40),ROW()-1,FALSE))</f>
        <v>833</v>
      </c>
      <c r="AP32">
        <f ca="1">IF(AND(ISNUMBER($AP$71),$B$64=1),$AP$71,HLOOKUP(INDIRECT(ADDRESS(2,COLUMN())),OFFSET($AT$2,0,0,ROW()-1,40),ROW()-1,FALSE))</f>
        <v>1044</v>
      </c>
      <c r="AQ32">
        <f ca="1">IF(AND(ISNUMBER($AQ$71),$B$64=1),$AQ$71,HLOOKUP(INDIRECT(ADDRESS(2,COLUMN())),OFFSET($AT$2,0,0,ROW()-1,40),ROW()-1,FALSE))</f>
        <v>932</v>
      </c>
      <c r="AR32">
        <f ca="1">IF(AND(ISNUMBER($AR$71),$B$64=1),$AR$71,HLOOKUP(INDIRECT(ADDRESS(2,COLUMN())),OFFSET($AT$2,0,0,ROW()-1,40),ROW()-1,FALSE))</f>
        <v>814</v>
      </c>
      <c r="AS32">
        <f ca="1">IF(AND(ISNUMBER($AS$71),$B$64=1),$AS$71,HLOOKUP(INDIRECT(ADDRESS(2,COLUMN())),OFFSET($AT$2,0,0,ROW()-1,40),ROW()-1,FALSE))</f>
        <v>1192</v>
      </c>
      <c r="AT32">
        <f>418</f>
        <v>418</v>
      </c>
      <c r="AU32">
        <f>439</f>
        <v>439</v>
      </c>
      <c r="AV32">
        <f>575</f>
        <v>575</v>
      </c>
      <c r="AW32">
        <f>354</f>
        <v>354</v>
      </c>
      <c r="AX32">
        <f>431</f>
        <v>431</v>
      </c>
      <c r="AY32">
        <f>404</f>
        <v>404</v>
      </c>
      <c r="AZ32">
        <f>308</f>
        <v>308</v>
      </c>
      <c r="BA32">
        <f>505</f>
        <v>505</v>
      </c>
      <c r="BB32">
        <f>260</f>
        <v>260</v>
      </c>
      <c r="BC32">
        <f>270</f>
        <v>270</v>
      </c>
      <c r="BD32">
        <f>269</f>
        <v>269</v>
      </c>
      <c r="BE32">
        <f>318</f>
        <v>318</v>
      </c>
      <c r="BF32">
        <f>206</f>
        <v>206</v>
      </c>
      <c r="BG32">
        <f>254</f>
        <v>254</v>
      </c>
      <c r="BH32">
        <f>337</f>
        <v>337</v>
      </c>
      <c r="BI32">
        <f>329</f>
        <v>329</v>
      </c>
      <c r="BJ32">
        <f>244</f>
        <v>244</v>
      </c>
      <c r="BK32">
        <f>333</f>
        <v>333</v>
      </c>
      <c r="BL32">
        <f>404</f>
        <v>404</v>
      </c>
      <c r="BM32">
        <f>629</f>
        <v>629</v>
      </c>
      <c r="BN32">
        <f>355</f>
        <v>355</v>
      </c>
      <c r="BO32">
        <f>308</f>
        <v>308</v>
      </c>
      <c r="BP32">
        <f>350</f>
        <v>350</v>
      </c>
      <c r="BQ32">
        <f>282</f>
        <v>282</v>
      </c>
      <c r="BR32">
        <f>375</f>
        <v>375</v>
      </c>
      <c r="BS32">
        <f>328</f>
        <v>328</v>
      </c>
      <c r="BT32">
        <f>458</f>
        <v>458</v>
      </c>
      <c r="BU32">
        <f>542</f>
        <v>542</v>
      </c>
      <c r="BV32">
        <f>398</f>
        <v>398</v>
      </c>
      <c r="BW32">
        <f>460</f>
        <v>460</v>
      </c>
      <c r="BX32">
        <f>447</f>
        <v>447</v>
      </c>
      <c r="BY32">
        <f>450</f>
        <v>450</v>
      </c>
      <c r="BZ32">
        <f>240</f>
        <v>240</v>
      </c>
      <c r="CA32">
        <f>401</f>
        <v>401</v>
      </c>
      <c r="CB32">
        <f>1027</f>
        <v>1027</v>
      </c>
      <c r="CC32">
        <f>833</f>
        <v>833</v>
      </c>
      <c r="CD32">
        <f>1044</f>
        <v>1044</v>
      </c>
      <c r="CE32">
        <f>932</f>
        <v>932</v>
      </c>
      <c r="CF32">
        <f>814</f>
        <v>814</v>
      </c>
      <c r="CG32">
        <f>1192</f>
        <v>1192</v>
      </c>
    </row>
    <row r="33" spans="1:85" x14ac:dyDescent="0.25">
      <c r="A33" t="str">
        <f>"    MAN"</f>
        <v xml:space="preserve">    MAN</v>
      </c>
      <c r="B33" t="str">
        <f>"BRTRHMAN Index"</f>
        <v>BRTRHMAN Index</v>
      </c>
      <c r="C33" t="str">
        <f t="shared" si="3"/>
        <v>PX385</v>
      </c>
      <c r="D33" t="str">
        <f t="shared" si="4"/>
        <v>INTERVAL_SUM</v>
      </c>
      <c r="E33" t="str">
        <f t="shared" si="2"/>
        <v>Dynamic</v>
      </c>
      <c r="F33">
        <f ca="1">IF(AND(ISNUMBER($F$72),$B$64=1),$F$72,HLOOKUP(INDIRECT(ADDRESS(2,COLUMN())),OFFSET($AT$2,0,0,ROW()-1,40),ROW()-1,FALSE))</f>
        <v>260</v>
      </c>
      <c r="G33">
        <f ca="1">IF(AND(ISNUMBER($G$72),$B$64=1),$G$72,HLOOKUP(INDIRECT(ADDRESS(2,COLUMN())),OFFSET($AT$2,0,0,ROW()-1,40),ROW()-1,FALSE))</f>
        <v>217</v>
      </c>
      <c r="H33">
        <f ca="1">IF(AND(ISNUMBER($H$72),$B$64=1),$H$72,HLOOKUP(INDIRECT(ADDRESS(2,COLUMN())),OFFSET($AT$2,0,0,ROW()-1,40),ROW()-1,FALSE))</f>
        <v>115</v>
      </c>
      <c r="I33">
        <f ca="1">IF(AND(ISNUMBER($I$72),$B$64=1),$I$72,HLOOKUP(INDIRECT(ADDRESS(2,COLUMN())),OFFSET($AT$2,0,0,ROW()-1,40),ROW()-1,FALSE))</f>
        <v>171</v>
      </c>
      <c r="J33">
        <f ca="1">IF(AND(ISNUMBER($J$72),$B$64=1),$J$72,HLOOKUP(INDIRECT(ADDRESS(2,COLUMN())),OFFSET($AT$2,0,0,ROW()-1,40),ROW()-1,FALSE))</f>
        <v>103</v>
      </c>
      <c r="K33">
        <f ca="1">IF(AND(ISNUMBER($K$72),$B$64=1),$K$72,HLOOKUP(INDIRECT(ADDRESS(2,COLUMN())),OFFSET($AT$2,0,0,ROW()-1,40),ROW()-1,FALSE))</f>
        <v>189</v>
      </c>
      <c r="L33">
        <f ca="1">IF(AND(ISNUMBER($L$72),$B$64=1),$L$72,HLOOKUP(INDIRECT(ADDRESS(2,COLUMN())),OFFSET($AT$2,0,0,ROW()-1,40),ROW()-1,FALSE))</f>
        <v>239</v>
      </c>
      <c r="M33">
        <f ca="1">IF(AND(ISNUMBER($M$72),$B$64=1),$M$72,HLOOKUP(INDIRECT(ADDRESS(2,COLUMN())),OFFSET($AT$2,0,0,ROW()-1,40),ROW()-1,FALSE))</f>
        <v>90</v>
      </c>
      <c r="N33">
        <f ca="1">IF(AND(ISNUMBER($N$72),$B$64=1),$N$72,HLOOKUP(INDIRECT(ADDRESS(2,COLUMN())),OFFSET($AT$2,0,0,ROW()-1,40),ROW()-1,FALSE))</f>
        <v>52</v>
      </c>
      <c r="O33">
        <f ca="1">IF(AND(ISNUMBER($O$72),$B$64=1),$O$72,HLOOKUP(INDIRECT(ADDRESS(2,COLUMN())),OFFSET($AT$2,0,0,ROW()-1,40),ROW()-1,FALSE))</f>
        <v>73</v>
      </c>
      <c r="P33">
        <f ca="1">IF(AND(ISNUMBER($P$72),$B$64=1),$P$72,HLOOKUP(INDIRECT(ADDRESS(2,COLUMN())),OFFSET($AT$2,0,0,ROW()-1,40),ROW()-1,FALSE))</f>
        <v>116</v>
      </c>
      <c r="Q33">
        <f ca="1">IF(AND(ISNUMBER($Q$72),$B$64=1),$Q$72,HLOOKUP(INDIRECT(ADDRESS(2,COLUMN())),OFFSET($AT$2,0,0,ROW()-1,40),ROW()-1,FALSE))</f>
        <v>100</v>
      </c>
      <c r="R33">
        <f ca="1">IF(AND(ISNUMBER($R$72),$B$64=1),$R$72,HLOOKUP(INDIRECT(ADDRESS(2,COLUMN())),OFFSET($AT$2,0,0,ROW()-1,40),ROW()-1,FALSE))</f>
        <v>79</v>
      </c>
      <c r="S33">
        <f ca="1">IF(AND(ISNUMBER($S$72),$B$64=1),$S$72,HLOOKUP(INDIRECT(ADDRESS(2,COLUMN())),OFFSET($AT$2,0,0,ROW()-1,40),ROW()-1,FALSE))</f>
        <v>114</v>
      </c>
      <c r="T33">
        <f ca="1">IF(AND(ISNUMBER($T$72),$B$64=1),$T$72,HLOOKUP(INDIRECT(ADDRESS(2,COLUMN())),OFFSET($AT$2,0,0,ROW()-1,40),ROW()-1,FALSE))</f>
        <v>109</v>
      </c>
      <c r="U33">
        <f ca="1">IF(AND(ISNUMBER($U$72),$B$64=1),$U$72,HLOOKUP(INDIRECT(ADDRESS(2,COLUMN())),OFFSET($AT$2,0,0,ROW()-1,40),ROW()-1,FALSE))</f>
        <v>267</v>
      </c>
      <c r="V33">
        <f ca="1">IF(AND(ISNUMBER($V$72),$B$64=1),$V$72,HLOOKUP(INDIRECT(ADDRESS(2,COLUMN())),OFFSET($AT$2,0,0,ROW()-1,40),ROW()-1,FALSE))</f>
        <v>123</v>
      </c>
      <c r="W33">
        <f ca="1">IF(AND(ISNUMBER($W$72),$B$64=1),$W$72,HLOOKUP(INDIRECT(ADDRESS(2,COLUMN())),OFFSET($AT$2,0,0,ROW()-1,40),ROW()-1,FALSE))</f>
        <v>143</v>
      </c>
      <c r="X33">
        <f ca="1">IF(AND(ISNUMBER($X$72),$B$64=1),$X$72,HLOOKUP(INDIRECT(ADDRESS(2,COLUMN())),OFFSET($AT$2,0,0,ROW()-1,40),ROW()-1,FALSE))</f>
        <v>158</v>
      </c>
      <c r="Y33">
        <f ca="1">IF(AND(ISNUMBER($Y$72),$B$64=1),$Y$72,HLOOKUP(INDIRECT(ADDRESS(2,COLUMN())),OFFSET($AT$2,0,0,ROW()-1,40),ROW()-1,FALSE))</f>
        <v>125</v>
      </c>
      <c r="Z33">
        <f ca="1">IF(AND(ISNUMBER($Z$72),$B$64=1),$Z$72,HLOOKUP(INDIRECT(ADDRESS(2,COLUMN())),OFFSET($AT$2,0,0,ROW()-1,40),ROW()-1,FALSE))</f>
        <v>134</v>
      </c>
      <c r="AA33">
        <f ca="1">IF(AND(ISNUMBER($AA$72),$B$64=1),$AA$72,HLOOKUP(INDIRECT(ADDRESS(2,COLUMN())),OFFSET($AT$2,0,0,ROW()-1,40),ROW()-1,FALSE))</f>
        <v>239</v>
      </c>
      <c r="AB33">
        <f ca="1">IF(AND(ISNUMBER($AB$72),$B$64=1),$AB$72,HLOOKUP(INDIRECT(ADDRESS(2,COLUMN())),OFFSET($AT$2,0,0,ROW()-1,40),ROW()-1,FALSE))</f>
        <v>307</v>
      </c>
      <c r="AC33">
        <f ca="1">IF(AND(ISNUMBER($AC$72),$B$64=1),$AC$72,HLOOKUP(INDIRECT(ADDRESS(2,COLUMN())),OFFSET($AT$2,0,0,ROW()-1,40),ROW()-1,FALSE))</f>
        <v>175</v>
      </c>
      <c r="AD33">
        <f ca="1">IF(AND(ISNUMBER($AD$72),$B$64=1),$AD$72,HLOOKUP(INDIRECT(ADDRESS(2,COLUMN())),OFFSET($AT$2,0,0,ROW()-1,40),ROW()-1,FALSE))</f>
        <v>309</v>
      </c>
      <c r="AE33">
        <f ca="1">IF(AND(ISNUMBER($AE$72),$B$64=1),$AE$72,HLOOKUP(INDIRECT(ADDRESS(2,COLUMN())),OFFSET($AT$2,0,0,ROW()-1,40),ROW()-1,FALSE))</f>
        <v>188</v>
      </c>
      <c r="AF33">
        <f ca="1">IF(AND(ISNUMBER($AF$72),$B$64=1),$AF$72,HLOOKUP(INDIRECT(ADDRESS(2,COLUMN())),OFFSET($AT$2,0,0,ROW()-1,40),ROW()-1,FALSE))</f>
        <v>128</v>
      </c>
      <c r="AG33">
        <f ca="1">IF(AND(ISNUMBER($AG$72),$B$64=1),$AG$72,HLOOKUP(INDIRECT(ADDRESS(2,COLUMN())),OFFSET($AT$2,0,0,ROW()-1,40),ROW()-1,FALSE))</f>
        <v>146</v>
      </c>
      <c r="AH33">
        <f ca="1">IF(AND(ISNUMBER($AH$72),$B$64=1),$AH$72,HLOOKUP(INDIRECT(ADDRESS(2,COLUMN())),OFFSET($AT$2,0,0,ROW()-1,40),ROW()-1,FALSE))</f>
        <v>172</v>
      </c>
      <c r="AI33">
        <f ca="1">IF(AND(ISNUMBER($AI$72),$B$64=1),$AI$72,HLOOKUP(INDIRECT(ADDRESS(2,COLUMN())),OFFSET($AT$2,0,0,ROW()-1,40),ROW()-1,FALSE))</f>
        <v>156</v>
      </c>
      <c r="AJ33">
        <f ca="1">IF(AND(ISNUMBER($AJ$72),$B$64=1),$AJ$72,HLOOKUP(INDIRECT(ADDRESS(2,COLUMN())),OFFSET($AT$2,0,0,ROW()-1,40),ROW()-1,FALSE))</f>
        <v>128</v>
      </c>
      <c r="AK33">
        <f ca="1">IF(AND(ISNUMBER($AK$72),$B$64=1),$AK$72,HLOOKUP(INDIRECT(ADDRESS(2,COLUMN())),OFFSET($AT$2,0,0,ROW()-1,40),ROW()-1,FALSE))</f>
        <v>216</v>
      </c>
      <c r="AL33">
        <f ca="1">IF(AND(ISNUMBER($AL$72),$B$64=1),$AL$72,HLOOKUP(INDIRECT(ADDRESS(2,COLUMN())),OFFSET($AT$2,0,0,ROW()-1,40),ROW()-1,FALSE))</f>
        <v>154</v>
      </c>
      <c r="AM33">
        <f ca="1">IF(AND(ISNUMBER($AM$72),$B$64=1),$AM$72,HLOOKUP(INDIRECT(ADDRESS(2,COLUMN())),OFFSET($AT$2,0,0,ROW()-1,40),ROW()-1,FALSE))</f>
        <v>300</v>
      </c>
      <c r="AN33">
        <f ca="1">IF(AND(ISNUMBER($AN$72),$B$64=1),$AN$72,HLOOKUP(INDIRECT(ADDRESS(2,COLUMN())),OFFSET($AT$2,0,0,ROW()-1,40),ROW()-1,FALSE))</f>
        <v>497</v>
      </c>
      <c r="AO33">
        <f ca="1">IF(AND(ISNUMBER($AO$72),$B$64=1),$AO$72,HLOOKUP(INDIRECT(ADDRESS(2,COLUMN())),OFFSET($AT$2,0,0,ROW()-1,40),ROW()-1,FALSE))</f>
        <v>396</v>
      </c>
      <c r="AP33">
        <f ca="1">IF(AND(ISNUMBER($AP$72),$B$64=1),$AP$72,HLOOKUP(INDIRECT(ADDRESS(2,COLUMN())),OFFSET($AT$2,0,0,ROW()-1,40),ROW()-1,FALSE))</f>
        <v>439</v>
      </c>
      <c r="AQ33">
        <f ca="1">IF(AND(ISNUMBER($AQ$72),$B$64=1),$AQ$72,HLOOKUP(INDIRECT(ADDRESS(2,COLUMN())),OFFSET($AT$2,0,0,ROW()-1,40),ROW()-1,FALSE))</f>
        <v>416</v>
      </c>
      <c r="AR33">
        <f ca="1">IF(AND(ISNUMBER($AR$72),$B$64=1),$AR$72,HLOOKUP(INDIRECT(ADDRESS(2,COLUMN())),OFFSET($AT$2,0,0,ROW()-1,40),ROW()-1,FALSE))</f>
        <v>467</v>
      </c>
      <c r="AS33">
        <f ca="1">IF(AND(ISNUMBER($AS$72),$B$64=1),$AS$72,HLOOKUP(INDIRECT(ADDRESS(2,COLUMN())),OFFSET($AT$2,0,0,ROW()-1,40),ROW()-1,FALSE))</f>
        <v>492</v>
      </c>
      <c r="AT33">
        <f>260</f>
        <v>260</v>
      </c>
      <c r="AU33">
        <f>217</f>
        <v>217</v>
      </c>
      <c r="AV33">
        <f>115</f>
        <v>115</v>
      </c>
      <c r="AW33">
        <f>171</f>
        <v>171</v>
      </c>
      <c r="AX33">
        <f>103</f>
        <v>103</v>
      </c>
      <c r="AY33">
        <f>189</f>
        <v>189</v>
      </c>
      <c r="AZ33">
        <f>239</f>
        <v>239</v>
      </c>
      <c r="BA33">
        <f>90</f>
        <v>90</v>
      </c>
      <c r="BB33">
        <f>52</f>
        <v>52</v>
      </c>
      <c r="BC33">
        <f>73</f>
        <v>73</v>
      </c>
      <c r="BD33">
        <f>116</f>
        <v>116</v>
      </c>
      <c r="BE33">
        <f>100</f>
        <v>100</v>
      </c>
      <c r="BF33">
        <f>79</f>
        <v>79</v>
      </c>
      <c r="BG33">
        <f>114</f>
        <v>114</v>
      </c>
      <c r="BH33">
        <f>109</f>
        <v>109</v>
      </c>
      <c r="BI33">
        <f>267</f>
        <v>267</v>
      </c>
      <c r="BJ33">
        <f>123</f>
        <v>123</v>
      </c>
      <c r="BK33">
        <f>143</f>
        <v>143</v>
      </c>
      <c r="BL33">
        <f>158</f>
        <v>158</v>
      </c>
      <c r="BM33">
        <f>125</f>
        <v>125</v>
      </c>
      <c r="BN33">
        <f>134</f>
        <v>134</v>
      </c>
      <c r="BO33">
        <f>239</f>
        <v>239</v>
      </c>
      <c r="BP33">
        <f>307</f>
        <v>307</v>
      </c>
      <c r="BQ33">
        <f>175</f>
        <v>175</v>
      </c>
      <c r="BR33">
        <f>309</f>
        <v>309</v>
      </c>
      <c r="BS33">
        <f>188</f>
        <v>188</v>
      </c>
      <c r="BT33">
        <f>128</f>
        <v>128</v>
      </c>
      <c r="BU33">
        <f>146</f>
        <v>146</v>
      </c>
      <c r="BV33">
        <f>172</f>
        <v>172</v>
      </c>
      <c r="BW33">
        <f>156</f>
        <v>156</v>
      </c>
      <c r="BX33">
        <f>128</f>
        <v>128</v>
      </c>
      <c r="BY33">
        <f>216</f>
        <v>216</v>
      </c>
      <c r="BZ33">
        <f>154</f>
        <v>154</v>
      </c>
      <c r="CA33">
        <f>300</f>
        <v>300</v>
      </c>
      <c r="CB33">
        <f>497</f>
        <v>497</v>
      </c>
      <c r="CC33">
        <f>396</f>
        <v>396</v>
      </c>
      <c r="CD33">
        <f>439</f>
        <v>439</v>
      </c>
      <c r="CE33">
        <f>416</f>
        <v>416</v>
      </c>
      <c r="CF33">
        <f>467</f>
        <v>467</v>
      </c>
      <c r="CG33">
        <f>492</f>
        <v>492</v>
      </c>
    </row>
    <row r="34" spans="1:85" x14ac:dyDescent="0.25">
      <c r="A34" t="str">
        <f>"    Iveco"</f>
        <v xml:space="preserve">    Iveco</v>
      </c>
      <c r="B34" t="str">
        <f>"BRTRHIVE Index"</f>
        <v>BRTRHIVE Index</v>
      </c>
      <c r="C34" t="str">
        <f t="shared" si="3"/>
        <v>PX385</v>
      </c>
      <c r="D34" t="str">
        <f t="shared" si="4"/>
        <v>INTERVAL_SUM</v>
      </c>
      <c r="E34" t="str">
        <f t="shared" si="2"/>
        <v>Dynamic</v>
      </c>
      <c r="F34">
        <f ca="1">IF(AND(ISNUMBER($F$73),$B$64=1),$F$73,HLOOKUP(INDIRECT(ADDRESS(2,COLUMN())),OFFSET($AT$2,0,0,ROW()-1,40),ROW()-1,FALSE))</f>
        <v>73</v>
      </c>
      <c r="G34">
        <f ca="1">IF(AND(ISNUMBER($G$73),$B$64=1),$G$73,HLOOKUP(INDIRECT(ADDRESS(2,COLUMN())),OFFSET($AT$2,0,0,ROW()-1,40),ROW()-1,FALSE))</f>
        <v>96</v>
      </c>
      <c r="H34">
        <f ca="1">IF(AND(ISNUMBER($H$73),$B$64=1),$H$73,HLOOKUP(INDIRECT(ADDRESS(2,COLUMN())),OFFSET($AT$2,0,0,ROW()-1,40),ROW()-1,FALSE))</f>
        <v>94</v>
      </c>
      <c r="I34">
        <f ca="1">IF(AND(ISNUMBER($I$73),$B$64=1),$I$73,HLOOKUP(INDIRECT(ADDRESS(2,COLUMN())),OFFSET($AT$2,0,0,ROW()-1,40),ROW()-1,FALSE))</f>
        <v>46</v>
      </c>
      <c r="J34">
        <f ca="1">IF(AND(ISNUMBER($J$73),$B$64=1),$J$73,HLOOKUP(INDIRECT(ADDRESS(2,COLUMN())),OFFSET($AT$2,0,0,ROW()-1,40),ROW()-1,FALSE))</f>
        <v>30</v>
      </c>
      <c r="K34">
        <f ca="1">IF(AND(ISNUMBER($K$73),$B$64=1),$K$73,HLOOKUP(INDIRECT(ADDRESS(2,COLUMN())),OFFSET($AT$2,0,0,ROW()-1,40),ROW()-1,FALSE))</f>
        <v>43</v>
      </c>
      <c r="L34">
        <f ca="1">IF(AND(ISNUMBER($L$73),$B$64=1),$L$73,HLOOKUP(INDIRECT(ADDRESS(2,COLUMN())),OFFSET($AT$2,0,0,ROW()-1,40),ROW()-1,FALSE))</f>
        <v>60</v>
      </c>
      <c r="M34">
        <f ca="1">IF(AND(ISNUMBER($M$73),$B$64=1),$M$73,HLOOKUP(INDIRECT(ADDRESS(2,COLUMN())),OFFSET($AT$2,0,0,ROW()-1,40),ROW()-1,FALSE))</f>
        <v>34</v>
      </c>
      <c r="N34">
        <f ca="1">IF(AND(ISNUMBER($N$73),$B$64=1),$N$73,HLOOKUP(INDIRECT(ADDRESS(2,COLUMN())),OFFSET($AT$2,0,0,ROW()-1,40),ROW()-1,FALSE))</f>
        <v>21</v>
      </c>
      <c r="O34">
        <f ca="1">IF(AND(ISNUMBER($O$73),$B$64=1),$O$73,HLOOKUP(INDIRECT(ADDRESS(2,COLUMN())),OFFSET($AT$2,0,0,ROW()-1,40),ROW()-1,FALSE))</f>
        <v>33</v>
      </c>
      <c r="P34">
        <f ca="1">IF(AND(ISNUMBER($P$73),$B$64=1),$P$73,HLOOKUP(INDIRECT(ADDRESS(2,COLUMN())),OFFSET($AT$2,0,0,ROW()-1,40),ROW()-1,FALSE))</f>
        <v>49</v>
      </c>
      <c r="Q34">
        <f ca="1">IF(AND(ISNUMBER($Q$73),$B$64=1),$Q$73,HLOOKUP(INDIRECT(ADDRESS(2,COLUMN())),OFFSET($AT$2,0,0,ROW()-1,40),ROW()-1,FALSE))</f>
        <v>24</v>
      </c>
      <c r="R34">
        <f ca="1">IF(AND(ISNUMBER($R$73),$B$64=1),$R$73,HLOOKUP(INDIRECT(ADDRESS(2,COLUMN())),OFFSET($AT$2,0,0,ROW()-1,40),ROW()-1,FALSE))</f>
        <v>25</v>
      </c>
      <c r="S34">
        <f ca="1">IF(AND(ISNUMBER($S$73),$B$64=1),$S$73,HLOOKUP(INDIRECT(ADDRESS(2,COLUMN())),OFFSET($AT$2,0,0,ROW()-1,40),ROW()-1,FALSE))</f>
        <v>26</v>
      </c>
      <c r="T34">
        <f ca="1">IF(AND(ISNUMBER($T$73),$B$64=1),$T$73,HLOOKUP(INDIRECT(ADDRESS(2,COLUMN())),OFFSET($AT$2,0,0,ROW()-1,40),ROW()-1,FALSE))</f>
        <v>44</v>
      </c>
      <c r="U34">
        <f ca="1">IF(AND(ISNUMBER($U$73),$B$64=1),$U$73,HLOOKUP(INDIRECT(ADDRESS(2,COLUMN())),OFFSET($AT$2,0,0,ROW()-1,40),ROW()-1,FALSE))</f>
        <v>52</v>
      </c>
      <c r="V34">
        <f ca="1">IF(AND(ISNUMBER($V$73),$B$64=1),$V$73,HLOOKUP(INDIRECT(ADDRESS(2,COLUMN())),OFFSET($AT$2,0,0,ROW()-1,40),ROW()-1,FALSE))</f>
        <v>42</v>
      </c>
      <c r="W34">
        <f ca="1">IF(AND(ISNUMBER($W$73),$B$64=1),$W$73,HLOOKUP(INDIRECT(ADDRESS(2,COLUMN())),OFFSET($AT$2,0,0,ROW()-1,40),ROW()-1,FALSE))</f>
        <v>40</v>
      </c>
      <c r="X34">
        <f ca="1">IF(AND(ISNUMBER($X$73),$B$64=1),$X$73,HLOOKUP(INDIRECT(ADDRESS(2,COLUMN())),OFFSET($AT$2,0,0,ROW()-1,40),ROW()-1,FALSE))</f>
        <v>62</v>
      </c>
      <c r="Y34">
        <f ca="1">IF(AND(ISNUMBER($Y$73),$B$64=1),$Y$73,HLOOKUP(INDIRECT(ADDRESS(2,COLUMN())),OFFSET($AT$2,0,0,ROW()-1,40),ROW()-1,FALSE))</f>
        <v>61</v>
      </c>
      <c r="Z34">
        <f ca="1">IF(AND(ISNUMBER($Z$73),$B$64=1),$Z$73,HLOOKUP(INDIRECT(ADDRESS(2,COLUMN())),OFFSET($AT$2,0,0,ROW()-1,40),ROW()-1,FALSE))</f>
        <v>51</v>
      </c>
      <c r="AA34">
        <f ca="1">IF(AND(ISNUMBER($AA$73),$B$64=1),$AA$73,HLOOKUP(INDIRECT(ADDRESS(2,COLUMN())),OFFSET($AT$2,0,0,ROW()-1,40),ROW()-1,FALSE))</f>
        <v>62</v>
      </c>
      <c r="AB34">
        <f ca="1">IF(AND(ISNUMBER($AB$73),$B$64=1),$AB$73,HLOOKUP(INDIRECT(ADDRESS(2,COLUMN())),OFFSET($AT$2,0,0,ROW()-1,40),ROW()-1,FALSE))</f>
        <v>111</v>
      </c>
      <c r="AC34">
        <f ca="1">IF(AND(ISNUMBER($AC$73),$B$64=1),$AC$73,HLOOKUP(INDIRECT(ADDRESS(2,COLUMN())),OFFSET($AT$2,0,0,ROW()-1,40),ROW()-1,FALSE))</f>
        <v>67</v>
      </c>
      <c r="AD34">
        <f ca="1">IF(AND(ISNUMBER($AD$73),$B$64=1),$AD$73,HLOOKUP(INDIRECT(ADDRESS(2,COLUMN())),OFFSET($AT$2,0,0,ROW()-1,40),ROW()-1,FALSE))</f>
        <v>106</v>
      </c>
      <c r="AE34">
        <f ca="1">IF(AND(ISNUMBER($AE$73),$B$64=1),$AE$73,HLOOKUP(INDIRECT(ADDRESS(2,COLUMN())),OFFSET($AT$2,0,0,ROW()-1,40),ROW()-1,FALSE))</f>
        <v>80</v>
      </c>
      <c r="AF34">
        <f ca="1">IF(AND(ISNUMBER($AF$73),$B$64=1),$AF$73,HLOOKUP(INDIRECT(ADDRESS(2,COLUMN())),OFFSET($AT$2,0,0,ROW()-1,40),ROW()-1,FALSE))</f>
        <v>89</v>
      </c>
      <c r="AG34">
        <f ca="1">IF(AND(ISNUMBER($AG$73),$B$64=1),$AG$73,HLOOKUP(INDIRECT(ADDRESS(2,COLUMN())),OFFSET($AT$2,0,0,ROW()-1,40),ROW()-1,FALSE))</f>
        <v>98</v>
      </c>
      <c r="AH34">
        <f ca="1">IF(AND(ISNUMBER($AH$73),$B$64=1),$AH$73,HLOOKUP(INDIRECT(ADDRESS(2,COLUMN())),OFFSET($AT$2,0,0,ROW()-1,40),ROW()-1,FALSE))</f>
        <v>58</v>
      </c>
      <c r="AI34">
        <f ca="1">IF(AND(ISNUMBER($AI$73),$B$64=1),$AI$73,HLOOKUP(INDIRECT(ADDRESS(2,COLUMN())),OFFSET($AT$2,0,0,ROW()-1,40),ROW()-1,FALSE))</f>
        <v>57</v>
      </c>
      <c r="AJ34">
        <f ca="1">IF(AND(ISNUMBER($AJ$73),$B$64=1),$AJ$73,HLOOKUP(INDIRECT(ADDRESS(2,COLUMN())),OFFSET($AT$2,0,0,ROW()-1,40),ROW()-1,FALSE))</f>
        <v>61</v>
      </c>
      <c r="AK34">
        <f ca="1">IF(AND(ISNUMBER($AK$73),$B$64=1),$AK$73,HLOOKUP(INDIRECT(ADDRESS(2,COLUMN())),OFFSET($AT$2,0,0,ROW()-1,40),ROW()-1,FALSE))</f>
        <v>56</v>
      </c>
      <c r="AL34">
        <f ca="1">IF(AND(ISNUMBER($AL$73),$B$64=1),$AL$73,HLOOKUP(INDIRECT(ADDRESS(2,COLUMN())),OFFSET($AT$2,0,0,ROW()-1,40),ROW()-1,FALSE))</f>
        <v>57</v>
      </c>
      <c r="AM34">
        <f ca="1">IF(AND(ISNUMBER($AM$73),$B$64=1),$AM$73,HLOOKUP(INDIRECT(ADDRESS(2,COLUMN())),OFFSET($AT$2,0,0,ROW()-1,40),ROW()-1,FALSE))</f>
        <v>112</v>
      </c>
      <c r="AN34">
        <f ca="1">IF(AND(ISNUMBER($AN$73),$B$64=1),$AN$73,HLOOKUP(INDIRECT(ADDRESS(2,COLUMN())),OFFSET($AT$2,0,0,ROW()-1,40),ROW()-1,FALSE))</f>
        <v>253</v>
      </c>
      <c r="AO34">
        <f ca="1">IF(AND(ISNUMBER($AO$73),$B$64=1),$AO$73,HLOOKUP(INDIRECT(ADDRESS(2,COLUMN())),OFFSET($AT$2,0,0,ROW()-1,40),ROW()-1,FALSE))</f>
        <v>246</v>
      </c>
      <c r="AP34">
        <f ca="1">IF(AND(ISNUMBER($AP$73),$B$64=1),$AP$73,HLOOKUP(INDIRECT(ADDRESS(2,COLUMN())),OFFSET($AT$2,0,0,ROW()-1,40),ROW()-1,FALSE))</f>
        <v>207</v>
      </c>
      <c r="AQ34">
        <f ca="1">IF(AND(ISNUMBER($AQ$73),$B$64=1),$AQ$73,HLOOKUP(INDIRECT(ADDRESS(2,COLUMN())),OFFSET($AT$2,0,0,ROW()-1,40),ROW()-1,FALSE))</f>
        <v>210</v>
      </c>
      <c r="AR34">
        <f ca="1">IF(AND(ISNUMBER($AR$73),$B$64=1),$AR$73,HLOOKUP(INDIRECT(ADDRESS(2,COLUMN())),OFFSET($AT$2,0,0,ROW()-1,40),ROW()-1,FALSE))</f>
        <v>195</v>
      </c>
      <c r="AS34">
        <f ca="1">IF(AND(ISNUMBER($AS$73),$B$64=1),$AS$73,HLOOKUP(INDIRECT(ADDRESS(2,COLUMN())),OFFSET($AT$2,0,0,ROW()-1,40),ROW()-1,FALSE))</f>
        <v>186</v>
      </c>
      <c r="AT34">
        <f>73</f>
        <v>73</v>
      </c>
      <c r="AU34">
        <f>96</f>
        <v>96</v>
      </c>
      <c r="AV34">
        <f>94</f>
        <v>94</v>
      </c>
      <c r="AW34">
        <f>46</f>
        <v>46</v>
      </c>
      <c r="AX34">
        <f>30</f>
        <v>30</v>
      </c>
      <c r="AY34">
        <f>43</f>
        <v>43</v>
      </c>
      <c r="AZ34">
        <f>60</f>
        <v>60</v>
      </c>
      <c r="BA34">
        <f>34</f>
        <v>34</v>
      </c>
      <c r="BB34">
        <f>21</f>
        <v>21</v>
      </c>
      <c r="BC34">
        <f>33</f>
        <v>33</v>
      </c>
      <c r="BD34">
        <f>49</f>
        <v>49</v>
      </c>
      <c r="BE34">
        <f>24</f>
        <v>24</v>
      </c>
      <c r="BF34">
        <f>25</f>
        <v>25</v>
      </c>
      <c r="BG34">
        <f>26</f>
        <v>26</v>
      </c>
      <c r="BH34">
        <f>44</f>
        <v>44</v>
      </c>
      <c r="BI34">
        <f>52</f>
        <v>52</v>
      </c>
      <c r="BJ34">
        <f>42</f>
        <v>42</v>
      </c>
      <c r="BK34">
        <f>40</f>
        <v>40</v>
      </c>
      <c r="BL34">
        <f>62</f>
        <v>62</v>
      </c>
      <c r="BM34">
        <f>61</f>
        <v>61</v>
      </c>
      <c r="BN34">
        <f>51</f>
        <v>51</v>
      </c>
      <c r="BO34">
        <f>62</f>
        <v>62</v>
      </c>
      <c r="BP34">
        <f>111</f>
        <v>111</v>
      </c>
      <c r="BQ34">
        <f>67</f>
        <v>67</v>
      </c>
      <c r="BR34">
        <f>106</f>
        <v>106</v>
      </c>
      <c r="BS34">
        <f>80</f>
        <v>80</v>
      </c>
      <c r="BT34">
        <f>89</f>
        <v>89</v>
      </c>
      <c r="BU34">
        <f>98</f>
        <v>98</v>
      </c>
      <c r="BV34">
        <f>58</f>
        <v>58</v>
      </c>
      <c r="BW34">
        <f>57</f>
        <v>57</v>
      </c>
      <c r="BX34">
        <f>61</f>
        <v>61</v>
      </c>
      <c r="BY34">
        <f>56</f>
        <v>56</v>
      </c>
      <c r="BZ34">
        <f>57</f>
        <v>57</v>
      </c>
      <c r="CA34">
        <f>112</f>
        <v>112</v>
      </c>
      <c r="CB34">
        <f>253</f>
        <v>253</v>
      </c>
      <c r="CC34">
        <f>246</f>
        <v>246</v>
      </c>
      <c r="CD34">
        <f>207</f>
        <v>207</v>
      </c>
      <c r="CE34">
        <f>210</f>
        <v>210</v>
      </c>
      <c r="CF34">
        <f>195</f>
        <v>195</v>
      </c>
      <c r="CG34">
        <f>186</f>
        <v>186</v>
      </c>
    </row>
    <row r="35" spans="1:85" x14ac:dyDescent="0.25">
      <c r="A35" t="str">
        <f>"    Ford"</f>
        <v xml:space="preserve">    Ford</v>
      </c>
      <c r="B35" t="str">
        <f>"BRTRHFOR Index"</f>
        <v>BRTRHFOR Index</v>
      </c>
      <c r="C35" t="str">
        <f t="shared" si="3"/>
        <v>PX385</v>
      </c>
      <c r="D35" t="str">
        <f t="shared" si="4"/>
        <v>INTERVAL_SUM</v>
      </c>
      <c r="E35" t="str">
        <f t="shared" si="2"/>
        <v>Dynamic</v>
      </c>
      <c r="F35">
        <f ca="1">IF(AND(ISNUMBER($F$74),$B$64=1),$F$74,HLOOKUP(INDIRECT(ADDRESS(2,COLUMN())),OFFSET($AT$2,0,0,ROW()-1,40),ROW()-1,FALSE))</f>
        <v>16</v>
      </c>
      <c r="G35">
        <f ca="1">IF(AND(ISNUMBER($G$74),$B$64=1),$G$74,HLOOKUP(INDIRECT(ADDRESS(2,COLUMN())),OFFSET($AT$2,0,0,ROW()-1,40),ROW()-1,FALSE))</f>
        <v>17</v>
      </c>
      <c r="H35">
        <f ca="1">IF(AND(ISNUMBER($H$74),$B$64=1),$H$74,HLOOKUP(INDIRECT(ADDRESS(2,COLUMN())),OFFSET($AT$2,0,0,ROW()-1,40),ROW()-1,FALSE))</f>
        <v>9</v>
      </c>
      <c r="I35">
        <f ca="1">IF(AND(ISNUMBER($I$74),$B$64=1),$I$74,HLOOKUP(INDIRECT(ADDRESS(2,COLUMN())),OFFSET($AT$2,0,0,ROW()-1,40),ROW()-1,FALSE))</f>
        <v>15</v>
      </c>
      <c r="J35">
        <f ca="1">IF(AND(ISNUMBER($J$74),$B$64=1),$J$74,HLOOKUP(INDIRECT(ADDRESS(2,COLUMN())),OFFSET($AT$2,0,0,ROW()-1,40),ROW()-1,FALSE))</f>
        <v>17</v>
      </c>
      <c r="K35">
        <f ca="1">IF(AND(ISNUMBER($K$74),$B$64=1),$K$74,HLOOKUP(INDIRECT(ADDRESS(2,COLUMN())),OFFSET($AT$2,0,0,ROW()-1,40),ROW()-1,FALSE))</f>
        <v>17</v>
      </c>
      <c r="L35">
        <f ca="1">IF(AND(ISNUMBER($L$74),$B$64=1),$L$74,HLOOKUP(INDIRECT(ADDRESS(2,COLUMN())),OFFSET($AT$2,0,0,ROW()-1,40),ROW()-1,FALSE))</f>
        <v>11</v>
      </c>
      <c r="M35">
        <f ca="1">IF(AND(ISNUMBER($M$74),$B$64=1),$M$74,HLOOKUP(INDIRECT(ADDRESS(2,COLUMN())),OFFSET($AT$2,0,0,ROW()-1,40),ROW()-1,FALSE))</f>
        <v>27</v>
      </c>
      <c r="N35">
        <f ca="1">IF(AND(ISNUMBER($N$74),$B$64=1),$N$74,HLOOKUP(INDIRECT(ADDRESS(2,COLUMN())),OFFSET($AT$2,0,0,ROW()-1,40),ROW()-1,FALSE))</f>
        <v>8</v>
      </c>
      <c r="O35">
        <f ca="1">IF(AND(ISNUMBER($O$74),$B$64=1),$O$74,HLOOKUP(INDIRECT(ADDRESS(2,COLUMN())),OFFSET($AT$2,0,0,ROW()-1,40),ROW()-1,FALSE))</f>
        <v>12</v>
      </c>
      <c r="P35">
        <f ca="1">IF(AND(ISNUMBER($P$74),$B$64=1),$P$74,HLOOKUP(INDIRECT(ADDRESS(2,COLUMN())),OFFSET($AT$2,0,0,ROW()-1,40),ROW()-1,FALSE))</f>
        <v>23</v>
      </c>
      <c r="Q35">
        <f ca="1">IF(AND(ISNUMBER($Q$74),$B$64=1),$Q$74,HLOOKUP(INDIRECT(ADDRESS(2,COLUMN())),OFFSET($AT$2,0,0,ROW()-1,40),ROW()-1,FALSE))</f>
        <v>35</v>
      </c>
      <c r="R35">
        <f ca="1">IF(AND(ISNUMBER($R$74),$B$64=1),$R$74,HLOOKUP(INDIRECT(ADDRESS(2,COLUMN())),OFFSET($AT$2,0,0,ROW()-1,40),ROW()-1,FALSE))</f>
        <v>12</v>
      </c>
      <c r="S35">
        <f ca="1">IF(AND(ISNUMBER($S$74),$B$64=1),$S$74,HLOOKUP(INDIRECT(ADDRESS(2,COLUMN())),OFFSET($AT$2,0,0,ROW()-1,40),ROW()-1,FALSE))</f>
        <v>13</v>
      </c>
      <c r="T35">
        <f ca="1">IF(AND(ISNUMBER($T$74),$B$64=1),$T$74,HLOOKUP(INDIRECT(ADDRESS(2,COLUMN())),OFFSET($AT$2,0,0,ROW()-1,40),ROW()-1,FALSE))</f>
        <v>18</v>
      </c>
      <c r="U35">
        <f ca="1">IF(AND(ISNUMBER($U$74),$B$64=1),$U$74,HLOOKUP(INDIRECT(ADDRESS(2,COLUMN())),OFFSET($AT$2,0,0,ROW()-1,40),ROW()-1,FALSE))</f>
        <v>29</v>
      </c>
      <c r="V35">
        <f ca="1">IF(AND(ISNUMBER($V$74),$B$64=1),$V$74,HLOOKUP(INDIRECT(ADDRESS(2,COLUMN())),OFFSET($AT$2,0,0,ROW()-1,40),ROW()-1,FALSE))</f>
        <v>21</v>
      </c>
      <c r="W35">
        <f ca="1">IF(AND(ISNUMBER($W$74),$B$64=1),$W$74,HLOOKUP(INDIRECT(ADDRESS(2,COLUMN())),OFFSET($AT$2,0,0,ROW()-1,40),ROW()-1,FALSE))</f>
        <v>26</v>
      </c>
      <c r="X35">
        <f ca="1">IF(AND(ISNUMBER($X$74),$B$64=1),$X$74,HLOOKUP(INDIRECT(ADDRESS(2,COLUMN())),OFFSET($AT$2,0,0,ROW()-1,40),ROW()-1,FALSE))</f>
        <v>26</v>
      </c>
      <c r="Y35">
        <f ca="1">IF(AND(ISNUMBER($Y$74),$B$64=1),$Y$74,HLOOKUP(INDIRECT(ADDRESS(2,COLUMN())),OFFSET($AT$2,0,0,ROW()-1,40),ROW()-1,FALSE))</f>
        <v>30</v>
      </c>
      <c r="Z35">
        <f ca="1">IF(AND(ISNUMBER($Z$74),$B$64=1),$Z$74,HLOOKUP(INDIRECT(ADDRESS(2,COLUMN())),OFFSET($AT$2,0,0,ROW()-1,40),ROW()-1,FALSE))</f>
        <v>20</v>
      </c>
      <c r="AA35">
        <f ca="1">IF(AND(ISNUMBER($AA$74),$B$64=1),$AA$74,HLOOKUP(INDIRECT(ADDRESS(2,COLUMN())),OFFSET($AT$2,0,0,ROW()-1,40),ROW()-1,FALSE))</f>
        <v>48</v>
      </c>
      <c r="AB35">
        <f ca="1">IF(AND(ISNUMBER($AB$74),$B$64=1),$AB$74,HLOOKUP(INDIRECT(ADDRESS(2,COLUMN())),OFFSET($AT$2,0,0,ROW()-1,40),ROW()-1,FALSE))</f>
        <v>35</v>
      </c>
      <c r="AC35">
        <f ca="1">IF(AND(ISNUMBER($AC$74),$B$64=1),$AC$74,HLOOKUP(INDIRECT(ADDRESS(2,COLUMN())),OFFSET($AT$2,0,0,ROW()-1,40),ROW()-1,FALSE))</f>
        <v>13</v>
      </c>
      <c r="AD35">
        <f ca="1">IF(AND(ISNUMBER($AD$74),$B$64=1),$AD$74,HLOOKUP(INDIRECT(ADDRESS(2,COLUMN())),OFFSET($AT$2,0,0,ROW()-1,40),ROW()-1,FALSE))</f>
        <v>20</v>
      </c>
      <c r="AE35">
        <f ca="1">IF(AND(ISNUMBER($AE$74),$B$64=1),$AE$74,HLOOKUP(INDIRECT(ADDRESS(2,COLUMN())),OFFSET($AT$2,0,0,ROW()-1,40),ROW()-1,FALSE))</f>
        <v>31</v>
      </c>
      <c r="AF35">
        <f ca="1">IF(AND(ISNUMBER($AF$74),$B$64=1),$AF$74,HLOOKUP(INDIRECT(ADDRESS(2,COLUMN())),OFFSET($AT$2,0,0,ROW()-1,40),ROW()-1,FALSE))</f>
        <v>33</v>
      </c>
      <c r="AG35">
        <f ca="1">IF(AND(ISNUMBER($AG$74),$B$64=1),$AG$74,HLOOKUP(INDIRECT(ADDRESS(2,COLUMN())),OFFSET($AT$2,0,0,ROW()-1,40),ROW()-1,FALSE))</f>
        <v>24</v>
      </c>
      <c r="AH35">
        <f ca="1">IF(AND(ISNUMBER($AH$74),$B$64=1),$AH$74,HLOOKUP(INDIRECT(ADDRESS(2,COLUMN())),OFFSET($AT$2,0,0,ROW()-1,40),ROW()-1,FALSE))</f>
        <v>49</v>
      </c>
      <c r="AI35">
        <f ca="1">IF(AND(ISNUMBER($AI$74),$B$64=1),$AI$74,HLOOKUP(INDIRECT(ADDRESS(2,COLUMN())),OFFSET($AT$2,0,0,ROW()-1,40),ROW()-1,FALSE))</f>
        <v>35</v>
      </c>
      <c r="AJ35">
        <f ca="1">IF(AND(ISNUMBER($AJ$74),$B$64=1),$AJ$74,HLOOKUP(INDIRECT(ADDRESS(2,COLUMN())),OFFSET($AT$2,0,0,ROW()-1,40),ROW()-1,FALSE))</f>
        <v>34</v>
      </c>
      <c r="AK35">
        <f ca="1">IF(AND(ISNUMBER($AK$74),$B$64=1),$AK$74,HLOOKUP(INDIRECT(ADDRESS(2,COLUMN())),OFFSET($AT$2,0,0,ROW()-1,40),ROW()-1,FALSE))</f>
        <v>16</v>
      </c>
      <c r="AL35">
        <f ca="1">IF(AND(ISNUMBER($AL$74),$B$64=1),$AL$74,HLOOKUP(INDIRECT(ADDRESS(2,COLUMN())),OFFSET($AT$2,0,0,ROW()-1,40),ROW()-1,FALSE))</f>
        <v>21</v>
      </c>
      <c r="AM35">
        <f ca="1">IF(AND(ISNUMBER($AM$74),$B$64=1),$AM$74,HLOOKUP(INDIRECT(ADDRESS(2,COLUMN())),OFFSET($AT$2,0,0,ROW()-1,40),ROW()-1,FALSE))</f>
        <v>37</v>
      </c>
      <c r="AN35">
        <f ca="1">IF(AND(ISNUMBER($AN$74),$B$64=1),$AN$74,HLOOKUP(INDIRECT(ADDRESS(2,COLUMN())),OFFSET($AT$2,0,0,ROW()-1,40),ROW()-1,FALSE))</f>
        <v>119</v>
      </c>
      <c r="AO35">
        <f ca="1">IF(AND(ISNUMBER($AO$74),$B$64=1),$AO$74,HLOOKUP(INDIRECT(ADDRESS(2,COLUMN())),OFFSET($AT$2,0,0,ROW()-1,40),ROW()-1,FALSE))</f>
        <v>64</v>
      </c>
      <c r="AP35">
        <f ca="1">IF(AND(ISNUMBER($AP$74),$B$64=1),$AP$74,HLOOKUP(INDIRECT(ADDRESS(2,COLUMN())),OFFSET($AT$2,0,0,ROW()-1,40),ROW()-1,FALSE))</f>
        <v>115</v>
      </c>
      <c r="AQ35">
        <f ca="1">IF(AND(ISNUMBER($AQ$74),$B$64=1),$AQ$74,HLOOKUP(INDIRECT(ADDRESS(2,COLUMN())),OFFSET($AT$2,0,0,ROW()-1,40),ROW()-1,FALSE))</f>
        <v>67</v>
      </c>
      <c r="AR35">
        <f ca="1">IF(AND(ISNUMBER($AR$74),$B$64=1),$AR$74,HLOOKUP(INDIRECT(ADDRESS(2,COLUMN())),OFFSET($AT$2,0,0,ROW()-1,40),ROW()-1,FALSE))</f>
        <v>86</v>
      </c>
      <c r="AS35">
        <f ca="1">IF(AND(ISNUMBER($AS$74),$B$64=1),$AS$74,HLOOKUP(INDIRECT(ADDRESS(2,COLUMN())),OFFSET($AT$2,0,0,ROW()-1,40),ROW()-1,FALSE))</f>
        <v>123</v>
      </c>
      <c r="AT35">
        <f>16</f>
        <v>16</v>
      </c>
      <c r="AU35">
        <f>17</f>
        <v>17</v>
      </c>
      <c r="AV35">
        <f>9</f>
        <v>9</v>
      </c>
      <c r="AW35">
        <f>15</f>
        <v>15</v>
      </c>
      <c r="AX35">
        <f>17</f>
        <v>17</v>
      </c>
      <c r="AY35">
        <f>17</f>
        <v>17</v>
      </c>
      <c r="AZ35">
        <f>11</f>
        <v>11</v>
      </c>
      <c r="BA35">
        <f>27</f>
        <v>27</v>
      </c>
      <c r="BB35">
        <f>8</f>
        <v>8</v>
      </c>
      <c r="BC35">
        <f>12</f>
        <v>12</v>
      </c>
      <c r="BD35">
        <f>23</f>
        <v>23</v>
      </c>
      <c r="BE35">
        <f>35</f>
        <v>35</v>
      </c>
      <c r="BF35">
        <f>12</f>
        <v>12</v>
      </c>
      <c r="BG35">
        <f>13</f>
        <v>13</v>
      </c>
      <c r="BH35">
        <f>18</f>
        <v>18</v>
      </c>
      <c r="BI35">
        <f>29</f>
        <v>29</v>
      </c>
      <c r="BJ35">
        <f>21</f>
        <v>21</v>
      </c>
      <c r="BK35">
        <f>26</f>
        <v>26</v>
      </c>
      <c r="BL35">
        <f>26</f>
        <v>26</v>
      </c>
      <c r="BM35">
        <f>30</f>
        <v>30</v>
      </c>
      <c r="BN35">
        <f>20</f>
        <v>20</v>
      </c>
      <c r="BO35">
        <f>48</f>
        <v>48</v>
      </c>
      <c r="BP35">
        <f>35</f>
        <v>35</v>
      </c>
      <c r="BQ35">
        <f>13</f>
        <v>13</v>
      </c>
      <c r="BR35">
        <f>20</f>
        <v>20</v>
      </c>
      <c r="BS35">
        <f>31</f>
        <v>31</v>
      </c>
      <c r="BT35">
        <f>33</f>
        <v>33</v>
      </c>
      <c r="BU35">
        <f>24</f>
        <v>24</v>
      </c>
      <c r="BV35">
        <f>49</f>
        <v>49</v>
      </c>
      <c r="BW35">
        <f>35</f>
        <v>35</v>
      </c>
      <c r="BX35">
        <f>34</f>
        <v>34</v>
      </c>
      <c r="BY35">
        <f>16</f>
        <v>16</v>
      </c>
      <c r="BZ35">
        <f>21</f>
        <v>21</v>
      </c>
      <c r="CA35">
        <f>37</f>
        <v>37</v>
      </c>
      <c r="CB35">
        <f>119</f>
        <v>119</v>
      </c>
      <c r="CC35">
        <f>64</f>
        <v>64</v>
      </c>
      <c r="CD35">
        <f>115</f>
        <v>115</v>
      </c>
      <c r="CE35">
        <f>67</f>
        <v>67</v>
      </c>
      <c r="CF35">
        <f>86</f>
        <v>86</v>
      </c>
      <c r="CG35">
        <f>123</f>
        <v>123</v>
      </c>
    </row>
    <row r="36" spans="1:85" x14ac:dyDescent="0.25">
      <c r="A36" t="str">
        <f>"    International"</f>
        <v xml:space="preserve">    International</v>
      </c>
      <c r="B36" t="str">
        <f>"BRTRHINT Index"</f>
        <v>BRTRHINT Index</v>
      </c>
      <c r="C36" t="str">
        <f t="shared" si="3"/>
        <v>PX385</v>
      </c>
      <c r="D36" t="str">
        <f t="shared" si="4"/>
        <v>INTERVAL_SUM</v>
      </c>
      <c r="E36" t="str">
        <f t="shared" si="2"/>
        <v>Dynamic</v>
      </c>
      <c r="F36">
        <f ca="1">IF(AND(ISNUMBER($F$75),$B$64=1),$F$75,HLOOKUP(INDIRECT(ADDRESS(2,COLUMN())),OFFSET($AT$2,0,0,ROW()-1,40),ROW()-1,FALSE))</f>
        <v>0</v>
      </c>
      <c r="G36">
        <f ca="1">IF(AND(ISNUMBER($G$75),$B$64=1),$G$75,HLOOKUP(INDIRECT(ADDRESS(2,COLUMN())),OFFSET($AT$2,0,0,ROW()-1,40),ROW()-1,FALSE))</f>
        <v>0</v>
      </c>
      <c r="H36">
        <f ca="1">IF(AND(ISNUMBER($H$75),$B$64=1),$H$75,HLOOKUP(INDIRECT(ADDRESS(2,COLUMN())),OFFSET($AT$2,0,0,ROW()-1,40),ROW()-1,FALSE))</f>
        <v>0</v>
      </c>
      <c r="I36">
        <f ca="1">IF(AND(ISNUMBER($I$75),$B$64=1),$I$75,HLOOKUP(INDIRECT(ADDRESS(2,COLUMN())),OFFSET($AT$2,0,0,ROW()-1,40),ROW()-1,FALSE))</f>
        <v>0</v>
      </c>
      <c r="J36">
        <f ca="1">IF(AND(ISNUMBER($J$75),$B$64=1),$J$75,HLOOKUP(INDIRECT(ADDRESS(2,COLUMN())),OFFSET($AT$2,0,0,ROW()-1,40),ROW()-1,FALSE))</f>
        <v>0</v>
      </c>
      <c r="K36">
        <f ca="1">IF(AND(ISNUMBER($K$75),$B$64=1),$K$75,HLOOKUP(INDIRECT(ADDRESS(2,COLUMN())),OFFSET($AT$2,0,0,ROW()-1,40),ROW()-1,FALSE))</f>
        <v>0</v>
      </c>
      <c r="L36">
        <f ca="1">IF(AND(ISNUMBER($L$75),$B$64=1),$L$75,HLOOKUP(INDIRECT(ADDRESS(2,COLUMN())),OFFSET($AT$2,0,0,ROW()-1,40),ROW()-1,FALSE))</f>
        <v>0</v>
      </c>
      <c r="M36">
        <f ca="1">IF(AND(ISNUMBER($M$75),$B$64=1),$M$75,HLOOKUP(INDIRECT(ADDRESS(2,COLUMN())),OFFSET($AT$2,0,0,ROW()-1,40),ROW()-1,FALSE))</f>
        <v>0</v>
      </c>
      <c r="N36">
        <f ca="1">IF(AND(ISNUMBER($N$75),$B$64=1),$N$75,HLOOKUP(INDIRECT(ADDRESS(2,COLUMN())),OFFSET($AT$2,0,0,ROW()-1,40),ROW()-1,FALSE))</f>
        <v>0</v>
      </c>
      <c r="O36">
        <f ca="1">IF(AND(ISNUMBER($O$75),$B$64=1),$O$75,HLOOKUP(INDIRECT(ADDRESS(2,COLUMN())),OFFSET($AT$2,0,0,ROW()-1,40),ROW()-1,FALSE))</f>
        <v>1</v>
      </c>
      <c r="P36">
        <f ca="1">IF(AND(ISNUMBER($P$75),$B$64=1),$P$75,HLOOKUP(INDIRECT(ADDRESS(2,COLUMN())),OFFSET($AT$2,0,0,ROW()-1,40),ROW()-1,FALSE))</f>
        <v>2</v>
      </c>
      <c r="Q36">
        <f ca="1">IF(AND(ISNUMBER($Q$75),$B$64=1),$Q$75,HLOOKUP(INDIRECT(ADDRESS(2,COLUMN())),OFFSET($AT$2,0,0,ROW()-1,40),ROW()-1,FALSE))</f>
        <v>2</v>
      </c>
      <c r="R36">
        <f ca="1">IF(AND(ISNUMBER($R$75),$B$64=1),$R$75,HLOOKUP(INDIRECT(ADDRESS(2,COLUMN())),OFFSET($AT$2,0,0,ROW()-1,40),ROW()-1,FALSE))</f>
        <v>7</v>
      </c>
      <c r="S36">
        <f ca="1">IF(AND(ISNUMBER($S$75),$B$64=1),$S$75,HLOOKUP(INDIRECT(ADDRESS(2,COLUMN())),OFFSET($AT$2,0,0,ROW()-1,40),ROW()-1,FALSE))</f>
        <v>5</v>
      </c>
      <c r="T36">
        <f ca="1">IF(AND(ISNUMBER($T$75),$B$64=1),$T$75,HLOOKUP(INDIRECT(ADDRESS(2,COLUMN())),OFFSET($AT$2,0,0,ROW()-1,40),ROW()-1,FALSE))</f>
        <v>1</v>
      </c>
      <c r="U36">
        <f ca="1">IF(AND(ISNUMBER($U$75),$B$64=1),$U$75,HLOOKUP(INDIRECT(ADDRESS(2,COLUMN())),OFFSET($AT$2,0,0,ROW()-1,40),ROW()-1,FALSE))</f>
        <v>4</v>
      </c>
      <c r="V36">
        <f ca="1">IF(AND(ISNUMBER($V$75),$B$64=1),$V$75,HLOOKUP(INDIRECT(ADDRESS(2,COLUMN())),OFFSET($AT$2,0,0,ROW()-1,40),ROW()-1,FALSE))</f>
        <v>3</v>
      </c>
      <c r="W36">
        <f ca="1">IF(AND(ISNUMBER($W$75),$B$64=1),$W$75,HLOOKUP(INDIRECT(ADDRESS(2,COLUMN())),OFFSET($AT$2,0,0,ROW()-1,40),ROW()-1,FALSE))</f>
        <v>2</v>
      </c>
      <c r="X36">
        <f ca="1">IF(AND(ISNUMBER($X$75),$B$64=1),$X$75,HLOOKUP(INDIRECT(ADDRESS(2,COLUMN())),OFFSET($AT$2,0,0,ROW()-1,40),ROW()-1,FALSE))</f>
        <v>1</v>
      </c>
      <c r="Y36">
        <f ca="1">IF(AND(ISNUMBER($Y$75),$B$64=1),$Y$75,HLOOKUP(INDIRECT(ADDRESS(2,COLUMN())),OFFSET($AT$2,0,0,ROW()-1,40),ROW()-1,FALSE))</f>
        <v>2</v>
      </c>
      <c r="Z36">
        <f ca="1">IF(AND(ISNUMBER($Z$75),$B$64=1),$Z$75,HLOOKUP(INDIRECT(ADDRESS(2,COLUMN())),OFFSET($AT$2,0,0,ROW()-1,40),ROW()-1,FALSE))</f>
        <v>0</v>
      </c>
      <c r="AA36">
        <f ca="1">IF(AND(ISNUMBER($AA$75),$B$64=1),$AA$75,HLOOKUP(INDIRECT(ADDRESS(2,COLUMN())),OFFSET($AT$2,0,0,ROW()-1,40),ROW()-1,FALSE))</f>
        <v>0</v>
      </c>
      <c r="AB36">
        <f ca="1">IF(AND(ISNUMBER($AB$75),$B$64=1),$AB$75,HLOOKUP(INDIRECT(ADDRESS(2,COLUMN())),OFFSET($AT$2,0,0,ROW()-1,40),ROW()-1,FALSE))</f>
        <v>0</v>
      </c>
      <c r="AC36">
        <f ca="1">IF(AND(ISNUMBER($AC$75),$B$64=1),$AC$75,HLOOKUP(INDIRECT(ADDRESS(2,COLUMN())),OFFSET($AT$2,0,0,ROW()-1,40),ROW()-1,FALSE))</f>
        <v>3</v>
      </c>
      <c r="AD36">
        <f ca="1">IF(AND(ISNUMBER($AD$75),$B$64=1),$AD$75,HLOOKUP(INDIRECT(ADDRESS(2,COLUMN())),OFFSET($AT$2,0,0,ROW()-1,40),ROW()-1,FALSE))</f>
        <v>0</v>
      </c>
      <c r="AE36">
        <f ca="1">IF(AND(ISNUMBER($AE$75),$B$64=1),$AE$75,HLOOKUP(INDIRECT(ADDRESS(2,COLUMN())),OFFSET($AT$2,0,0,ROW()-1,40),ROW()-1,FALSE))</f>
        <v>0</v>
      </c>
      <c r="AF36">
        <f ca="1">IF(AND(ISNUMBER($AF$75),$B$64=1),$AF$75,HLOOKUP(INDIRECT(ADDRESS(2,COLUMN())),OFFSET($AT$2,0,0,ROW()-1,40),ROW()-1,FALSE))</f>
        <v>1</v>
      </c>
      <c r="AG36">
        <f ca="1">IF(AND(ISNUMBER($AG$75),$B$64=1),$AG$75,HLOOKUP(INDIRECT(ADDRESS(2,COLUMN())),OFFSET($AT$2,0,0,ROW()-1,40),ROW()-1,FALSE))</f>
        <v>2</v>
      </c>
      <c r="AH36">
        <f ca="1">IF(AND(ISNUMBER($AH$75),$B$64=1),$AH$75,HLOOKUP(INDIRECT(ADDRESS(2,COLUMN())),OFFSET($AT$2,0,0,ROW()-1,40),ROW()-1,FALSE))</f>
        <v>0</v>
      </c>
      <c r="AI36">
        <f ca="1">IF(AND(ISNUMBER($AI$75),$B$64=1),$AI$75,HLOOKUP(INDIRECT(ADDRESS(2,COLUMN())),OFFSET($AT$2,0,0,ROW()-1,40),ROW()-1,FALSE))</f>
        <v>1</v>
      </c>
      <c r="AJ36">
        <f ca="1">IF(AND(ISNUMBER($AJ$75),$B$64=1),$AJ$75,HLOOKUP(INDIRECT(ADDRESS(2,COLUMN())),OFFSET($AT$2,0,0,ROW()-1,40),ROW()-1,FALSE))</f>
        <v>2</v>
      </c>
      <c r="AK36">
        <f ca="1">IF(AND(ISNUMBER($AK$75),$B$64=1),$AK$75,HLOOKUP(INDIRECT(ADDRESS(2,COLUMN())),OFFSET($AT$2,0,0,ROW()-1,40),ROW()-1,FALSE))</f>
        <v>4</v>
      </c>
      <c r="AL36">
        <f ca="1">IF(AND(ISNUMBER($AL$75),$B$64=1),$AL$75,HLOOKUP(INDIRECT(ADDRESS(2,COLUMN())),OFFSET($AT$2,0,0,ROW()-1,40),ROW()-1,FALSE))</f>
        <v>0</v>
      </c>
      <c r="AM36">
        <f ca="1">IF(AND(ISNUMBER($AM$75),$B$64=1),$AM$75,HLOOKUP(INDIRECT(ADDRESS(2,COLUMN())),OFFSET($AT$2,0,0,ROW()-1,40),ROW()-1,FALSE))</f>
        <v>2</v>
      </c>
      <c r="AN36">
        <f ca="1">IF(AND(ISNUMBER($AN$75),$B$64=1),$AN$75,HLOOKUP(INDIRECT(ADDRESS(2,COLUMN())),OFFSET($AT$2,0,0,ROW()-1,40),ROW()-1,FALSE))</f>
        <v>1</v>
      </c>
      <c r="AO36">
        <f ca="1">IF(AND(ISNUMBER($AO$75),$B$64=1),$AO$75,HLOOKUP(INDIRECT(ADDRESS(2,COLUMN())),OFFSET($AT$2,0,0,ROW()-1,40),ROW()-1,FALSE))</f>
        <v>3</v>
      </c>
      <c r="AP36">
        <f ca="1">IF(AND(ISNUMBER($AP$75),$B$64=1),$AP$75,HLOOKUP(INDIRECT(ADDRESS(2,COLUMN())),OFFSET($AT$2,0,0,ROW()-1,40),ROW()-1,FALSE))</f>
        <v>1</v>
      </c>
      <c r="AQ36">
        <f ca="1">IF(AND(ISNUMBER($AQ$75),$B$64=1),$AQ$75,HLOOKUP(INDIRECT(ADDRESS(2,COLUMN())),OFFSET($AT$2,0,0,ROW()-1,40),ROW()-1,FALSE))</f>
        <v>5</v>
      </c>
      <c r="AR36">
        <f ca="1">IF(AND(ISNUMBER($AR$75),$B$64=1),$AR$75,HLOOKUP(INDIRECT(ADDRESS(2,COLUMN())),OFFSET($AT$2,0,0,ROW()-1,40),ROW()-1,FALSE))</f>
        <v>4</v>
      </c>
      <c r="AS36">
        <f ca="1">IF(AND(ISNUMBER($AS$75),$B$64=1),$AS$75,HLOOKUP(INDIRECT(ADDRESS(2,COLUMN())),OFFSET($AT$2,0,0,ROW()-1,40),ROW()-1,FALSE))</f>
        <v>3</v>
      </c>
      <c r="AT36">
        <f>0</f>
        <v>0</v>
      </c>
      <c r="AU36">
        <f>0</f>
        <v>0</v>
      </c>
      <c r="AV36">
        <f>0</f>
        <v>0</v>
      </c>
      <c r="AW36">
        <f>0</f>
        <v>0</v>
      </c>
      <c r="AX36">
        <f>0</f>
        <v>0</v>
      </c>
      <c r="AY36">
        <f>0</f>
        <v>0</v>
      </c>
      <c r="AZ36">
        <f>0</f>
        <v>0</v>
      </c>
      <c r="BA36">
        <f>0</f>
        <v>0</v>
      </c>
      <c r="BB36">
        <f>0</f>
        <v>0</v>
      </c>
      <c r="BC36">
        <f>1</f>
        <v>1</v>
      </c>
      <c r="BD36">
        <f>2</f>
        <v>2</v>
      </c>
      <c r="BE36">
        <f>2</f>
        <v>2</v>
      </c>
      <c r="BF36">
        <f>7</f>
        <v>7</v>
      </c>
      <c r="BG36">
        <f>5</f>
        <v>5</v>
      </c>
      <c r="BH36">
        <f>1</f>
        <v>1</v>
      </c>
      <c r="BI36">
        <f>4</f>
        <v>4</v>
      </c>
      <c r="BJ36">
        <f>3</f>
        <v>3</v>
      </c>
      <c r="BK36">
        <f>2</f>
        <v>2</v>
      </c>
      <c r="BL36">
        <f>1</f>
        <v>1</v>
      </c>
      <c r="BM36">
        <f>2</f>
        <v>2</v>
      </c>
      <c r="BN36">
        <f>0</f>
        <v>0</v>
      </c>
      <c r="BO36">
        <f>0</f>
        <v>0</v>
      </c>
      <c r="BP36">
        <f>0</f>
        <v>0</v>
      </c>
      <c r="BQ36">
        <f>3</f>
        <v>3</v>
      </c>
      <c r="BR36">
        <f>0</f>
        <v>0</v>
      </c>
      <c r="BS36">
        <f>0</f>
        <v>0</v>
      </c>
      <c r="BT36">
        <f>1</f>
        <v>1</v>
      </c>
      <c r="BU36">
        <f>2</f>
        <v>2</v>
      </c>
      <c r="BV36">
        <f>0</f>
        <v>0</v>
      </c>
      <c r="BW36">
        <f>1</f>
        <v>1</v>
      </c>
      <c r="BX36">
        <f>2</f>
        <v>2</v>
      </c>
      <c r="BY36">
        <f>4</f>
        <v>4</v>
      </c>
      <c r="BZ36">
        <f>0</f>
        <v>0</v>
      </c>
      <c r="CA36">
        <f>2</f>
        <v>2</v>
      </c>
      <c r="CB36">
        <f>1</f>
        <v>1</v>
      </c>
      <c r="CC36">
        <f>3</f>
        <v>3</v>
      </c>
      <c r="CD36">
        <f>1</f>
        <v>1</v>
      </c>
      <c r="CE36">
        <f>5</f>
        <v>5</v>
      </c>
      <c r="CF36">
        <f>4</f>
        <v>4</v>
      </c>
      <c r="CG36">
        <f>3</f>
        <v>3</v>
      </c>
    </row>
    <row r="37" spans="1:85" x14ac:dyDescent="0.25">
      <c r="A37" t="str">
        <f>"    DAF"</f>
        <v xml:space="preserve">    DAF</v>
      </c>
      <c r="B37" t="str">
        <f>"BRTRHDAF Index"</f>
        <v>BRTRHDAF Index</v>
      </c>
      <c r="C37" t="str">
        <f t="shared" si="3"/>
        <v>PX385</v>
      </c>
      <c r="D37" t="str">
        <f t="shared" si="4"/>
        <v>INTERVAL_SUM</v>
      </c>
      <c r="E37" t="str">
        <f t="shared" si="2"/>
        <v>Dynamic</v>
      </c>
      <c r="F37">
        <f ca="1">IF(AND(ISNUMBER($F$76),$B$64=1),$F$76,HLOOKUP(INDIRECT(ADDRESS(2,COLUMN())),OFFSET($AT$2,0,0,ROW()-1,40),ROW()-1,FALSE))</f>
        <v>112</v>
      </c>
      <c r="G37">
        <f ca="1">IF(AND(ISNUMBER($G$76),$B$64=1),$G$76,HLOOKUP(INDIRECT(ADDRESS(2,COLUMN())),OFFSET($AT$2,0,0,ROW()-1,40),ROW()-1,FALSE))</f>
        <v>107</v>
      </c>
      <c r="H37">
        <f ca="1">IF(AND(ISNUMBER($H$76),$B$64=1),$H$76,HLOOKUP(INDIRECT(ADDRESS(2,COLUMN())),OFFSET($AT$2,0,0,ROW()-1,40),ROW()-1,FALSE))</f>
        <v>115</v>
      </c>
      <c r="I37">
        <f ca="1">IF(AND(ISNUMBER($I$76),$B$64=1),$I$76,HLOOKUP(INDIRECT(ADDRESS(2,COLUMN())),OFFSET($AT$2,0,0,ROW()-1,40),ROW()-1,FALSE))</f>
        <v>90</v>
      </c>
      <c r="J37">
        <f ca="1">IF(AND(ISNUMBER($J$76),$B$64=1),$J$76,HLOOKUP(INDIRECT(ADDRESS(2,COLUMN())),OFFSET($AT$2,0,0,ROW()-1,40),ROW()-1,FALSE))</f>
        <v>70</v>
      </c>
      <c r="K37">
        <f ca="1">IF(AND(ISNUMBER($K$76),$B$64=1),$K$76,HLOOKUP(INDIRECT(ADDRESS(2,COLUMN())),OFFSET($AT$2,0,0,ROW()-1,40),ROW()-1,FALSE))</f>
        <v>78</v>
      </c>
      <c r="L37">
        <f ca="1">IF(AND(ISNUMBER($L$76),$B$64=1),$L$76,HLOOKUP(INDIRECT(ADDRESS(2,COLUMN())),OFFSET($AT$2,0,0,ROW()-1,40),ROW()-1,FALSE))</f>
        <v>51</v>
      </c>
      <c r="M37">
        <f ca="1">IF(AND(ISNUMBER($M$76),$B$64=1),$M$76,HLOOKUP(INDIRECT(ADDRESS(2,COLUMN())),OFFSET($AT$2,0,0,ROW()-1,40),ROW()-1,FALSE))</f>
        <v>66</v>
      </c>
      <c r="N37">
        <f ca="1">IF(AND(ISNUMBER($N$76),$B$64=1),$N$76,HLOOKUP(INDIRECT(ADDRESS(2,COLUMN())),OFFSET($AT$2,0,0,ROW()-1,40),ROW()-1,FALSE))</f>
        <v>37</v>
      </c>
      <c r="O37">
        <f ca="1">IF(AND(ISNUMBER($O$76),$B$64=1),$O$76,HLOOKUP(INDIRECT(ADDRESS(2,COLUMN())),OFFSET($AT$2,0,0,ROW()-1,40),ROW()-1,FALSE))</f>
        <v>61</v>
      </c>
      <c r="P37">
        <f ca="1">IF(AND(ISNUMBER($P$76),$B$64=1),$P$76,HLOOKUP(INDIRECT(ADDRESS(2,COLUMN())),OFFSET($AT$2,0,0,ROW()-1,40),ROW()-1,FALSE))</f>
        <v>92</v>
      </c>
      <c r="Q37">
        <f ca="1">IF(AND(ISNUMBER($Q$76),$B$64=1),$Q$76,HLOOKUP(INDIRECT(ADDRESS(2,COLUMN())),OFFSET($AT$2,0,0,ROW()-1,40),ROW()-1,FALSE))</f>
        <v>47</v>
      </c>
      <c r="R37">
        <f ca="1">IF(AND(ISNUMBER($R$76),$B$64=1),$R$76,HLOOKUP(INDIRECT(ADDRESS(2,COLUMN())),OFFSET($AT$2,0,0,ROW()-1,40),ROW()-1,FALSE))</f>
        <v>42</v>
      </c>
      <c r="S37">
        <f ca="1">IF(AND(ISNUMBER($S$76),$B$64=1),$S$76,HLOOKUP(INDIRECT(ADDRESS(2,COLUMN())),OFFSET($AT$2,0,0,ROW()-1,40),ROW()-1,FALSE))</f>
        <v>56</v>
      </c>
      <c r="T37">
        <f ca="1">IF(AND(ISNUMBER($T$76),$B$64=1),$T$76,HLOOKUP(INDIRECT(ADDRESS(2,COLUMN())),OFFSET($AT$2,0,0,ROW()-1,40),ROW()-1,FALSE))</f>
        <v>67</v>
      </c>
      <c r="U37">
        <f ca="1">IF(AND(ISNUMBER($U$76),$B$64=1),$U$76,HLOOKUP(INDIRECT(ADDRESS(2,COLUMN())),OFFSET($AT$2,0,0,ROW()-1,40),ROW()-1,FALSE))</f>
        <v>92</v>
      </c>
      <c r="V37">
        <f ca="1">IF(AND(ISNUMBER($V$76),$B$64=1),$V$76,HLOOKUP(INDIRECT(ADDRESS(2,COLUMN())),OFFSET($AT$2,0,0,ROW()-1,40),ROW()-1,FALSE))</f>
        <v>38</v>
      </c>
      <c r="W37">
        <f ca="1">IF(AND(ISNUMBER($W$76),$B$64=1),$W$76,HLOOKUP(INDIRECT(ADDRESS(2,COLUMN())),OFFSET($AT$2,0,0,ROW()-1,40),ROW()-1,FALSE))</f>
        <v>48</v>
      </c>
      <c r="X37">
        <f ca="1">IF(AND(ISNUMBER($X$76),$B$64=1),$X$76,HLOOKUP(INDIRECT(ADDRESS(2,COLUMN())),OFFSET($AT$2,0,0,ROW()-1,40),ROW()-1,FALSE))</f>
        <v>59</v>
      </c>
      <c r="Y37">
        <f ca="1">IF(AND(ISNUMBER($Y$76),$B$64=1),$Y$76,HLOOKUP(INDIRECT(ADDRESS(2,COLUMN())),OFFSET($AT$2,0,0,ROW()-1,40),ROW()-1,FALSE))</f>
        <v>49</v>
      </c>
      <c r="Z37">
        <f ca="1">IF(AND(ISNUMBER($Z$76),$B$64=1),$Z$76,HLOOKUP(INDIRECT(ADDRESS(2,COLUMN())),OFFSET($AT$2,0,0,ROW()-1,40),ROW()-1,FALSE))</f>
        <v>32</v>
      </c>
      <c r="AA37">
        <f ca="1">IF(AND(ISNUMBER($AA$76),$B$64=1),$AA$76,HLOOKUP(INDIRECT(ADDRESS(2,COLUMN())),OFFSET($AT$2,0,0,ROW()-1,40),ROW()-1,FALSE))</f>
        <v>51</v>
      </c>
      <c r="AB37">
        <f ca="1">IF(AND(ISNUMBER($AB$76),$B$64=1),$AB$76,HLOOKUP(INDIRECT(ADDRESS(2,COLUMN())),OFFSET($AT$2,0,0,ROW()-1,40),ROW()-1,FALSE))</f>
        <v>58</v>
      </c>
      <c r="AC37">
        <f ca="1">IF(AND(ISNUMBER($AC$76),$B$64=1),$AC$76,HLOOKUP(INDIRECT(ADDRESS(2,COLUMN())),OFFSET($AT$2,0,0,ROW()-1,40),ROW()-1,FALSE))</f>
        <v>35</v>
      </c>
      <c r="AD37">
        <f ca="1">IF(AND(ISNUMBER($AD$76),$B$64=1),$AD$76,HLOOKUP(INDIRECT(ADDRESS(2,COLUMN())),OFFSET($AT$2,0,0,ROW()-1,40),ROW()-1,FALSE))</f>
        <v>38</v>
      </c>
      <c r="AE37">
        <f ca="1">IF(AND(ISNUMBER($AE$76),$B$64=1),$AE$76,HLOOKUP(INDIRECT(ADDRESS(2,COLUMN())),OFFSET($AT$2,0,0,ROW()-1,40),ROW()-1,FALSE))</f>
        <v>54</v>
      </c>
      <c r="AF37">
        <f ca="1">IF(AND(ISNUMBER($AF$76),$B$64=1),$AF$76,HLOOKUP(INDIRECT(ADDRESS(2,COLUMN())),OFFSET($AT$2,0,0,ROW()-1,40),ROW()-1,FALSE))</f>
        <v>41</v>
      </c>
      <c r="AG37">
        <f ca="1">IF(AND(ISNUMBER($AG$76),$B$64=1),$AG$76,HLOOKUP(INDIRECT(ADDRESS(2,COLUMN())),OFFSET($AT$2,0,0,ROW()-1,40),ROW()-1,FALSE))</f>
        <v>42</v>
      </c>
      <c r="AH37">
        <f ca="1">IF(AND(ISNUMBER($AH$76),$B$64=1),$AH$76,HLOOKUP(INDIRECT(ADDRESS(2,COLUMN())),OFFSET($AT$2,0,0,ROW()-1,40),ROW()-1,FALSE))</f>
        <v>28</v>
      </c>
      <c r="AI37">
        <f ca="1">IF(AND(ISNUMBER($AI$76),$B$64=1),$AI$76,HLOOKUP(INDIRECT(ADDRESS(2,COLUMN())),OFFSET($AT$2,0,0,ROW()-1,40),ROW()-1,FALSE))</f>
        <v>30</v>
      </c>
      <c r="AJ37">
        <f ca="1">IF(AND(ISNUMBER($AJ$76),$B$64=1),$AJ$76,HLOOKUP(INDIRECT(ADDRESS(2,COLUMN())),OFFSET($AT$2,0,0,ROW()-1,40),ROW()-1,FALSE))</f>
        <v>34</v>
      </c>
      <c r="AK37">
        <f ca="1">IF(AND(ISNUMBER($AK$76),$B$64=1),$AK$76,HLOOKUP(INDIRECT(ADDRESS(2,COLUMN())),OFFSET($AT$2,0,0,ROW()-1,40),ROW()-1,FALSE))</f>
        <v>26</v>
      </c>
      <c r="AL37">
        <f ca="1">IF(AND(ISNUMBER($AL$76),$B$64=1),$AL$76,HLOOKUP(INDIRECT(ADDRESS(2,COLUMN())),OFFSET($AT$2,0,0,ROW()-1,40),ROW()-1,FALSE))</f>
        <v>23</v>
      </c>
      <c r="AM37">
        <f ca="1">IF(AND(ISNUMBER($AM$76),$B$64=1),$AM$76,HLOOKUP(INDIRECT(ADDRESS(2,COLUMN())),OFFSET($AT$2,0,0,ROW()-1,40),ROW()-1,FALSE))</f>
        <v>34</v>
      </c>
      <c r="AN37">
        <f ca="1">IF(AND(ISNUMBER($AN$76),$B$64=1),$AN$76,HLOOKUP(INDIRECT(ADDRESS(2,COLUMN())),OFFSET($AT$2,0,0,ROW()-1,40),ROW()-1,FALSE))</f>
        <v>34</v>
      </c>
      <c r="AO37">
        <f ca="1">IF(AND(ISNUMBER($AO$76),$B$64=1),$AO$76,HLOOKUP(INDIRECT(ADDRESS(2,COLUMN())),OFFSET($AT$2,0,0,ROW()-1,40),ROW()-1,FALSE))</f>
        <v>13</v>
      </c>
      <c r="AP37">
        <f ca="1">IF(AND(ISNUMBER($AP$76),$B$64=1),$AP$76,HLOOKUP(INDIRECT(ADDRESS(2,COLUMN())),OFFSET($AT$2,0,0,ROW()-1,40),ROW()-1,FALSE))</f>
        <v>78</v>
      </c>
      <c r="AQ37">
        <f ca="1">IF(AND(ISNUMBER($AQ$76),$B$64=1),$AQ$76,HLOOKUP(INDIRECT(ADDRESS(2,COLUMN())),OFFSET($AT$2,0,0,ROW()-1,40),ROW()-1,FALSE))</f>
        <v>16</v>
      </c>
      <c r="AR37">
        <f ca="1">IF(AND(ISNUMBER($AR$76),$B$64=1),$AR$76,HLOOKUP(INDIRECT(ADDRESS(2,COLUMN())),OFFSET($AT$2,0,0,ROW()-1,40),ROW()-1,FALSE))</f>
        <v>14</v>
      </c>
      <c r="AS37">
        <f ca="1">IF(AND(ISNUMBER($AS$76),$B$64=1),$AS$76,HLOOKUP(INDIRECT(ADDRESS(2,COLUMN())),OFFSET($AT$2,0,0,ROW()-1,40),ROW()-1,FALSE))</f>
        <v>31</v>
      </c>
      <c r="AT37">
        <f>112</f>
        <v>112</v>
      </c>
      <c r="AU37">
        <f>107</f>
        <v>107</v>
      </c>
      <c r="AV37">
        <f>115</f>
        <v>115</v>
      </c>
      <c r="AW37">
        <f>90</f>
        <v>90</v>
      </c>
      <c r="AX37">
        <f>70</f>
        <v>70</v>
      </c>
      <c r="AY37">
        <f>78</f>
        <v>78</v>
      </c>
      <c r="AZ37">
        <f>51</f>
        <v>51</v>
      </c>
      <c r="BA37">
        <f>66</f>
        <v>66</v>
      </c>
      <c r="BB37">
        <f>37</f>
        <v>37</v>
      </c>
      <c r="BC37">
        <f>61</f>
        <v>61</v>
      </c>
      <c r="BD37">
        <f>92</f>
        <v>92</v>
      </c>
      <c r="BE37">
        <f>47</f>
        <v>47</v>
      </c>
      <c r="BF37">
        <f>42</f>
        <v>42</v>
      </c>
      <c r="BG37">
        <f>56</f>
        <v>56</v>
      </c>
      <c r="BH37">
        <f>67</f>
        <v>67</v>
      </c>
      <c r="BI37">
        <f>92</f>
        <v>92</v>
      </c>
      <c r="BJ37">
        <f>38</f>
        <v>38</v>
      </c>
      <c r="BK37">
        <f>48</f>
        <v>48</v>
      </c>
      <c r="BL37">
        <f>59</f>
        <v>59</v>
      </c>
      <c r="BM37">
        <f>49</f>
        <v>49</v>
      </c>
      <c r="BN37">
        <f>32</f>
        <v>32</v>
      </c>
      <c r="BO37">
        <f>51</f>
        <v>51</v>
      </c>
      <c r="BP37">
        <f>58</f>
        <v>58</v>
      </c>
      <c r="BQ37">
        <f>35</f>
        <v>35</v>
      </c>
      <c r="BR37">
        <f>38</f>
        <v>38</v>
      </c>
      <c r="BS37">
        <f>54</f>
        <v>54</v>
      </c>
      <c r="BT37">
        <f>41</f>
        <v>41</v>
      </c>
      <c r="BU37">
        <f>42</f>
        <v>42</v>
      </c>
      <c r="BV37">
        <f>28</f>
        <v>28</v>
      </c>
      <c r="BW37">
        <f>30</f>
        <v>30</v>
      </c>
      <c r="BX37">
        <f>34</f>
        <v>34</v>
      </c>
      <c r="BY37">
        <f>26</f>
        <v>26</v>
      </c>
      <c r="BZ37">
        <f>23</f>
        <v>23</v>
      </c>
      <c r="CA37">
        <f>34</f>
        <v>34</v>
      </c>
      <c r="CB37">
        <f>34</f>
        <v>34</v>
      </c>
      <c r="CC37">
        <f>13</f>
        <v>13</v>
      </c>
      <c r="CD37">
        <f>78</f>
        <v>78</v>
      </c>
      <c r="CE37">
        <f>16</f>
        <v>16</v>
      </c>
      <c r="CF37">
        <f>14</f>
        <v>14</v>
      </c>
      <c r="CG37">
        <f>31</f>
        <v>31</v>
      </c>
    </row>
    <row r="38" spans="1:85" x14ac:dyDescent="0.25">
      <c r="A38" t="str">
        <f>"    Other"</f>
        <v xml:space="preserve">    Other</v>
      </c>
      <c r="B38" t="str">
        <f>"BRTRHOTH Index"</f>
        <v>BRTRHOTH Index</v>
      </c>
      <c r="E38" t="str">
        <f>"Expression"</f>
        <v>Expression</v>
      </c>
      <c r="F38">
        <f ca="1">IF(AND($B$64=1,LEN($F$29) * LEN($F$30) * LEN($F$31) * LEN($F$32) * LEN($F$33) * LEN($F$34) * LEN($F$35) * LEN($F$36) * LEN($F$37)&gt;0),$F$29-$F$30-$F$31-$F$32-$F$33-$F$34-$F$35-$F$36-$F$37,HLOOKUP(INDIRECT(ADDRESS(2,COLUMN())),OFFSET($AT$2,0,0,ROW()-1,40),ROW()-1,FALSE))</f>
        <v>0</v>
      </c>
      <c r="G38">
        <f ca="1">IF(AND($B$64=1,LEN($G$29) * LEN($G$30) * LEN($G$31) * LEN($G$32) * LEN($G$33) * LEN($G$34) * LEN($G$35) * LEN($G$36) * LEN($G$37)&gt;0),$G$29-$G$30-$G$31-$G$32-$G$33-$G$34-$G$35-$G$36-$G$37,HLOOKUP(INDIRECT(ADDRESS(2,COLUMN())),OFFSET($AT$2,0,0,ROW()-1,40),ROW()-1,FALSE))</f>
        <v>0</v>
      </c>
      <c r="H38">
        <f ca="1">IF(AND($B$64=1,LEN($H$29) * LEN($H$30) * LEN($H$31) * LEN($H$32) * LEN($H$33) * LEN($H$34) * LEN($H$35) * LEN($H$36) * LEN($H$37)&gt;0),$H$29-$H$30-$H$31-$H$32-$H$33-$H$34-$H$35-$H$36-$H$37,HLOOKUP(INDIRECT(ADDRESS(2,COLUMN())),OFFSET($AT$2,0,0,ROW()-1,40),ROW()-1,FALSE))</f>
        <v>0</v>
      </c>
      <c r="I38">
        <f ca="1">IF(AND($B$64=1,LEN($I$29) * LEN($I$30) * LEN($I$31) * LEN($I$32) * LEN($I$33) * LEN($I$34) * LEN($I$35) * LEN($I$36) * LEN($I$37)&gt;0),$I$29-$I$30-$I$31-$I$32-$I$33-$I$34-$I$35-$I$36-$I$37,HLOOKUP(INDIRECT(ADDRESS(2,COLUMN())),OFFSET($AT$2,0,0,ROW()-1,40),ROW()-1,FALSE))</f>
        <v>0</v>
      </c>
      <c r="J38">
        <f ca="1">IF(AND($B$64=1,LEN($J$29) * LEN($J$30) * LEN($J$31) * LEN($J$32) * LEN($J$33) * LEN($J$34) * LEN($J$35) * LEN($J$36) * LEN($J$37)&gt;0),$J$29-$J$30-$J$31-$J$32-$J$33-$J$34-$J$35-$J$36-$J$37,HLOOKUP(INDIRECT(ADDRESS(2,COLUMN())),OFFSET($AT$2,0,0,ROW()-1,40),ROW()-1,FALSE))</f>
        <v>0</v>
      </c>
      <c r="K38">
        <f ca="1">IF(AND($B$64=1,LEN($K$29) * LEN($K$30) * LEN($K$31) * LEN($K$32) * LEN($K$33) * LEN($K$34) * LEN($K$35) * LEN($K$36) * LEN($K$37)&gt;0),$K$29-$K$30-$K$31-$K$32-$K$33-$K$34-$K$35-$K$36-$K$37,HLOOKUP(INDIRECT(ADDRESS(2,COLUMN())),OFFSET($AT$2,0,0,ROW()-1,40),ROW()-1,FALSE))</f>
        <v>2</v>
      </c>
      <c r="L38">
        <f ca="1">IF(AND($B$64=1,LEN($L$29) * LEN($L$30) * LEN($L$31) * LEN($L$32) * LEN($L$33) * LEN($L$34) * LEN($L$35) * LEN($L$36) * LEN($L$37)&gt;0),$L$29-$L$30-$L$31-$L$32-$L$33-$L$34-$L$35-$L$36-$L$37,HLOOKUP(INDIRECT(ADDRESS(2,COLUMN())),OFFSET($AT$2,0,0,ROW()-1,40),ROW()-1,FALSE))</f>
        <v>0</v>
      </c>
      <c r="M38">
        <f ca="1">IF(AND($B$64=1,LEN($M$29) * LEN($M$30) * LEN($M$31) * LEN($M$32) * LEN($M$33) * LEN($M$34) * LEN($M$35) * LEN($M$36) * LEN($M$37)&gt;0),$M$29-$M$30-$M$31-$M$32-$M$33-$M$34-$M$35-$M$36-$M$37,HLOOKUP(INDIRECT(ADDRESS(2,COLUMN())),OFFSET($AT$2,0,0,ROW()-1,40),ROW()-1,FALSE))</f>
        <v>1</v>
      </c>
      <c r="N38">
        <f ca="1">IF(AND($B$64=1,LEN($N$29) * LEN($N$30) * LEN($N$31) * LEN($N$32) * LEN($N$33) * LEN($N$34) * LEN($N$35) * LEN($N$36) * LEN($N$37)&gt;0),$N$29-$N$30-$N$31-$N$32-$N$33-$N$34-$N$35-$N$36-$N$37,HLOOKUP(INDIRECT(ADDRESS(2,COLUMN())),OFFSET($AT$2,0,0,ROW()-1,40),ROW()-1,FALSE))</f>
        <v>1</v>
      </c>
      <c r="O38">
        <f ca="1">IF(AND($B$64=1,LEN($O$29) * LEN($O$30) * LEN($O$31) * LEN($O$32) * LEN($O$33) * LEN($O$34) * LEN($O$35) * LEN($O$36) * LEN($O$37)&gt;0),$O$29-$O$30-$O$31-$O$32-$O$33-$O$34-$O$35-$O$36-$O$37,HLOOKUP(INDIRECT(ADDRESS(2,COLUMN())),OFFSET($AT$2,0,0,ROW()-1,40),ROW()-1,FALSE))</f>
        <v>6</v>
      </c>
      <c r="P38">
        <f ca="1">IF(AND($B$64=1,LEN($P$29) * LEN($P$30) * LEN($P$31) * LEN($P$32) * LEN($P$33) * LEN($P$34) * LEN($P$35) * LEN($P$36) * LEN($P$37)&gt;0),$P$29-$P$30-$P$31-$P$32-$P$33-$P$34-$P$35-$P$36-$P$37,HLOOKUP(INDIRECT(ADDRESS(2,COLUMN())),OFFSET($AT$2,0,0,ROW()-1,40),ROW()-1,FALSE))</f>
        <v>29</v>
      </c>
      <c r="Q38">
        <f ca="1">IF(AND($B$64=1,LEN($Q$29) * LEN($Q$30) * LEN($Q$31) * LEN($Q$32) * LEN($Q$33) * LEN($Q$34) * LEN($Q$35) * LEN($Q$36) * LEN($Q$37)&gt;0),$Q$29-$Q$30-$Q$31-$Q$32-$Q$33-$Q$34-$Q$35-$Q$36-$Q$37,HLOOKUP(INDIRECT(ADDRESS(2,COLUMN())),OFFSET($AT$2,0,0,ROW()-1,40),ROW()-1,FALSE))</f>
        <v>11</v>
      </c>
      <c r="R38">
        <f ca="1">IF(AND($B$64=1,LEN($R$29) * LEN($R$30) * LEN($R$31) * LEN($R$32) * LEN($R$33) * LEN($R$34) * LEN($R$35) * LEN($R$36) * LEN($R$37)&gt;0),$R$29-$R$30-$R$31-$R$32-$R$33-$R$34-$R$35-$R$36-$R$37,HLOOKUP(INDIRECT(ADDRESS(2,COLUMN())),OFFSET($AT$2,0,0,ROW()-1,40),ROW()-1,FALSE))</f>
        <v>11</v>
      </c>
      <c r="S38">
        <f ca="1">IF(AND($B$64=1,LEN($S$29) * LEN($S$30) * LEN($S$31) * LEN($S$32) * LEN($S$33) * LEN($S$34) * LEN($S$35) * LEN($S$36) * LEN($S$37)&gt;0),$S$29-$S$30-$S$31-$S$32-$S$33-$S$34-$S$35-$S$36-$S$37,HLOOKUP(INDIRECT(ADDRESS(2,COLUMN())),OFFSET($AT$2,0,0,ROW()-1,40),ROW()-1,FALSE))</f>
        <v>19</v>
      </c>
      <c r="T38">
        <f ca="1">IF(AND($B$64=1,LEN($T$29) * LEN($T$30) * LEN($T$31) * LEN($T$32) * LEN($T$33) * LEN($T$34) * LEN($T$35) * LEN($T$36) * LEN($T$37)&gt;0),$T$29-$T$30-$T$31-$T$32-$T$33-$T$34-$T$35-$T$36-$T$37,HLOOKUP(INDIRECT(ADDRESS(2,COLUMN())),OFFSET($AT$2,0,0,ROW()-1,40),ROW()-1,FALSE))</f>
        <v>34</v>
      </c>
      <c r="U38">
        <f ca="1">IF(AND($B$64=1,LEN($U$29) * LEN($U$30) * LEN($U$31) * LEN($U$32) * LEN($U$33) * LEN($U$34) * LEN($U$35) * LEN($U$36) * LEN($U$37)&gt;0),$U$29-$U$30-$U$31-$U$32-$U$33-$U$34-$U$35-$U$36-$U$37,HLOOKUP(INDIRECT(ADDRESS(2,COLUMN())),OFFSET($AT$2,0,0,ROW()-1,40),ROW()-1,FALSE))</f>
        <v>53</v>
      </c>
      <c r="V38">
        <f ca="1">IF(AND($B$64=1,LEN($V$29) * LEN($V$30) * LEN($V$31) * LEN($V$32) * LEN($V$33) * LEN($V$34) * LEN($V$35) * LEN($V$36) * LEN($V$37)&gt;0),$V$29-$V$30-$V$31-$V$32-$V$33-$V$34-$V$35-$V$36-$V$37,HLOOKUP(INDIRECT(ADDRESS(2,COLUMN())),OFFSET($AT$2,0,0,ROW()-1,40),ROW()-1,FALSE))</f>
        <v>16</v>
      </c>
      <c r="W38">
        <f ca="1">IF(AND($B$64=1,LEN($W$29) * LEN($W$30) * LEN($W$31) * LEN($W$32) * LEN($W$33) * LEN($W$34) * LEN($W$35) * LEN($W$36) * LEN($W$37)&gt;0),$W$29-$W$30-$W$31-$W$32-$W$33-$W$34-$W$35-$W$36-$W$37,HLOOKUP(INDIRECT(ADDRESS(2,COLUMN())),OFFSET($AT$2,0,0,ROW()-1,40),ROW()-1,FALSE))</f>
        <v>2</v>
      </c>
      <c r="X38">
        <f ca="1">IF(AND($B$64=1,LEN($X$29) * LEN($X$30) * LEN($X$31) * LEN($X$32) * LEN($X$33) * LEN($X$34) * LEN($X$35) * LEN($X$36) * LEN($X$37)&gt;0),$X$29-$X$30-$X$31-$X$32-$X$33-$X$34-$X$35-$X$36-$X$37,HLOOKUP(INDIRECT(ADDRESS(2,COLUMN())),OFFSET($AT$2,0,0,ROW()-1,40),ROW()-1,FALSE))</f>
        <v>1</v>
      </c>
      <c r="Y38">
        <f ca="1">IF(AND($B$64=1,LEN($Y$29) * LEN($Y$30) * LEN($Y$31) * LEN($Y$32) * LEN($Y$33) * LEN($Y$34) * LEN($Y$35) * LEN($Y$36) * LEN($Y$37)&gt;0),$Y$29-$Y$30-$Y$31-$Y$32-$Y$33-$Y$34-$Y$35-$Y$36-$Y$37,HLOOKUP(INDIRECT(ADDRESS(2,COLUMN())),OFFSET($AT$2,0,0,ROW()-1,40),ROW()-1,FALSE))</f>
        <v>4</v>
      </c>
      <c r="Z38">
        <f ca="1">IF(AND($B$64=1,LEN($Z$29) * LEN($Z$30) * LEN($Z$31) * LEN($Z$32) * LEN($Z$33) * LEN($Z$34) * LEN($Z$35) * LEN($Z$36) * LEN($Z$37)&gt;0),$Z$29-$Z$30-$Z$31-$Z$32-$Z$33-$Z$34-$Z$35-$Z$36-$Z$37,HLOOKUP(INDIRECT(ADDRESS(2,COLUMN())),OFFSET($AT$2,0,0,ROW()-1,40),ROW()-1,FALSE))</f>
        <v>3</v>
      </c>
      <c r="AA38">
        <f ca="1">IF(AND($B$64=1,LEN($AA$29) * LEN($AA$30) * LEN($AA$31) * LEN($AA$32) * LEN($AA$33) * LEN($AA$34) * LEN($AA$35) * LEN($AA$36) * LEN($AA$37)&gt;0),$AA$29-$AA$30-$AA$31-$AA$32-$AA$33-$AA$34-$AA$35-$AA$36-$AA$37,HLOOKUP(INDIRECT(ADDRESS(2,COLUMN())),OFFSET($AT$2,0,0,ROW()-1,40),ROW()-1,FALSE))</f>
        <v>0</v>
      </c>
      <c r="AB38">
        <f ca="1">IF(AND($B$64=1,LEN($AB$29) * LEN($AB$30) * LEN($AB$31) * LEN($AB$32) * LEN($AB$33) * LEN($AB$34) * LEN($AB$35) * LEN($AB$36) * LEN($AB$37)&gt;0),$AB$29-$AB$30-$AB$31-$AB$32-$AB$33-$AB$34-$AB$35-$AB$36-$AB$37,HLOOKUP(INDIRECT(ADDRESS(2,COLUMN())),OFFSET($AT$2,0,0,ROW()-1,40),ROW()-1,FALSE))</f>
        <v>1</v>
      </c>
      <c r="AC38">
        <f ca="1">IF(AND($B$64=1,LEN($AC$29) * LEN($AC$30) * LEN($AC$31) * LEN($AC$32) * LEN($AC$33) * LEN($AC$34) * LEN($AC$35) * LEN($AC$36) * LEN($AC$37)&gt;0),$AC$29-$AC$30-$AC$31-$AC$32-$AC$33-$AC$34-$AC$35-$AC$36-$AC$37,HLOOKUP(INDIRECT(ADDRESS(2,COLUMN())),OFFSET($AT$2,0,0,ROW()-1,40),ROW()-1,FALSE))</f>
        <v>2</v>
      </c>
      <c r="AD38">
        <f ca="1">IF(AND($B$64=1,LEN($AD$29) * LEN($AD$30) * LEN($AD$31) * LEN($AD$32) * LEN($AD$33) * LEN($AD$34) * LEN($AD$35) * LEN($AD$36) * LEN($AD$37)&gt;0),$AD$29-$AD$30-$AD$31-$AD$32-$AD$33-$AD$34-$AD$35-$AD$36-$AD$37,HLOOKUP(INDIRECT(ADDRESS(2,COLUMN())),OFFSET($AT$2,0,0,ROW()-1,40),ROW()-1,FALSE))</f>
        <v>3</v>
      </c>
      <c r="AE38">
        <f ca="1">IF(AND($B$64=1,LEN($AE$29) * LEN($AE$30) * LEN($AE$31) * LEN($AE$32) * LEN($AE$33) * LEN($AE$34) * LEN($AE$35) * LEN($AE$36) * LEN($AE$37)&gt;0),$AE$29-$AE$30-$AE$31-$AE$32-$AE$33-$AE$34-$AE$35-$AE$36-$AE$37,HLOOKUP(INDIRECT(ADDRESS(2,COLUMN())),OFFSET($AT$2,0,0,ROW()-1,40),ROW()-1,FALSE))</f>
        <v>4</v>
      </c>
      <c r="AF38">
        <f ca="1">IF(AND($B$64=1,LEN($AF$29) * LEN($AF$30) * LEN($AF$31) * LEN($AF$32) * LEN($AF$33) * LEN($AF$34) * LEN($AF$35) * LEN($AF$36) * LEN($AF$37)&gt;0),$AF$29-$AF$30-$AF$31-$AF$32-$AF$33-$AF$34-$AF$35-$AF$36-$AF$37,HLOOKUP(INDIRECT(ADDRESS(2,COLUMN())),OFFSET($AT$2,0,0,ROW()-1,40),ROW()-1,FALSE))</f>
        <v>18</v>
      </c>
      <c r="AG38">
        <f ca="1">IF(AND($B$64=1,LEN($AG$29) * LEN($AG$30) * LEN($AG$31) * LEN($AG$32) * LEN($AG$33) * LEN($AG$34) * LEN($AG$35) * LEN($AG$36) * LEN($AG$37)&gt;0),$AG$29-$AG$30-$AG$31-$AG$32-$AG$33-$AG$34-$AG$35-$AG$36-$AG$37,HLOOKUP(INDIRECT(ADDRESS(2,COLUMN())),OFFSET($AT$2,0,0,ROW()-1,40),ROW()-1,FALSE))</f>
        <v>1</v>
      </c>
      <c r="AH38">
        <f ca="1">IF(AND($B$64=1,LEN($AH$29) * LEN($AH$30) * LEN($AH$31) * LEN($AH$32) * LEN($AH$33) * LEN($AH$34) * LEN($AH$35) * LEN($AH$36) * LEN($AH$37)&gt;0),$AH$29-$AH$30-$AH$31-$AH$32-$AH$33-$AH$34-$AH$35-$AH$36-$AH$37,HLOOKUP(INDIRECT(ADDRESS(2,COLUMN())),OFFSET($AT$2,0,0,ROW()-1,40),ROW()-1,FALSE))</f>
        <v>4</v>
      </c>
      <c r="AI38">
        <f ca="1">IF(AND($B$64=1,LEN($AI$29) * LEN($AI$30) * LEN($AI$31) * LEN($AI$32) * LEN($AI$33) * LEN($AI$34) * LEN($AI$35) * LEN($AI$36) * LEN($AI$37)&gt;0),$AI$29-$AI$30-$AI$31-$AI$32-$AI$33-$AI$34-$AI$35-$AI$36-$AI$37,HLOOKUP(INDIRECT(ADDRESS(2,COLUMN())),OFFSET($AT$2,0,0,ROW()-1,40),ROW()-1,FALSE))</f>
        <v>5</v>
      </c>
      <c r="AJ38">
        <f ca="1">IF(AND($B$64=1,LEN($AJ$29) * LEN($AJ$30) * LEN($AJ$31) * LEN($AJ$32) * LEN($AJ$33) * LEN($AJ$34) * LEN($AJ$35) * LEN($AJ$36) * LEN($AJ$37)&gt;0),$AJ$29-$AJ$30-$AJ$31-$AJ$32-$AJ$33-$AJ$34-$AJ$35-$AJ$36-$AJ$37,HLOOKUP(INDIRECT(ADDRESS(2,COLUMN())),OFFSET($AT$2,0,0,ROW()-1,40),ROW()-1,FALSE))</f>
        <v>7</v>
      </c>
      <c r="AK38">
        <f ca="1">IF(AND($B$64=1,LEN($AK$29) * LEN($AK$30) * LEN($AK$31) * LEN($AK$32) * LEN($AK$33) * LEN($AK$34) * LEN($AK$35) * LEN($AK$36) * LEN($AK$37)&gt;0),$AK$29-$AK$30-$AK$31-$AK$32-$AK$33-$AK$34-$AK$35-$AK$36-$AK$37,HLOOKUP(INDIRECT(ADDRESS(2,COLUMN())),OFFSET($AT$2,0,0,ROW()-1,40),ROW()-1,FALSE))</f>
        <v>5</v>
      </c>
      <c r="AL38">
        <f ca="1">IF(AND($B$64=1,LEN($AL$29) * LEN($AL$30) * LEN($AL$31) * LEN($AL$32) * LEN($AL$33) * LEN($AL$34) * LEN($AL$35) * LEN($AL$36) * LEN($AL$37)&gt;0),$AL$29-$AL$30-$AL$31-$AL$32-$AL$33-$AL$34-$AL$35-$AL$36-$AL$37,HLOOKUP(INDIRECT(ADDRESS(2,COLUMN())),OFFSET($AT$2,0,0,ROW()-1,40),ROW()-1,FALSE))</f>
        <v>12</v>
      </c>
      <c r="AM38">
        <f ca="1">IF(AND($B$64=1,LEN($AM$29) * LEN($AM$30) * LEN($AM$31) * LEN($AM$32) * LEN($AM$33) * LEN($AM$34) * LEN($AM$35) * LEN($AM$36) * LEN($AM$37)&gt;0),$AM$29-$AM$30-$AM$31-$AM$32-$AM$33-$AM$34-$AM$35-$AM$36-$AM$37,HLOOKUP(INDIRECT(ADDRESS(2,COLUMN())),OFFSET($AT$2,0,0,ROW()-1,40),ROW()-1,FALSE))</f>
        <v>24</v>
      </c>
      <c r="AN38">
        <f ca="1">IF(AND($B$64=1,LEN($AN$29) * LEN($AN$30) * LEN($AN$31) * LEN($AN$32) * LEN($AN$33) * LEN($AN$34) * LEN($AN$35) * LEN($AN$36) * LEN($AN$37)&gt;0),$AN$29-$AN$30-$AN$31-$AN$32-$AN$33-$AN$34-$AN$35-$AN$36-$AN$37,HLOOKUP(INDIRECT(ADDRESS(2,COLUMN())),OFFSET($AT$2,0,0,ROW()-1,40),ROW()-1,FALSE))</f>
        <v>6</v>
      </c>
      <c r="AO38">
        <f ca="1">IF(AND($B$64=1,LEN($AO$29) * LEN($AO$30) * LEN($AO$31) * LEN($AO$32) * LEN($AO$33) * LEN($AO$34) * LEN($AO$35) * LEN($AO$36) * LEN($AO$37)&gt;0),$AO$29-$AO$30-$AO$31-$AO$32-$AO$33-$AO$34-$AO$35-$AO$36-$AO$37,HLOOKUP(INDIRECT(ADDRESS(2,COLUMN())),OFFSET($AT$2,0,0,ROW()-1,40),ROW()-1,FALSE))</f>
        <v>17</v>
      </c>
      <c r="AP38">
        <f ca="1">IF(AND($B$64=1,LEN($AP$29) * LEN($AP$30) * LEN($AP$31) * LEN($AP$32) * LEN($AP$33) * LEN($AP$34) * LEN($AP$35) * LEN($AP$36) * LEN($AP$37)&gt;0),$AP$29-$AP$30-$AP$31-$AP$32-$AP$33-$AP$34-$AP$35-$AP$36-$AP$37,HLOOKUP(INDIRECT(ADDRESS(2,COLUMN())),OFFSET($AT$2,0,0,ROW()-1,40),ROW()-1,FALSE))</f>
        <v>7</v>
      </c>
      <c r="AQ38">
        <f ca="1">IF(AND($B$64=1,LEN($AQ$29) * LEN($AQ$30) * LEN($AQ$31) * LEN($AQ$32) * LEN($AQ$33) * LEN($AQ$34) * LEN($AQ$35) * LEN($AQ$36) * LEN($AQ$37)&gt;0),$AQ$29-$AQ$30-$AQ$31-$AQ$32-$AQ$33-$AQ$34-$AQ$35-$AQ$36-$AQ$37,HLOOKUP(INDIRECT(ADDRESS(2,COLUMN())),OFFSET($AT$2,0,0,ROW()-1,40),ROW()-1,FALSE))</f>
        <v>10</v>
      </c>
      <c r="AR38">
        <f ca="1">IF(AND($B$64=1,LEN($AR$29) * LEN($AR$30) * LEN($AR$31) * LEN($AR$32) * LEN($AR$33) * LEN($AR$34) * LEN($AR$35) * LEN($AR$36) * LEN($AR$37)&gt;0),$AR$29-$AR$30-$AR$31-$AR$32-$AR$33-$AR$34-$AR$35-$AR$36-$AR$37,HLOOKUP(INDIRECT(ADDRESS(2,COLUMN())),OFFSET($AT$2,0,0,ROW()-1,40),ROW()-1,FALSE))</f>
        <v>4</v>
      </c>
      <c r="AS38">
        <f ca="1">IF(AND($B$64=1,LEN($AS$29) * LEN($AS$30) * LEN($AS$31) * LEN($AS$32) * LEN($AS$33) * LEN($AS$34) * LEN($AS$35) * LEN($AS$36) * LEN($AS$37)&gt;0),$AS$29-$AS$30-$AS$31-$AS$32-$AS$33-$AS$34-$AS$35-$AS$36-$AS$37,HLOOKUP(INDIRECT(ADDRESS(2,COLUMN())),OFFSET($AT$2,0,0,ROW()-1,40),ROW()-1,FALSE))</f>
        <v>7</v>
      </c>
      <c r="AT38">
        <f>0</f>
        <v>0</v>
      </c>
      <c r="AU38">
        <f>0</f>
        <v>0</v>
      </c>
      <c r="AV38">
        <f>0</f>
        <v>0</v>
      </c>
      <c r="AW38">
        <f>0</f>
        <v>0</v>
      </c>
      <c r="AX38">
        <f>0</f>
        <v>0</v>
      </c>
      <c r="AY38">
        <f>2</f>
        <v>2</v>
      </c>
      <c r="AZ38">
        <f>0</f>
        <v>0</v>
      </c>
      <c r="BA38">
        <f>1</f>
        <v>1</v>
      </c>
      <c r="BB38">
        <f>1</f>
        <v>1</v>
      </c>
      <c r="BC38">
        <f>6</f>
        <v>6</v>
      </c>
      <c r="BD38">
        <f>29</f>
        <v>29</v>
      </c>
      <c r="BE38">
        <f>11</f>
        <v>11</v>
      </c>
      <c r="BF38">
        <f>11</f>
        <v>11</v>
      </c>
      <c r="BG38">
        <f>19</f>
        <v>19</v>
      </c>
      <c r="BH38">
        <f>34</f>
        <v>34</v>
      </c>
      <c r="BI38">
        <f>53</f>
        <v>53</v>
      </c>
      <c r="BJ38">
        <f>16</f>
        <v>16</v>
      </c>
      <c r="BK38">
        <f>2</f>
        <v>2</v>
      </c>
      <c r="BL38">
        <f>1</f>
        <v>1</v>
      </c>
      <c r="BM38">
        <f>4</f>
        <v>4</v>
      </c>
      <c r="BN38">
        <f>3</f>
        <v>3</v>
      </c>
      <c r="BO38">
        <f>0</f>
        <v>0</v>
      </c>
      <c r="BP38">
        <f>1</f>
        <v>1</v>
      </c>
      <c r="BQ38">
        <f>2</f>
        <v>2</v>
      </c>
      <c r="BR38">
        <f>3</f>
        <v>3</v>
      </c>
      <c r="BS38">
        <f>4</f>
        <v>4</v>
      </c>
      <c r="BT38">
        <f>18</f>
        <v>18</v>
      </c>
      <c r="BU38">
        <f>1</f>
        <v>1</v>
      </c>
      <c r="BV38">
        <f>4</f>
        <v>4</v>
      </c>
      <c r="BW38">
        <f>5</f>
        <v>5</v>
      </c>
      <c r="BX38">
        <f>7</f>
        <v>7</v>
      </c>
      <c r="BY38">
        <f>5</f>
        <v>5</v>
      </c>
      <c r="BZ38">
        <f>12</f>
        <v>12</v>
      </c>
      <c r="CA38">
        <f>24</f>
        <v>24</v>
      </c>
      <c r="CB38">
        <f>6</f>
        <v>6</v>
      </c>
      <c r="CC38">
        <f>17</f>
        <v>17</v>
      </c>
      <c r="CD38">
        <f>7</f>
        <v>7</v>
      </c>
      <c r="CE38">
        <f>10</f>
        <v>10</v>
      </c>
      <c r="CF38">
        <f>4</f>
        <v>4</v>
      </c>
      <c r="CG38">
        <f>7</f>
        <v>7</v>
      </c>
    </row>
    <row r="39" spans="1:85" x14ac:dyDescent="0.25">
      <c r="A39" t="str">
        <f>"Semi-Heavy (GCV &gt;15t - &lt;45t)"</f>
        <v>Semi-Heavy (GCV &gt;15t - &lt;45t)</v>
      </c>
      <c r="B39" t="str">
        <f>"BZVLMISH Index"</f>
        <v>BZVLMISH Index</v>
      </c>
      <c r="C39" t="str">
        <f>"PR005"</f>
        <v>PR005</v>
      </c>
      <c r="D39" t="str">
        <f>"PX_LAST"</f>
        <v>PX_LAST</v>
      </c>
      <c r="E39" t="str">
        <f t="shared" ref="E39:E47" si="5">"Dynamic"</f>
        <v>Dynamic</v>
      </c>
      <c r="F39">
        <f ca="1">IF(AND(ISNUMBER($F$77),$B$64=1),$F$77,HLOOKUP(INDIRECT(ADDRESS(2,COLUMN())),OFFSET($AT$2,0,0,ROW()-1,40),ROW()-1,FALSE))</f>
        <v>1251</v>
      </c>
      <c r="G39">
        <f ca="1">IF(AND(ISNUMBER($G$77),$B$64=1),$G$77,HLOOKUP(INDIRECT(ADDRESS(2,COLUMN())),OFFSET($AT$2,0,0,ROW()-1,40),ROW()-1,FALSE))</f>
        <v>1234</v>
      </c>
      <c r="H39">
        <f ca="1">IF(AND(ISNUMBER($H$77),$B$64=1),$H$77,HLOOKUP(INDIRECT(ADDRESS(2,COLUMN())),OFFSET($AT$2,0,0,ROW()-1,40),ROW()-1,FALSE))</f>
        <v>1395</v>
      </c>
      <c r="I39">
        <f ca="1">IF(AND(ISNUMBER($I$77),$B$64=1),$I$77,HLOOKUP(INDIRECT(ADDRESS(2,COLUMN())),OFFSET($AT$2,0,0,ROW()-1,40),ROW()-1,FALSE))</f>
        <v>1139</v>
      </c>
      <c r="J39">
        <f ca="1">IF(AND(ISNUMBER($J$77),$B$64=1),$J$77,HLOOKUP(INDIRECT(ADDRESS(2,COLUMN())),OFFSET($AT$2,0,0,ROW()-1,40),ROW()-1,FALSE))</f>
        <v>1122</v>
      </c>
      <c r="K39">
        <f ca="1">IF(AND(ISNUMBER($K$77),$B$64=1),$K$77,HLOOKUP(INDIRECT(ADDRESS(2,COLUMN())),OFFSET($AT$2,0,0,ROW()-1,40),ROW()-1,FALSE))</f>
        <v>1056</v>
      </c>
      <c r="L39">
        <f ca="1">IF(AND(ISNUMBER($L$77),$B$64=1),$L$77,HLOOKUP(INDIRECT(ADDRESS(2,COLUMN())),OFFSET($AT$2,0,0,ROW()-1,40),ROW()-1,FALSE))</f>
        <v>795</v>
      </c>
      <c r="M39">
        <f ca="1">IF(AND(ISNUMBER($M$77),$B$64=1),$M$77,HLOOKUP(INDIRECT(ADDRESS(2,COLUMN())),OFFSET($AT$2,0,0,ROW()-1,40),ROW()-1,FALSE))</f>
        <v>1010</v>
      </c>
      <c r="N39">
        <f ca="1">IF(AND(ISNUMBER($N$77),$B$64=1),$N$77,HLOOKUP(INDIRECT(ADDRESS(2,COLUMN())),OFFSET($AT$2,0,0,ROW()-1,40),ROW()-1,FALSE))</f>
        <v>651</v>
      </c>
      <c r="O39">
        <f ca="1">IF(AND(ISNUMBER($O$77),$B$64=1),$O$77,HLOOKUP(INDIRECT(ADDRESS(2,COLUMN())),OFFSET($AT$2,0,0,ROW()-1,40),ROW()-1,FALSE))</f>
        <v>887</v>
      </c>
      <c r="P39">
        <f ca="1">IF(AND(ISNUMBER($P$77),$B$64=1),$P$77,HLOOKUP(INDIRECT(ADDRESS(2,COLUMN())),OFFSET($AT$2,0,0,ROW()-1,40),ROW()-1,FALSE))</f>
        <v>1310</v>
      </c>
      <c r="Q39">
        <f ca="1">IF(AND(ISNUMBER($Q$77),$B$64=1),$Q$77,HLOOKUP(INDIRECT(ADDRESS(2,COLUMN())),OFFSET($AT$2,0,0,ROW()-1,40),ROW()-1,FALSE))</f>
        <v>1065</v>
      </c>
      <c r="R39">
        <f ca="1">IF(AND(ISNUMBER($R$77),$B$64=1),$R$77,HLOOKUP(INDIRECT(ADDRESS(2,COLUMN())),OFFSET($AT$2,0,0,ROW()-1,40),ROW()-1,FALSE))</f>
        <v>1093</v>
      </c>
      <c r="S39">
        <f ca="1">IF(AND(ISNUMBER($S$77),$B$64=1),$S$77,HLOOKUP(INDIRECT(ADDRESS(2,COLUMN())),OFFSET($AT$2,0,0,ROW()-1,40),ROW()-1,FALSE))</f>
        <v>1302</v>
      </c>
      <c r="T39">
        <f ca="1">IF(AND(ISNUMBER($T$77),$B$64=1),$T$77,HLOOKUP(INDIRECT(ADDRESS(2,COLUMN())),OFFSET($AT$2,0,0,ROW()-1,40),ROW()-1,FALSE))</f>
        <v>1202</v>
      </c>
      <c r="U39">
        <f ca="1">IF(AND(ISNUMBER($U$77),$B$64=1),$U$77,HLOOKUP(INDIRECT(ADDRESS(2,COLUMN())),OFFSET($AT$2,0,0,ROW()-1,40),ROW()-1,FALSE))</f>
        <v>1281</v>
      </c>
      <c r="V39">
        <f ca="1">IF(AND(ISNUMBER($V$77),$B$64=1),$V$77,HLOOKUP(INDIRECT(ADDRESS(2,COLUMN())),OFFSET($AT$2,0,0,ROW()-1,40),ROW()-1,FALSE))</f>
        <v>1224</v>
      </c>
      <c r="W39">
        <f ca="1">IF(AND(ISNUMBER($W$77),$B$64=1),$W$77,HLOOKUP(INDIRECT(ADDRESS(2,COLUMN())),OFFSET($AT$2,0,0,ROW()-1,40),ROW()-1,FALSE))</f>
        <v>1114</v>
      </c>
      <c r="X39">
        <f ca="1">IF(AND(ISNUMBER($X$77),$B$64=1),$X$77,HLOOKUP(INDIRECT(ADDRESS(2,COLUMN())),OFFSET($AT$2,0,0,ROW()-1,40),ROW()-1,FALSE))</f>
        <v>1151</v>
      </c>
      <c r="Y39">
        <f ca="1">IF(AND(ISNUMBER($Y$77),$B$64=1),$Y$77,HLOOKUP(INDIRECT(ADDRESS(2,COLUMN())),OFFSET($AT$2,0,0,ROW()-1,40),ROW()-1,FALSE))</f>
        <v>1385</v>
      </c>
      <c r="Z39">
        <f ca="1">IF(AND(ISNUMBER($Z$77),$B$64=1),$Z$77,HLOOKUP(INDIRECT(ADDRESS(2,COLUMN())),OFFSET($AT$2,0,0,ROW()-1,40),ROW()-1,FALSE))</f>
        <v>1110</v>
      </c>
      <c r="AA39">
        <f ca="1">IF(AND(ISNUMBER($AA$77),$B$64=1),$AA$77,HLOOKUP(INDIRECT(ADDRESS(2,COLUMN())),OFFSET($AT$2,0,0,ROW()-1,40),ROW()-1,FALSE))</f>
        <v>1225</v>
      </c>
      <c r="AB39">
        <f ca="1">IF(AND(ISNUMBER($AB$77),$B$64=1),$AB$77,HLOOKUP(INDIRECT(ADDRESS(2,COLUMN())),OFFSET($AT$2,0,0,ROW()-1,40),ROW()-1,FALSE))</f>
        <v>1656</v>
      </c>
      <c r="AC39">
        <f ca="1">IF(AND(ISNUMBER($AC$77),$B$64=1),$AC$77,HLOOKUP(INDIRECT(ADDRESS(2,COLUMN())),OFFSET($AT$2,0,0,ROW()-1,40),ROW()-1,FALSE))</f>
        <v>1396</v>
      </c>
      <c r="AD39">
        <f ca="1">IF(AND(ISNUMBER($AD$77),$B$64=1),$AD$77,HLOOKUP(INDIRECT(ADDRESS(2,COLUMN())),OFFSET($AT$2,0,0,ROW()-1,40),ROW()-1,FALSE))</f>
        <v>1777</v>
      </c>
      <c r="AE39">
        <f ca="1">IF(AND(ISNUMBER($AE$77),$B$64=1),$AE$77,HLOOKUP(INDIRECT(ADDRESS(2,COLUMN())),OFFSET($AT$2,0,0,ROW()-1,40),ROW()-1,FALSE))</f>
        <v>1927</v>
      </c>
      <c r="AF39">
        <f ca="1">IF(AND(ISNUMBER($AF$77),$B$64=1),$AF$77,HLOOKUP(INDIRECT(ADDRESS(2,COLUMN())),OFFSET($AT$2,0,0,ROW()-1,40),ROW()-1,FALSE))</f>
        <v>1765</v>
      </c>
      <c r="AG39">
        <f ca="1">IF(AND(ISNUMBER($AG$77),$B$64=1),$AG$77,HLOOKUP(INDIRECT(ADDRESS(2,COLUMN())),OFFSET($AT$2,0,0,ROW()-1,40),ROW()-1,FALSE))</f>
        <v>2132</v>
      </c>
      <c r="AH39">
        <f ca="1">IF(AND(ISNUMBER($AH$77),$B$64=1),$AH$77,HLOOKUP(INDIRECT(ADDRESS(2,COLUMN())),OFFSET($AT$2,0,0,ROW()-1,40),ROW()-1,FALSE))</f>
        <v>2113</v>
      </c>
      <c r="AI39">
        <f ca="1">IF(AND(ISNUMBER($AI$77),$B$64=1),$AI$77,HLOOKUP(INDIRECT(ADDRESS(2,COLUMN())),OFFSET($AT$2,0,0,ROW()-1,40),ROW()-1,FALSE))</f>
        <v>1902</v>
      </c>
      <c r="AJ39">
        <f ca="1">IF(AND(ISNUMBER($AJ$77),$B$64=1),$AJ$77,HLOOKUP(INDIRECT(ADDRESS(2,COLUMN())),OFFSET($AT$2,0,0,ROW()-1,40),ROW()-1,FALSE))</f>
        <v>1780</v>
      </c>
      <c r="AK39">
        <f ca="1">IF(AND(ISNUMBER($AK$77),$B$64=1),$AK$77,HLOOKUP(INDIRECT(ADDRESS(2,COLUMN())),OFFSET($AT$2,0,0,ROW()-1,40),ROW()-1,FALSE))</f>
        <v>2177</v>
      </c>
      <c r="AL39">
        <f ca="1">IF(AND(ISNUMBER($AL$77),$B$64=1),$AL$77,HLOOKUP(INDIRECT(ADDRESS(2,COLUMN())),OFFSET($AT$2,0,0,ROW()-1,40),ROW()-1,FALSE))</f>
        <v>1835</v>
      </c>
      <c r="AM39">
        <f ca="1">IF(AND(ISNUMBER($AM$77),$B$64=1),$AM$77,HLOOKUP(INDIRECT(ADDRESS(2,COLUMN())),OFFSET($AT$2,0,0,ROW()-1,40),ROW()-1,FALSE))</f>
        <v>2480</v>
      </c>
      <c r="AN39">
        <f ca="1">IF(AND(ISNUMBER($AN$77),$B$64=1),$AN$77,HLOOKUP(INDIRECT(ADDRESS(2,COLUMN())),OFFSET($AT$2,0,0,ROW()-1,40),ROW()-1,FALSE))</f>
        <v>4135</v>
      </c>
      <c r="AO39">
        <f ca="1">IF(AND(ISNUMBER($AO$77),$B$64=1),$AO$77,HLOOKUP(INDIRECT(ADDRESS(2,COLUMN())),OFFSET($AT$2,0,0,ROW()-1,40),ROW()-1,FALSE))</f>
        <v>4037</v>
      </c>
      <c r="AP39">
        <f ca="1">IF(AND(ISNUMBER($AP$77),$B$64=1),$AP$77,HLOOKUP(INDIRECT(ADDRESS(2,COLUMN())),OFFSET($AT$2,0,0,ROW()-1,40),ROW()-1,FALSE))</f>
        <v>4133</v>
      </c>
      <c r="AQ39">
        <f ca="1">IF(AND(ISNUMBER($AQ$77),$B$64=1),$AQ$77,HLOOKUP(INDIRECT(ADDRESS(2,COLUMN())),OFFSET($AT$2,0,0,ROW()-1,40),ROW()-1,FALSE))</f>
        <v>3689</v>
      </c>
      <c r="AR39">
        <f ca="1">IF(AND(ISNUMBER($AR$77),$B$64=1),$AR$77,HLOOKUP(INDIRECT(ADDRESS(2,COLUMN())),OFFSET($AT$2,0,0,ROW()-1,40),ROW()-1,FALSE))</f>
        <v>3581</v>
      </c>
      <c r="AS39">
        <f ca="1">IF(AND(ISNUMBER($AS$77),$B$64=1),$AS$77,HLOOKUP(INDIRECT(ADDRESS(2,COLUMN())),OFFSET($AT$2,0,0,ROW()-1,40),ROW()-1,FALSE))</f>
        <v>4124</v>
      </c>
      <c r="AT39">
        <f>1251</f>
        <v>1251</v>
      </c>
      <c r="AU39">
        <f>1234</f>
        <v>1234</v>
      </c>
      <c r="AV39">
        <f>1395</f>
        <v>1395</v>
      </c>
      <c r="AW39">
        <f>1139</f>
        <v>1139</v>
      </c>
      <c r="AX39">
        <f>1122</f>
        <v>1122</v>
      </c>
      <c r="AY39">
        <f>1056</f>
        <v>1056</v>
      </c>
      <c r="AZ39">
        <f>795</f>
        <v>795</v>
      </c>
      <c r="BA39">
        <f>1010</f>
        <v>1010</v>
      </c>
      <c r="BB39">
        <f>651</f>
        <v>651</v>
      </c>
      <c r="BC39">
        <f>887</f>
        <v>887</v>
      </c>
      <c r="BD39">
        <f>1310</f>
        <v>1310</v>
      </c>
      <c r="BE39">
        <f>1065</f>
        <v>1065</v>
      </c>
      <c r="BF39">
        <f>1093</f>
        <v>1093</v>
      </c>
      <c r="BG39">
        <f>1302</f>
        <v>1302</v>
      </c>
      <c r="BH39">
        <f>1202</f>
        <v>1202</v>
      </c>
      <c r="BI39">
        <f>1281</f>
        <v>1281</v>
      </c>
      <c r="BJ39">
        <f>1224</f>
        <v>1224</v>
      </c>
      <c r="BK39">
        <f>1114</f>
        <v>1114</v>
      </c>
      <c r="BL39">
        <f>1151</f>
        <v>1151</v>
      </c>
      <c r="BM39">
        <f>1385</f>
        <v>1385</v>
      </c>
      <c r="BN39">
        <f>1110</f>
        <v>1110</v>
      </c>
      <c r="BO39">
        <f>1225</f>
        <v>1225</v>
      </c>
      <c r="BP39">
        <f>1656</f>
        <v>1656</v>
      </c>
      <c r="BQ39">
        <f>1396</f>
        <v>1396</v>
      </c>
      <c r="BR39">
        <f>1777</f>
        <v>1777</v>
      </c>
      <c r="BS39">
        <f>1927</f>
        <v>1927</v>
      </c>
      <c r="BT39">
        <f>1765</f>
        <v>1765</v>
      </c>
      <c r="BU39">
        <f>2132</f>
        <v>2132</v>
      </c>
      <c r="BV39">
        <f>2113</f>
        <v>2113</v>
      </c>
      <c r="BW39">
        <f>1902</f>
        <v>1902</v>
      </c>
      <c r="BX39">
        <f>1780</f>
        <v>1780</v>
      </c>
      <c r="BY39">
        <f>2177</f>
        <v>2177</v>
      </c>
      <c r="BZ39">
        <f>1835</f>
        <v>1835</v>
      </c>
      <c r="CA39">
        <f>2480</f>
        <v>2480</v>
      </c>
      <c r="CB39">
        <f>4135</f>
        <v>4135</v>
      </c>
      <c r="CC39">
        <f>4037</f>
        <v>4037</v>
      </c>
      <c r="CD39">
        <f>4133</f>
        <v>4133</v>
      </c>
      <c r="CE39">
        <f>3689</f>
        <v>3689</v>
      </c>
      <c r="CF39">
        <f>3581</f>
        <v>3581</v>
      </c>
      <c r="CG39">
        <f>4124</f>
        <v>4124</v>
      </c>
    </row>
    <row r="40" spans="1:85" x14ac:dyDescent="0.25">
      <c r="A40" t="str">
        <f>"    MAN"</f>
        <v xml:space="preserve">    MAN</v>
      </c>
      <c r="B40" t="str">
        <f>"BRTRSHMA Index"</f>
        <v>BRTRSHMA Index</v>
      </c>
      <c r="C40" t="str">
        <f t="shared" ref="C40:C47" si="6">"PX385"</f>
        <v>PX385</v>
      </c>
      <c r="D40" t="str">
        <f t="shared" ref="D40:D47" si="7">"INTERVAL_SUM"</f>
        <v>INTERVAL_SUM</v>
      </c>
      <c r="E40" t="str">
        <f t="shared" si="5"/>
        <v>Dynamic</v>
      </c>
      <c r="F40">
        <f ca="1">IF(AND(ISNUMBER($F$78),$B$64=1),$F$78,HLOOKUP(INDIRECT(ADDRESS(2,COLUMN())),OFFSET($AT$2,0,0,ROW()-1,40),ROW()-1,FALSE))</f>
        <v>515</v>
      </c>
      <c r="G40">
        <f ca="1">IF(AND(ISNUMBER($G$78),$B$64=1),$G$78,HLOOKUP(INDIRECT(ADDRESS(2,COLUMN())),OFFSET($AT$2,0,0,ROW()-1,40),ROW()-1,FALSE))</f>
        <v>505</v>
      </c>
      <c r="H40">
        <f ca="1">IF(AND(ISNUMBER($H$78),$B$64=1),$H$78,HLOOKUP(INDIRECT(ADDRESS(2,COLUMN())),OFFSET($AT$2,0,0,ROW()-1,40),ROW()-1,FALSE))</f>
        <v>565</v>
      </c>
      <c r="I40">
        <f ca="1">IF(AND(ISNUMBER($I$78),$B$64=1),$I$78,HLOOKUP(INDIRECT(ADDRESS(2,COLUMN())),OFFSET($AT$2,0,0,ROW()-1,40),ROW()-1,FALSE))</f>
        <v>417</v>
      </c>
      <c r="J40">
        <f ca="1">IF(AND(ISNUMBER($J$78),$B$64=1),$J$78,HLOOKUP(INDIRECT(ADDRESS(2,COLUMN())),OFFSET($AT$2,0,0,ROW()-1,40),ROW()-1,FALSE))</f>
        <v>414</v>
      </c>
      <c r="K40">
        <f ca="1">IF(AND(ISNUMBER($K$78),$B$64=1),$K$78,HLOOKUP(INDIRECT(ADDRESS(2,COLUMN())),OFFSET($AT$2,0,0,ROW()-1,40),ROW()-1,FALSE))</f>
        <v>354</v>
      </c>
      <c r="L40">
        <f ca="1">IF(AND(ISNUMBER($L$78),$B$64=1),$L$78,HLOOKUP(INDIRECT(ADDRESS(2,COLUMN())),OFFSET($AT$2,0,0,ROW()-1,40),ROW()-1,FALSE))</f>
        <v>279</v>
      </c>
      <c r="M40">
        <f ca="1">IF(AND(ISNUMBER($M$78),$B$64=1),$M$78,HLOOKUP(INDIRECT(ADDRESS(2,COLUMN())),OFFSET($AT$2,0,0,ROW()-1,40),ROW()-1,FALSE))</f>
        <v>326</v>
      </c>
      <c r="N40">
        <f ca="1">IF(AND(ISNUMBER($N$78),$B$64=1),$N$78,HLOOKUP(INDIRECT(ADDRESS(2,COLUMN())),OFFSET($AT$2,0,0,ROW()-1,40),ROW()-1,FALSE))</f>
        <v>198</v>
      </c>
      <c r="O40">
        <f ca="1">IF(AND(ISNUMBER($O$78),$B$64=1),$O$78,HLOOKUP(INDIRECT(ADDRESS(2,COLUMN())),OFFSET($AT$2,0,0,ROW()-1,40),ROW()-1,FALSE))</f>
        <v>256</v>
      </c>
      <c r="P40">
        <f ca="1">IF(AND(ISNUMBER($P$78),$B$64=1),$P$78,HLOOKUP(INDIRECT(ADDRESS(2,COLUMN())),OFFSET($AT$2,0,0,ROW()-1,40),ROW()-1,FALSE))</f>
        <v>445</v>
      </c>
      <c r="Q40">
        <f ca="1">IF(AND(ISNUMBER($Q$78),$B$64=1),$Q$78,HLOOKUP(INDIRECT(ADDRESS(2,COLUMN())),OFFSET($AT$2,0,0,ROW()-1,40),ROW()-1,FALSE))</f>
        <v>360</v>
      </c>
      <c r="R40">
        <f ca="1">IF(AND(ISNUMBER($R$78),$B$64=1),$R$78,HLOOKUP(INDIRECT(ADDRESS(2,COLUMN())),OFFSET($AT$2,0,0,ROW()-1,40),ROW()-1,FALSE))</f>
        <v>364</v>
      </c>
      <c r="S40">
        <f ca="1">IF(AND(ISNUMBER($S$78),$B$64=1),$S$78,HLOOKUP(INDIRECT(ADDRESS(2,COLUMN())),OFFSET($AT$2,0,0,ROW()-1,40),ROW()-1,FALSE))</f>
        <v>380</v>
      </c>
      <c r="T40">
        <f ca="1">IF(AND(ISNUMBER($T$78),$B$64=1),$T$78,HLOOKUP(INDIRECT(ADDRESS(2,COLUMN())),OFFSET($AT$2,0,0,ROW()-1,40),ROW()-1,FALSE))</f>
        <v>371</v>
      </c>
      <c r="U40">
        <f ca="1">IF(AND(ISNUMBER($U$78),$B$64=1),$U$78,HLOOKUP(INDIRECT(ADDRESS(2,COLUMN())),OFFSET($AT$2,0,0,ROW()-1,40),ROW()-1,FALSE))</f>
        <v>471</v>
      </c>
      <c r="V40">
        <f ca="1">IF(AND(ISNUMBER($V$78),$B$64=1),$V$78,HLOOKUP(INDIRECT(ADDRESS(2,COLUMN())),OFFSET($AT$2,0,0,ROW()-1,40),ROW()-1,FALSE))</f>
        <v>444</v>
      </c>
      <c r="W40">
        <f ca="1">IF(AND(ISNUMBER($W$78),$B$64=1),$W$78,HLOOKUP(INDIRECT(ADDRESS(2,COLUMN())),OFFSET($AT$2,0,0,ROW()-1,40),ROW()-1,FALSE))</f>
        <v>358</v>
      </c>
      <c r="X40">
        <f ca="1">IF(AND(ISNUMBER($X$78),$B$64=1),$X$78,HLOOKUP(INDIRECT(ADDRESS(2,COLUMN())),OFFSET($AT$2,0,0,ROW()-1,40),ROW()-1,FALSE))</f>
        <v>413</v>
      </c>
      <c r="Y40">
        <f ca="1">IF(AND(ISNUMBER($Y$78),$B$64=1),$Y$78,HLOOKUP(INDIRECT(ADDRESS(2,COLUMN())),OFFSET($AT$2,0,0,ROW()-1,40),ROW()-1,FALSE))</f>
        <v>531</v>
      </c>
      <c r="Z40">
        <f ca="1">IF(AND(ISNUMBER($Z$78),$B$64=1),$Z$78,HLOOKUP(INDIRECT(ADDRESS(2,COLUMN())),OFFSET($AT$2,0,0,ROW()-1,40),ROW()-1,FALSE))</f>
        <v>370</v>
      </c>
      <c r="AA40">
        <f ca="1">IF(AND(ISNUMBER($AA$78),$B$64=1),$AA$78,HLOOKUP(INDIRECT(ADDRESS(2,COLUMN())),OFFSET($AT$2,0,0,ROW()-1,40),ROW()-1,FALSE))</f>
        <v>363</v>
      </c>
      <c r="AB40">
        <f ca="1">IF(AND(ISNUMBER($AB$78),$B$64=1),$AB$78,HLOOKUP(INDIRECT(ADDRESS(2,COLUMN())),OFFSET($AT$2,0,0,ROW()-1,40),ROW()-1,FALSE))</f>
        <v>492</v>
      </c>
      <c r="AC40">
        <f ca="1">IF(AND(ISNUMBER($AC$78),$B$64=1),$AC$78,HLOOKUP(INDIRECT(ADDRESS(2,COLUMN())),OFFSET($AT$2,0,0,ROW()-1,40),ROW()-1,FALSE))</f>
        <v>482</v>
      </c>
      <c r="AD40">
        <f ca="1">IF(AND(ISNUMBER($AD$78),$B$64=1),$AD$78,HLOOKUP(INDIRECT(ADDRESS(2,COLUMN())),OFFSET($AT$2,0,0,ROW()-1,40),ROW()-1,FALSE))</f>
        <v>494</v>
      </c>
      <c r="AE40">
        <f ca="1">IF(AND(ISNUMBER($AE$78),$B$64=1),$AE$78,HLOOKUP(INDIRECT(ADDRESS(2,COLUMN())),OFFSET($AT$2,0,0,ROW()-1,40),ROW()-1,FALSE))</f>
        <v>748</v>
      </c>
      <c r="AF40">
        <f ca="1">IF(AND(ISNUMBER($AF$78),$B$64=1),$AF$78,HLOOKUP(INDIRECT(ADDRESS(2,COLUMN())),OFFSET($AT$2,0,0,ROW()-1,40),ROW()-1,FALSE))</f>
        <v>553</v>
      </c>
      <c r="AG40">
        <f ca="1">IF(AND(ISNUMBER($AG$78),$B$64=1),$AG$78,HLOOKUP(INDIRECT(ADDRESS(2,COLUMN())),OFFSET($AT$2,0,0,ROW()-1,40),ROW()-1,FALSE))</f>
        <v>642</v>
      </c>
      <c r="AH40">
        <f ca="1">IF(AND(ISNUMBER($AH$78),$B$64=1),$AH$78,HLOOKUP(INDIRECT(ADDRESS(2,COLUMN())),OFFSET($AT$2,0,0,ROW()-1,40),ROW()-1,FALSE))</f>
        <v>616</v>
      </c>
      <c r="AI40">
        <f ca="1">IF(AND(ISNUMBER($AI$78),$B$64=1),$AI$78,HLOOKUP(INDIRECT(ADDRESS(2,COLUMN())),OFFSET($AT$2,0,0,ROW()-1,40),ROW()-1,FALSE))</f>
        <v>603</v>
      </c>
      <c r="AJ40">
        <f ca="1">IF(AND(ISNUMBER($AJ$78),$B$64=1),$AJ$78,HLOOKUP(INDIRECT(ADDRESS(2,COLUMN())),OFFSET($AT$2,0,0,ROW()-1,40),ROW()-1,FALSE))</f>
        <v>603</v>
      </c>
      <c r="AK40">
        <f ca="1">IF(AND(ISNUMBER($AK$78),$B$64=1),$AK$78,HLOOKUP(INDIRECT(ADDRESS(2,COLUMN())),OFFSET($AT$2,0,0,ROW()-1,40),ROW()-1,FALSE))</f>
        <v>853</v>
      </c>
      <c r="AL40">
        <f ca="1">IF(AND(ISNUMBER($AL$78),$B$64=1),$AL$78,HLOOKUP(INDIRECT(ADDRESS(2,COLUMN())),OFFSET($AT$2,0,0,ROW()-1,40),ROW()-1,FALSE))</f>
        <v>644</v>
      </c>
      <c r="AM40">
        <f ca="1">IF(AND(ISNUMBER($AM$78),$B$64=1),$AM$78,HLOOKUP(INDIRECT(ADDRESS(2,COLUMN())),OFFSET($AT$2,0,0,ROW()-1,40),ROW()-1,FALSE))</f>
        <v>857</v>
      </c>
      <c r="AN40">
        <f ca="1">IF(AND(ISNUMBER($AN$78),$B$64=1),$AN$78,HLOOKUP(INDIRECT(ADDRESS(2,COLUMN())),OFFSET($AT$2,0,0,ROW()-1,40),ROW()-1,FALSE))</f>
        <v>1369</v>
      </c>
      <c r="AO40">
        <f ca="1">IF(AND(ISNUMBER($AO$78),$B$64=1),$AO$78,HLOOKUP(INDIRECT(ADDRESS(2,COLUMN())),OFFSET($AT$2,0,0,ROW()-1,40),ROW()-1,FALSE))</f>
        <v>1357</v>
      </c>
      <c r="AP40">
        <f ca="1">IF(AND(ISNUMBER($AP$78),$B$64=1),$AP$78,HLOOKUP(INDIRECT(ADDRESS(2,COLUMN())),OFFSET($AT$2,0,0,ROW()-1,40),ROW()-1,FALSE))</f>
        <v>1320</v>
      </c>
      <c r="AQ40">
        <f ca="1">IF(AND(ISNUMBER($AQ$78),$B$64=1),$AQ$78,HLOOKUP(INDIRECT(ADDRESS(2,COLUMN())),OFFSET($AT$2,0,0,ROW()-1,40),ROW()-1,FALSE))</f>
        <v>1248</v>
      </c>
      <c r="AR40">
        <f ca="1">IF(AND(ISNUMBER($AR$78),$B$64=1),$AR$78,HLOOKUP(INDIRECT(ADDRESS(2,COLUMN())),OFFSET($AT$2,0,0,ROW()-1,40),ROW()-1,FALSE))</f>
        <v>1144</v>
      </c>
      <c r="AS40">
        <f ca="1">IF(AND(ISNUMBER($AS$78),$B$64=1),$AS$78,HLOOKUP(INDIRECT(ADDRESS(2,COLUMN())),OFFSET($AT$2,0,0,ROW()-1,40),ROW()-1,FALSE))</f>
        <v>1302</v>
      </c>
      <c r="AT40">
        <f>515</f>
        <v>515</v>
      </c>
      <c r="AU40">
        <f>505</f>
        <v>505</v>
      </c>
      <c r="AV40">
        <f>565</f>
        <v>565</v>
      </c>
      <c r="AW40">
        <f>417</f>
        <v>417</v>
      </c>
      <c r="AX40">
        <f>414</f>
        <v>414</v>
      </c>
      <c r="AY40">
        <f>354</f>
        <v>354</v>
      </c>
      <c r="AZ40">
        <f>279</f>
        <v>279</v>
      </c>
      <c r="BA40">
        <f>326</f>
        <v>326</v>
      </c>
      <c r="BB40">
        <f>198</f>
        <v>198</v>
      </c>
      <c r="BC40">
        <f>256</f>
        <v>256</v>
      </c>
      <c r="BD40">
        <f>445</f>
        <v>445</v>
      </c>
      <c r="BE40">
        <f>360</f>
        <v>360</v>
      </c>
      <c r="BF40">
        <f>364</f>
        <v>364</v>
      </c>
      <c r="BG40">
        <f>380</f>
        <v>380</v>
      </c>
      <c r="BH40">
        <f>371</f>
        <v>371</v>
      </c>
      <c r="BI40">
        <f>471</f>
        <v>471</v>
      </c>
      <c r="BJ40">
        <f>444</f>
        <v>444</v>
      </c>
      <c r="BK40">
        <f>358</f>
        <v>358</v>
      </c>
      <c r="BL40">
        <f>413</f>
        <v>413</v>
      </c>
      <c r="BM40">
        <f>531</f>
        <v>531</v>
      </c>
      <c r="BN40">
        <f>370</f>
        <v>370</v>
      </c>
      <c r="BO40">
        <f>363</f>
        <v>363</v>
      </c>
      <c r="BP40">
        <f>492</f>
        <v>492</v>
      </c>
      <c r="BQ40">
        <f>482</f>
        <v>482</v>
      </c>
      <c r="BR40">
        <f>494</f>
        <v>494</v>
      </c>
      <c r="BS40">
        <f>748</f>
        <v>748</v>
      </c>
      <c r="BT40">
        <f>553</f>
        <v>553</v>
      </c>
      <c r="BU40">
        <f>642</f>
        <v>642</v>
      </c>
      <c r="BV40">
        <f>616</f>
        <v>616</v>
      </c>
      <c r="BW40">
        <f>603</f>
        <v>603</v>
      </c>
      <c r="BX40">
        <f>603</f>
        <v>603</v>
      </c>
      <c r="BY40">
        <f>853</f>
        <v>853</v>
      </c>
      <c r="BZ40">
        <f>644</f>
        <v>644</v>
      </c>
      <c r="CA40">
        <f>857</f>
        <v>857</v>
      </c>
      <c r="CB40">
        <f>1369</f>
        <v>1369</v>
      </c>
      <c r="CC40">
        <f>1357</f>
        <v>1357</v>
      </c>
      <c r="CD40">
        <f>1320</f>
        <v>1320</v>
      </c>
      <c r="CE40">
        <f>1248</f>
        <v>1248</v>
      </c>
      <c r="CF40">
        <f>1144</f>
        <v>1144</v>
      </c>
      <c r="CG40">
        <f>1302</f>
        <v>1302</v>
      </c>
    </row>
    <row r="41" spans="1:85" x14ac:dyDescent="0.25">
      <c r="A41" t="str">
        <f>"    Mercedes-Benz"</f>
        <v xml:space="preserve">    Mercedes-Benz</v>
      </c>
      <c r="B41" t="str">
        <f>"BRTRSHME Index"</f>
        <v>BRTRSHME Index</v>
      </c>
      <c r="C41" t="str">
        <f t="shared" si="6"/>
        <v>PX385</v>
      </c>
      <c r="D41" t="str">
        <f t="shared" si="7"/>
        <v>INTERVAL_SUM</v>
      </c>
      <c r="E41" t="str">
        <f t="shared" si="5"/>
        <v>Dynamic</v>
      </c>
      <c r="F41">
        <f ca="1">IF(AND(ISNUMBER($F$79),$B$64=1),$F$79,HLOOKUP(INDIRECT(ADDRESS(2,COLUMN())),OFFSET($AT$2,0,0,ROW()-1,40),ROW()-1,FALSE))</f>
        <v>335</v>
      </c>
      <c r="G41">
        <f ca="1">IF(AND(ISNUMBER($G$79),$B$64=1),$G$79,HLOOKUP(INDIRECT(ADDRESS(2,COLUMN())),OFFSET($AT$2,0,0,ROW()-1,40),ROW()-1,FALSE))</f>
        <v>333</v>
      </c>
      <c r="H41">
        <f ca="1">IF(AND(ISNUMBER($H$79),$B$64=1),$H$79,HLOOKUP(INDIRECT(ADDRESS(2,COLUMN())),OFFSET($AT$2,0,0,ROW()-1,40),ROW()-1,FALSE))</f>
        <v>390</v>
      </c>
      <c r="I41">
        <f ca="1">IF(AND(ISNUMBER($I$79),$B$64=1),$I$79,HLOOKUP(INDIRECT(ADDRESS(2,COLUMN())),OFFSET($AT$2,0,0,ROW()-1,40),ROW()-1,FALSE))</f>
        <v>341</v>
      </c>
      <c r="J41">
        <f ca="1">IF(AND(ISNUMBER($J$79),$B$64=1),$J$79,HLOOKUP(INDIRECT(ADDRESS(2,COLUMN())),OFFSET($AT$2,0,0,ROW()-1,40),ROW()-1,FALSE))</f>
        <v>301</v>
      </c>
      <c r="K41">
        <f ca="1">IF(AND(ISNUMBER($K$79),$B$64=1),$K$79,HLOOKUP(INDIRECT(ADDRESS(2,COLUMN())),OFFSET($AT$2,0,0,ROW()-1,40),ROW()-1,FALSE))</f>
        <v>317</v>
      </c>
      <c r="L41">
        <f ca="1">IF(AND(ISNUMBER($L$79),$B$64=1),$L$79,HLOOKUP(INDIRECT(ADDRESS(2,COLUMN())),OFFSET($AT$2,0,0,ROW()-1,40),ROW()-1,FALSE))</f>
        <v>225</v>
      </c>
      <c r="M41">
        <f ca="1">IF(AND(ISNUMBER($M$79),$B$64=1),$M$79,HLOOKUP(INDIRECT(ADDRESS(2,COLUMN())),OFFSET($AT$2,0,0,ROW()-1,40),ROW()-1,FALSE))</f>
        <v>306</v>
      </c>
      <c r="N41">
        <f ca="1">IF(AND(ISNUMBER($N$79),$B$64=1),$N$79,HLOOKUP(INDIRECT(ADDRESS(2,COLUMN())),OFFSET($AT$2,0,0,ROW()-1,40),ROW()-1,FALSE))</f>
        <v>239</v>
      </c>
      <c r="O41">
        <f ca="1">IF(AND(ISNUMBER($O$79),$B$64=1),$O$79,HLOOKUP(INDIRECT(ADDRESS(2,COLUMN())),OFFSET($AT$2,0,0,ROW()-1,40),ROW()-1,FALSE))</f>
        <v>271</v>
      </c>
      <c r="P41">
        <f ca="1">IF(AND(ISNUMBER($P$79),$B$64=1),$P$79,HLOOKUP(INDIRECT(ADDRESS(2,COLUMN())),OFFSET($AT$2,0,0,ROW()-1,40),ROW()-1,FALSE))</f>
        <v>460</v>
      </c>
      <c r="Q41">
        <f ca="1">IF(AND(ISNUMBER($Q$79),$B$64=1),$Q$79,HLOOKUP(INDIRECT(ADDRESS(2,COLUMN())),OFFSET($AT$2,0,0,ROW()-1,40),ROW()-1,FALSE))</f>
        <v>389</v>
      </c>
      <c r="R41">
        <f ca="1">IF(AND(ISNUMBER($R$79),$B$64=1),$R$79,HLOOKUP(INDIRECT(ADDRESS(2,COLUMN())),OFFSET($AT$2,0,0,ROW()-1,40),ROW()-1,FALSE))</f>
        <v>349</v>
      </c>
      <c r="S41">
        <f ca="1">IF(AND(ISNUMBER($S$79),$B$64=1),$S$79,HLOOKUP(INDIRECT(ADDRESS(2,COLUMN())),OFFSET($AT$2,0,0,ROW()-1,40),ROW()-1,FALSE))</f>
        <v>475</v>
      </c>
      <c r="T41">
        <f ca="1">IF(AND(ISNUMBER($T$79),$B$64=1),$T$79,HLOOKUP(INDIRECT(ADDRESS(2,COLUMN())),OFFSET($AT$2,0,0,ROW()-1,40),ROW()-1,FALSE))</f>
        <v>384</v>
      </c>
      <c r="U41">
        <f ca="1">IF(AND(ISNUMBER($U$79),$B$64=1),$U$79,HLOOKUP(INDIRECT(ADDRESS(2,COLUMN())),OFFSET($AT$2,0,0,ROW()-1,40),ROW()-1,FALSE))</f>
        <v>373</v>
      </c>
      <c r="V41">
        <f ca="1">IF(AND(ISNUMBER($V$79),$B$64=1),$V$79,HLOOKUP(INDIRECT(ADDRESS(2,COLUMN())),OFFSET($AT$2,0,0,ROW()-1,40),ROW()-1,FALSE))</f>
        <v>361</v>
      </c>
      <c r="W41">
        <f ca="1">IF(AND(ISNUMBER($W$79),$B$64=1),$W$79,HLOOKUP(INDIRECT(ADDRESS(2,COLUMN())),OFFSET($AT$2,0,0,ROW()-1,40),ROW()-1,FALSE))</f>
        <v>350</v>
      </c>
      <c r="X41">
        <f ca="1">IF(AND(ISNUMBER($X$79),$B$64=1),$X$79,HLOOKUP(INDIRECT(ADDRESS(2,COLUMN())),OFFSET($AT$2,0,0,ROW()-1,40),ROW()-1,FALSE))</f>
        <v>342</v>
      </c>
      <c r="Y41">
        <f ca="1">IF(AND(ISNUMBER($Y$79),$B$64=1),$Y$79,HLOOKUP(INDIRECT(ADDRESS(2,COLUMN())),OFFSET($AT$2,0,0,ROW()-1,40),ROW()-1,FALSE))</f>
        <v>390</v>
      </c>
      <c r="Z41">
        <f ca="1">IF(AND(ISNUMBER($Z$79),$B$64=1),$Z$79,HLOOKUP(INDIRECT(ADDRESS(2,COLUMN())),OFFSET($AT$2,0,0,ROW()-1,40),ROW()-1,FALSE))</f>
        <v>339</v>
      </c>
      <c r="AA41">
        <f ca="1">IF(AND(ISNUMBER($AA$79),$B$64=1),$AA$79,HLOOKUP(INDIRECT(ADDRESS(2,COLUMN())),OFFSET($AT$2,0,0,ROW()-1,40),ROW()-1,FALSE))</f>
        <v>406</v>
      </c>
      <c r="AB41">
        <f ca="1">IF(AND(ISNUMBER($AB$79),$B$64=1),$AB$79,HLOOKUP(INDIRECT(ADDRESS(2,COLUMN())),OFFSET($AT$2,0,0,ROW()-1,40),ROW()-1,FALSE))</f>
        <v>511</v>
      </c>
      <c r="AC41">
        <f ca="1">IF(AND(ISNUMBER($AC$79),$B$64=1),$AC$79,HLOOKUP(INDIRECT(ADDRESS(2,COLUMN())),OFFSET($AT$2,0,0,ROW()-1,40),ROW()-1,FALSE))</f>
        <v>418</v>
      </c>
      <c r="AD41">
        <f ca="1">IF(AND(ISNUMBER($AD$79),$B$64=1),$AD$79,HLOOKUP(INDIRECT(ADDRESS(2,COLUMN())),OFFSET($AT$2,0,0,ROW()-1,40),ROW()-1,FALSE))</f>
        <v>595</v>
      </c>
      <c r="AE41">
        <f ca="1">IF(AND(ISNUMBER($AE$79),$B$64=1),$AE$79,HLOOKUP(INDIRECT(ADDRESS(2,COLUMN())),OFFSET($AT$2,0,0,ROW()-1,40),ROW()-1,FALSE))</f>
        <v>538</v>
      </c>
      <c r="AF41">
        <f ca="1">IF(AND(ISNUMBER($AF$79),$B$64=1),$AF$79,HLOOKUP(INDIRECT(ADDRESS(2,COLUMN())),OFFSET($AT$2,0,0,ROW()-1,40),ROW()-1,FALSE))</f>
        <v>510</v>
      </c>
      <c r="AG41">
        <f ca="1">IF(AND(ISNUMBER($AG$79),$B$64=1),$AG$79,HLOOKUP(INDIRECT(ADDRESS(2,COLUMN())),OFFSET($AT$2,0,0,ROW()-1,40),ROW()-1,FALSE))</f>
        <v>618</v>
      </c>
      <c r="AH41">
        <f ca="1">IF(AND(ISNUMBER($AH$79),$B$64=1),$AH$79,HLOOKUP(INDIRECT(ADDRESS(2,COLUMN())),OFFSET($AT$2,0,0,ROW()-1,40),ROW()-1,FALSE))</f>
        <v>588</v>
      </c>
      <c r="AI41">
        <f ca="1">IF(AND(ISNUMBER($AI$79),$B$64=1),$AI$79,HLOOKUP(INDIRECT(ADDRESS(2,COLUMN())),OFFSET($AT$2,0,0,ROW()-1,40),ROW()-1,FALSE))</f>
        <v>493</v>
      </c>
      <c r="AJ41">
        <f ca="1">IF(AND(ISNUMBER($AJ$79),$B$64=1),$AJ$79,HLOOKUP(INDIRECT(ADDRESS(2,COLUMN())),OFFSET($AT$2,0,0,ROW()-1,40),ROW()-1,FALSE))</f>
        <v>470</v>
      </c>
      <c r="AK41">
        <f ca="1">IF(AND(ISNUMBER($AK$79),$B$64=1),$AK$79,HLOOKUP(INDIRECT(ADDRESS(2,COLUMN())),OFFSET($AT$2,0,0,ROW()-1,40),ROW()-1,FALSE))</f>
        <v>454</v>
      </c>
      <c r="AL41">
        <f ca="1">IF(AND(ISNUMBER($AL$79),$B$64=1),$AL$79,HLOOKUP(INDIRECT(ADDRESS(2,COLUMN())),OFFSET($AT$2,0,0,ROW()-1,40),ROW()-1,FALSE))</f>
        <v>420</v>
      </c>
      <c r="AM41">
        <f ca="1">IF(AND(ISNUMBER($AM$79),$B$64=1),$AM$79,HLOOKUP(INDIRECT(ADDRESS(2,COLUMN())),OFFSET($AT$2,0,0,ROW()-1,40),ROW()-1,FALSE))</f>
        <v>604</v>
      </c>
      <c r="AN41">
        <f ca="1">IF(AND(ISNUMBER($AN$79),$B$64=1),$AN$79,HLOOKUP(INDIRECT(ADDRESS(2,COLUMN())),OFFSET($AT$2,0,0,ROW()-1,40),ROW()-1,FALSE))</f>
        <v>1101</v>
      </c>
      <c r="AO41">
        <f ca="1">IF(AND(ISNUMBER($AO$79),$B$64=1),$AO$79,HLOOKUP(INDIRECT(ADDRESS(2,COLUMN())),OFFSET($AT$2,0,0,ROW()-1,40),ROW()-1,FALSE))</f>
        <v>1067</v>
      </c>
      <c r="AP41">
        <f ca="1">IF(AND(ISNUMBER($AP$79),$B$64=1),$AP$79,HLOOKUP(INDIRECT(ADDRESS(2,COLUMN())),OFFSET($AT$2,0,0,ROW()-1,40),ROW()-1,FALSE))</f>
        <v>1220</v>
      </c>
      <c r="AQ41">
        <f ca="1">IF(AND(ISNUMBER($AQ$79),$B$64=1),$AQ$79,HLOOKUP(INDIRECT(ADDRESS(2,COLUMN())),OFFSET($AT$2,0,0,ROW()-1,40),ROW()-1,FALSE))</f>
        <v>907</v>
      </c>
      <c r="AR41">
        <f ca="1">IF(AND(ISNUMBER($AR$79),$B$64=1),$AR$79,HLOOKUP(INDIRECT(ADDRESS(2,COLUMN())),OFFSET($AT$2,0,0,ROW()-1,40),ROW()-1,FALSE))</f>
        <v>917</v>
      </c>
      <c r="AS41">
        <f ca="1">IF(AND(ISNUMBER($AS$79),$B$64=1),$AS$79,HLOOKUP(INDIRECT(ADDRESS(2,COLUMN())),OFFSET($AT$2,0,0,ROW()-1,40),ROW()-1,FALSE))</f>
        <v>1002</v>
      </c>
      <c r="AT41">
        <f>335</f>
        <v>335</v>
      </c>
      <c r="AU41">
        <f>333</f>
        <v>333</v>
      </c>
      <c r="AV41">
        <f>390</f>
        <v>390</v>
      </c>
      <c r="AW41">
        <f>341</f>
        <v>341</v>
      </c>
      <c r="AX41">
        <f>301</f>
        <v>301</v>
      </c>
      <c r="AY41">
        <f>317</f>
        <v>317</v>
      </c>
      <c r="AZ41">
        <f>225</f>
        <v>225</v>
      </c>
      <c r="BA41">
        <f>306</f>
        <v>306</v>
      </c>
      <c r="BB41">
        <f>239</f>
        <v>239</v>
      </c>
      <c r="BC41">
        <f>271</f>
        <v>271</v>
      </c>
      <c r="BD41">
        <f>460</f>
        <v>460</v>
      </c>
      <c r="BE41">
        <f>389</f>
        <v>389</v>
      </c>
      <c r="BF41">
        <f>349</f>
        <v>349</v>
      </c>
      <c r="BG41">
        <f>475</f>
        <v>475</v>
      </c>
      <c r="BH41">
        <f>384</f>
        <v>384</v>
      </c>
      <c r="BI41">
        <f>373</f>
        <v>373</v>
      </c>
      <c r="BJ41">
        <f>361</f>
        <v>361</v>
      </c>
      <c r="BK41">
        <f>350</f>
        <v>350</v>
      </c>
      <c r="BL41">
        <f>342</f>
        <v>342</v>
      </c>
      <c r="BM41">
        <f>390</f>
        <v>390</v>
      </c>
      <c r="BN41">
        <f>339</f>
        <v>339</v>
      </c>
      <c r="BO41">
        <f>406</f>
        <v>406</v>
      </c>
      <c r="BP41">
        <f>511</f>
        <v>511</v>
      </c>
      <c r="BQ41">
        <f>418</f>
        <v>418</v>
      </c>
      <c r="BR41">
        <f>595</f>
        <v>595</v>
      </c>
      <c r="BS41">
        <f>538</f>
        <v>538</v>
      </c>
      <c r="BT41">
        <f>510</f>
        <v>510</v>
      </c>
      <c r="BU41">
        <f>618</f>
        <v>618</v>
      </c>
      <c r="BV41">
        <f>588</f>
        <v>588</v>
      </c>
      <c r="BW41">
        <f>493</f>
        <v>493</v>
      </c>
      <c r="BX41">
        <f>470</f>
        <v>470</v>
      </c>
      <c r="BY41">
        <f>454</f>
        <v>454</v>
      </c>
      <c r="BZ41">
        <f>420</f>
        <v>420</v>
      </c>
      <c r="CA41">
        <f>604</f>
        <v>604</v>
      </c>
      <c r="CB41">
        <f>1101</f>
        <v>1101</v>
      </c>
      <c r="CC41">
        <f>1067</f>
        <v>1067</v>
      </c>
      <c r="CD41">
        <f>1220</f>
        <v>1220</v>
      </c>
      <c r="CE41">
        <f>907</f>
        <v>907</v>
      </c>
      <c r="CF41">
        <f>917</f>
        <v>917</v>
      </c>
      <c r="CG41">
        <f>1002</f>
        <v>1002</v>
      </c>
    </row>
    <row r="42" spans="1:85" x14ac:dyDescent="0.25">
      <c r="A42" t="str">
        <f>"    Ford"</f>
        <v xml:space="preserve">    Ford</v>
      </c>
      <c r="B42" t="str">
        <f>"BRTRSHFO Index"</f>
        <v>BRTRSHFO Index</v>
      </c>
      <c r="C42" t="str">
        <f t="shared" si="6"/>
        <v>PX385</v>
      </c>
      <c r="D42" t="str">
        <f t="shared" si="7"/>
        <v>INTERVAL_SUM</v>
      </c>
      <c r="E42" t="str">
        <f t="shared" si="5"/>
        <v>Dynamic</v>
      </c>
      <c r="F42">
        <f ca="1">IF(AND(ISNUMBER($F$80),$B$64=1),$F$80,HLOOKUP(INDIRECT(ADDRESS(2,COLUMN())),OFFSET($AT$2,0,0,ROW()-1,40),ROW()-1,FALSE))</f>
        <v>160</v>
      </c>
      <c r="G42">
        <f ca="1">IF(AND(ISNUMBER($G$80),$B$64=1),$G$80,HLOOKUP(INDIRECT(ADDRESS(2,COLUMN())),OFFSET($AT$2,0,0,ROW()-1,40),ROW()-1,FALSE))</f>
        <v>187</v>
      </c>
      <c r="H42">
        <f ca="1">IF(AND(ISNUMBER($H$80),$B$64=1),$H$80,HLOOKUP(INDIRECT(ADDRESS(2,COLUMN())),OFFSET($AT$2,0,0,ROW()-1,40),ROW()-1,FALSE))</f>
        <v>232</v>
      </c>
      <c r="I42">
        <f ca="1">IF(AND(ISNUMBER($I$80),$B$64=1),$I$80,HLOOKUP(INDIRECT(ADDRESS(2,COLUMN())),OFFSET($AT$2,0,0,ROW()-1,40),ROW()-1,FALSE))</f>
        <v>179</v>
      </c>
      <c r="J42">
        <f ca="1">IF(AND(ISNUMBER($J$80),$B$64=1),$J$80,HLOOKUP(INDIRECT(ADDRESS(2,COLUMN())),OFFSET($AT$2,0,0,ROW()-1,40),ROW()-1,FALSE))</f>
        <v>167</v>
      </c>
      <c r="K42">
        <f ca="1">IF(AND(ISNUMBER($K$80),$B$64=1),$K$80,HLOOKUP(INDIRECT(ADDRESS(2,COLUMN())),OFFSET($AT$2,0,0,ROW()-1,40),ROW()-1,FALSE))</f>
        <v>188</v>
      </c>
      <c r="L42">
        <f ca="1">IF(AND(ISNUMBER($L$80),$B$64=1),$L$80,HLOOKUP(INDIRECT(ADDRESS(2,COLUMN())),OFFSET($AT$2,0,0,ROW()-1,40),ROW()-1,FALSE))</f>
        <v>147</v>
      </c>
      <c r="M42">
        <f ca="1">IF(AND(ISNUMBER($M$80),$B$64=1),$M$80,HLOOKUP(INDIRECT(ADDRESS(2,COLUMN())),OFFSET($AT$2,0,0,ROW()-1,40),ROW()-1,FALSE))</f>
        <v>176</v>
      </c>
      <c r="N42">
        <f ca="1">IF(AND(ISNUMBER($N$80),$B$64=1),$N$80,HLOOKUP(INDIRECT(ADDRESS(2,COLUMN())),OFFSET($AT$2,0,0,ROW()-1,40),ROW()-1,FALSE))</f>
        <v>86</v>
      </c>
      <c r="O42">
        <f ca="1">IF(AND(ISNUMBER($O$80),$B$64=1),$O$80,HLOOKUP(INDIRECT(ADDRESS(2,COLUMN())),OFFSET($AT$2,0,0,ROW()-1,40),ROW()-1,FALSE))</f>
        <v>181</v>
      </c>
      <c r="P42">
        <f ca="1">IF(AND(ISNUMBER($P$80),$B$64=1),$P$80,HLOOKUP(INDIRECT(ADDRESS(2,COLUMN())),OFFSET($AT$2,0,0,ROW()-1,40),ROW()-1,FALSE))</f>
        <v>171</v>
      </c>
      <c r="Q42">
        <f ca="1">IF(AND(ISNUMBER($Q$80),$B$64=1),$Q$80,HLOOKUP(INDIRECT(ADDRESS(2,COLUMN())),OFFSET($AT$2,0,0,ROW()-1,40),ROW()-1,FALSE))</f>
        <v>152</v>
      </c>
      <c r="R42">
        <f ca="1">IF(AND(ISNUMBER($R$80),$B$64=1),$R$80,HLOOKUP(INDIRECT(ADDRESS(2,COLUMN())),OFFSET($AT$2,0,0,ROW()-1,40),ROW()-1,FALSE))</f>
        <v>145</v>
      </c>
      <c r="S42">
        <f ca="1">IF(AND(ISNUMBER($S$80),$B$64=1),$S$80,HLOOKUP(INDIRECT(ADDRESS(2,COLUMN())),OFFSET($AT$2,0,0,ROW()-1,40),ROW()-1,FALSE))</f>
        <v>217</v>
      </c>
      <c r="T42">
        <f ca="1">IF(AND(ISNUMBER($T$80),$B$64=1),$T$80,HLOOKUP(INDIRECT(ADDRESS(2,COLUMN())),OFFSET($AT$2,0,0,ROW()-1,40),ROW()-1,FALSE))</f>
        <v>183</v>
      </c>
      <c r="U42">
        <f ca="1">IF(AND(ISNUMBER($U$80),$B$64=1),$U$80,HLOOKUP(INDIRECT(ADDRESS(2,COLUMN())),OFFSET($AT$2,0,0,ROW()-1,40),ROW()-1,FALSE))</f>
        <v>174</v>
      </c>
      <c r="V42">
        <f ca="1">IF(AND(ISNUMBER($V$80),$B$64=1),$V$80,HLOOKUP(INDIRECT(ADDRESS(2,COLUMN())),OFFSET($AT$2,0,0,ROW()-1,40),ROW()-1,FALSE))</f>
        <v>167</v>
      </c>
      <c r="W42">
        <f ca="1">IF(AND(ISNUMBER($W$80),$B$64=1),$W$80,HLOOKUP(INDIRECT(ADDRESS(2,COLUMN())),OFFSET($AT$2,0,0,ROW()-1,40),ROW()-1,FALSE))</f>
        <v>161</v>
      </c>
      <c r="X42">
        <f ca="1">IF(AND(ISNUMBER($X$80),$B$64=1),$X$80,HLOOKUP(INDIRECT(ADDRESS(2,COLUMN())),OFFSET($AT$2,0,0,ROW()-1,40),ROW()-1,FALSE))</f>
        <v>155</v>
      </c>
      <c r="Y42">
        <f ca="1">IF(AND(ISNUMBER($Y$80),$B$64=1),$Y$80,HLOOKUP(INDIRECT(ADDRESS(2,COLUMN())),OFFSET($AT$2,0,0,ROW()-1,40),ROW()-1,FALSE))</f>
        <v>172</v>
      </c>
      <c r="Z42">
        <f ca="1">IF(AND(ISNUMBER($Z$80),$B$64=1),$Z$80,HLOOKUP(INDIRECT(ADDRESS(2,COLUMN())),OFFSET($AT$2,0,0,ROW()-1,40),ROW()-1,FALSE))</f>
        <v>183</v>
      </c>
      <c r="AA42">
        <f ca="1">IF(AND(ISNUMBER($AA$80),$B$64=1),$AA$80,HLOOKUP(INDIRECT(ADDRESS(2,COLUMN())),OFFSET($AT$2,0,0,ROW()-1,40),ROW()-1,FALSE))</f>
        <v>168</v>
      </c>
      <c r="AB42">
        <f ca="1">IF(AND(ISNUMBER($AB$80),$B$64=1),$AB$80,HLOOKUP(INDIRECT(ADDRESS(2,COLUMN())),OFFSET($AT$2,0,0,ROW()-1,40),ROW()-1,FALSE))</f>
        <v>198</v>
      </c>
      <c r="AC42">
        <f ca="1">IF(AND(ISNUMBER($AC$80),$B$64=1),$AC$80,HLOOKUP(INDIRECT(ADDRESS(2,COLUMN())),OFFSET($AT$2,0,0,ROW()-1,40),ROW()-1,FALSE))</f>
        <v>172</v>
      </c>
      <c r="AD42">
        <f ca="1">IF(AND(ISNUMBER($AD$80),$B$64=1),$AD$80,HLOOKUP(INDIRECT(ADDRESS(2,COLUMN())),OFFSET($AT$2,0,0,ROW()-1,40),ROW()-1,FALSE))</f>
        <v>272</v>
      </c>
      <c r="AE42">
        <f ca="1">IF(AND(ISNUMBER($AE$80),$B$64=1),$AE$80,HLOOKUP(INDIRECT(ADDRESS(2,COLUMN())),OFFSET($AT$2,0,0,ROW()-1,40),ROW()-1,FALSE))</f>
        <v>249</v>
      </c>
      <c r="AF42">
        <f ca="1">IF(AND(ISNUMBER($AF$80),$B$64=1),$AF$80,HLOOKUP(INDIRECT(ADDRESS(2,COLUMN())),OFFSET($AT$2,0,0,ROW()-1,40),ROW()-1,FALSE))</f>
        <v>271</v>
      </c>
      <c r="AG42">
        <f ca="1">IF(AND(ISNUMBER($AG$80),$B$64=1),$AG$80,HLOOKUP(INDIRECT(ADDRESS(2,COLUMN())),OFFSET($AT$2,0,0,ROW()-1,40),ROW()-1,FALSE))</f>
        <v>322</v>
      </c>
      <c r="AH42">
        <f ca="1">IF(AND(ISNUMBER($AH$80),$B$64=1),$AH$80,HLOOKUP(INDIRECT(ADDRESS(2,COLUMN())),OFFSET($AT$2,0,0,ROW()-1,40),ROW()-1,FALSE))</f>
        <v>330</v>
      </c>
      <c r="AI42">
        <f ca="1">IF(AND(ISNUMBER($AI$80),$B$64=1),$AI$80,HLOOKUP(INDIRECT(ADDRESS(2,COLUMN())),OFFSET($AT$2,0,0,ROW()-1,40),ROW()-1,FALSE))</f>
        <v>279</v>
      </c>
      <c r="AJ42">
        <f ca="1">IF(AND(ISNUMBER($AJ$80),$B$64=1),$AJ$80,HLOOKUP(INDIRECT(ADDRESS(2,COLUMN())),OFFSET($AT$2,0,0,ROW()-1,40),ROW()-1,FALSE))</f>
        <v>253</v>
      </c>
      <c r="AK42">
        <f ca="1">IF(AND(ISNUMBER($AK$80),$B$64=1),$AK$80,HLOOKUP(INDIRECT(ADDRESS(2,COLUMN())),OFFSET($AT$2,0,0,ROW()-1,40),ROW()-1,FALSE))</f>
        <v>303</v>
      </c>
      <c r="AL42">
        <f ca="1">IF(AND(ISNUMBER($AL$80),$B$64=1),$AL$80,HLOOKUP(INDIRECT(ADDRESS(2,COLUMN())),OFFSET($AT$2,0,0,ROW()-1,40),ROW()-1,FALSE))</f>
        <v>319</v>
      </c>
      <c r="AM42">
        <f ca="1">IF(AND(ISNUMBER($AM$80),$B$64=1),$AM$80,HLOOKUP(INDIRECT(ADDRESS(2,COLUMN())),OFFSET($AT$2,0,0,ROW()-1,40),ROW()-1,FALSE))</f>
        <v>460</v>
      </c>
      <c r="AN42">
        <f ca="1">IF(AND(ISNUMBER($AN$80),$B$64=1),$AN$80,HLOOKUP(INDIRECT(ADDRESS(2,COLUMN())),OFFSET($AT$2,0,0,ROW()-1,40),ROW()-1,FALSE))</f>
        <v>693</v>
      </c>
      <c r="AO42">
        <f ca="1">IF(AND(ISNUMBER($AO$80),$B$64=1),$AO$80,HLOOKUP(INDIRECT(ADDRESS(2,COLUMN())),OFFSET($AT$2,0,0,ROW()-1,40),ROW()-1,FALSE))</f>
        <v>681</v>
      </c>
      <c r="AP42">
        <f ca="1">IF(AND(ISNUMBER($AP$80),$B$64=1),$AP$80,HLOOKUP(INDIRECT(ADDRESS(2,COLUMN())),OFFSET($AT$2,0,0,ROW()-1,40),ROW()-1,FALSE))</f>
        <v>669</v>
      </c>
      <c r="AQ42">
        <f ca="1">IF(AND(ISNUMBER($AQ$80),$B$64=1),$AQ$80,HLOOKUP(INDIRECT(ADDRESS(2,COLUMN())),OFFSET($AT$2,0,0,ROW()-1,40),ROW()-1,FALSE))</f>
        <v>616</v>
      </c>
      <c r="AR42">
        <f ca="1">IF(AND(ISNUMBER($AR$80),$B$64=1),$AR$80,HLOOKUP(INDIRECT(ADDRESS(2,COLUMN())),OFFSET($AT$2,0,0,ROW()-1,40),ROW()-1,FALSE))</f>
        <v>586</v>
      </c>
      <c r="AS42">
        <f ca="1">IF(AND(ISNUMBER($AS$80),$B$64=1),$AS$80,HLOOKUP(INDIRECT(ADDRESS(2,COLUMN())),OFFSET($AT$2,0,0,ROW()-1,40),ROW()-1,FALSE))</f>
        <v>779</v>
      </c>
      <c r="AT42">
        <f>160</f>
        <v>160</v>
      </c>
      <c r="AU42">
        <f>187</f>
        <v>187</v>
      </c>
      <c r="AV42">
        <f>232</f>
        <v>232</v>
      </c>
      <c r="AW42">
        <f>179</f>
        <v>179</v>
      </c>
      <c r="AX42">
        <f>167</f>
        <v>167</v>
      </c>
      <c r="AY42">
        <f>188</f>
        <v>188</v>
      </c>
      <c r="AZ42">
        <f>147</f>
        <v>147</v>
      </c>
      <c r="BA42">
        <f>176</f>
        <v>176</v>
      </c>
      <c r="BB42">
        <f>86</f>
        <v>86</v>
      </c>
      <c r="BC42">
        <f>181</f>
        <v>181</v>
      </c>
      <c r="BD42">
        <f>171</f>
        <v>171</v>
      </c>
      <c r="BE42">
        <f>152</f>
        <v>152</v>
      </c>
      <c r="BF42">
        <f>145</f>
        <v>145</v>
      </c>
      <c r="BG42">
        <f>217</f>
        <v>217</v>
      </c>
      <c r="BH42">
        <f>183</f>
        <v>183</v>
      </c>
      <c r="BI42">
        <f>174</f>
        <v>174</v>
      </c>
      <c r="BJ42">
        <f>167</f>
        <v>167</v>
      </c>
      <c r="BK42">
        <f>161</f>
        <v>161</v>
      </c>
      <c r="BL42">
        <f>155</f>
        <v>155</v>
      </c>
      <c r="BM42">
        <f>172</f>
        <v>172</v>
      </c>
      <c r="BN42">
        <f>183</f>
        <v>183</v>
      </c>
      <c r="BO42">
        <f>168</f>
        <v>168</v>
      </c>
      <c r="BP42">
        <f>198</f>
        <v>198</v>
      </c>
      <c r="BQ42">
        <f>172</f>
        <v>172</v>
      </c>
      <c r="BR42">
        <f>272</f>
        <v>272</v>
      </c>
      <c r="BS42">
        <f>249</f>
        <v>249</v>
      </c>
      <c r="BT42">
        <f>271</f>
        <v>271</v>
      </c>
      <c r="BU42">
        <f>322</f>
        <v>322</v>
      </c>
      <c r="BV42">
        <f>330</f>
        <v>330</v>
      </c>
      <c r="BW42">
        <f>279</f>
        <v>279</v>
      </c>
      <c r="BX42">
        <f>253</f>
        <v>253</v>
      </c>
      <c r="BY42">
        <f>303</f>
        <v>303</v>
      </c>
      <c r="BZ42">
        <f>319</f>
        <v>319</v>
      </c>
      <c r="CA42">
        <f>460</f>
        <v>460</v>
      </c>
      <c r="CB42">
        <f>693</f>
        <v>693</v>
      </c>
      <c r="CC42">
        <f>681</f>
        <v>681</v>
      </c>
      <c r="CD42">
        <f>669</f>
        <v>669</v>
      </c>
      <c r="CE42">
        <f>616</f>
        <v>616</v>
      </c>
      <c r="CF42">
        <f>586</f>
        <v>586</v>
      </c>
      <c r="CG42">
        <f>779</f>
        <v>779</v>
      </c>
    </row>
    <row r="43" spans="1:85" x14ac:dyDescent="0.25">
      <c r="A43" t="str">
        <f>"    Volvo"</f>
        <v xml:space="preserve">    Volvo</v>
      </c>
      <c r="B43" t="str">
        <f>"BRTRSHVO Index"</f>
        <v>BRTRSHVO Index</v>
      </c>
      <c r="C43" t="str">
        <f t="shared" si="6"/>
        <v>PX385</v>
      </c>
      <c r="D43" t="str">
        <f t="shared" si="7"/>
        <v>INTERVAL_SUM</v>
      </c>
      <c r="E43" t="str">
        <f t="shared" si="5"/>
        <v>Dynamic</v>
      </c>
      <c r="F43">
        <f ca="1">IF(AND(ISNUMBER($F$81),$B$64=1),$F$81,HLOOKUP(INDIRECT(ADDRESS(2,COLUMN())),OFFSET($AT$2,0,0,ROW()-1,40),ROW()-1,FALSE))</f>
        <v>87</v>
      </c>
      <c r="G43">
        <f ca="1">IF(AND(ISNUMBER($G$81),$B$64=1),$G$81,HLOOKUP(INDIRECT(ADDRESS(2,COLUMN())),OFFSET($AT$2,0,0,ROW()-1,40),ROW()-1,FALSE))</f>
        <v>86</v>
      </c>
      <c r="H43">
        <f ca="1">IF(AND(ISNUMBER($H$81),$B$64=1),$H$81,HLOOKUP(INDIRECT(ADDRESS(2,COLUMN())),OFFSET($AT$2,0,0,ROW()-1,40),ROW()-1,FALSE))</f>
        <v>64</v>
      </c>
      <c r="I43">
        <f ca="1">IF(AND(ISNUMBER($I$81),$B$64=1),$I$81,HLOOKUP(INDIRECT(ADDRESS(2,COLUMN())),OFFSET($AT$2,0,0,ROW()-1,40),ROW()-1,FALSE))</f>
        <v>55</v>
      </c>
      <c r="J43">
        <f ca="1">IF(AND(ISNUMBER($J$81),$B$64=1),$J$81,HLOOKUP(INDIRECT(ADDRESS(2,COLUMN())),OFFSET($AT$2,0,0,ROW()-1,40),ROW()-1,FALSE))</f>
        <v>75</v>
      </c>
      <c r="K43">
        <f ca="1">IF(AND(ISNUMBER($K$81),$B$64=1),$K$81,HLOOKUP(INDIRECT(ADDRESS(2,COLUMN())),OFFSET($AT$2,0,0,ROW()-1,40),ROW()-1,FALSE))</f>
        <v>55</v>
      </c>
      <c r="L43">
        <f ca="1">IF(AND(ISNUMBER($L$81),$B$64=1),$L$81,HLOOKUP(INDIRECT(ADDRESS(2,COLUMN())),OFFSET($AT$2,0,0,ROW()-1,40),ROW()-1,FALSE))</f>
        <v>45</v>
      </c>
      <c r="M43">
        <f ca="1">IF(AND(ISNUMBER($M$81),$B$64=1),$M$81,HLOOKUP(INDIRECT(ADDRESS(2,COLUMN())),OFFSET($AT$2,0,0,ROW()-1,40),ROW()-1,FALSE))</f>
        <v>58</v>
      </c>
      <c r="N43">
        <f ca="1">IF(AND(ISNUMBER($N$81),$B$64=1),$N$81,HLOOKUP(INDIRECT(ADDRESS(2,COLUMN())),OFFSET($AT$2,0,0,ROW()-1,40),ROW()-1,FALSE))</f>
        <v>41</v>
      </c>
      <c r="O43">
        <f ca="1">IF(AND(ISNUMBER($O$81),$B$64=1),$O$81,HLOOKUP(INDIRECT(ADDRESS(2,COLUMN())),OFFSET($AT$2,0,0,ROW()-1,40),ROW()-1,FALSE))</f>
        <v>52</v>
      </c>
      <c r="P43">
        <f ca="1">IF(AND(ISNUMBER($P$81),$B$64=1),$P$81,HLOOKUP(INDIRECT(ADDRESS(2,COLUMN())),OFFSET($AT$2,0,0,ROW()-1,40),ROW()-1,FALSE))</f>
        <v>70</v>
      </c>
      <c r="Q43">
        <f ca="1">IF(AND(ISNUMBER($Q$81),$B$64=1),$Q$81,HLOOKUP(INDIRECT(ADDRESS(2,COLUMN())),OFFSET($AT$2,0,0,ROW()-1,40),ROW()-1,FALSE))</f>
        <v>72</v>
      </c>
      <c r="R43">
        <f ca="1">IF(AND(ISNUMBER($R$81),$B$64=1),$R$81,HLOOKUP(INDIRECT(ADDRESS(2,COLUMN())),OFFSET($AT$2,0,0,ROW()-1,40),ROW()-1,FALSE))</f>
        <v>92</v>
      </c>
      <c r="S43">
        <f ca="1">IF(AND(ISNUMBER($S$81),$B$64=1),$S$81,HLOOKUP(INDIRECT(ADDRESS(2,COLUMN())),OFFSET($AT$2,0,0,ROW()-1,40),ROW()-1,FALSE))</f>
        <v>105</v>
      </c>
      <c r="T43">
        <f ca="1">IF(AND(ISNUMBER($T$81),$B$64=1),$T$81,HLOOKUP(INDIRECT(ADDRESS(2,COLUMN())),OFFSET($AT$2,0,0,ROW()-1,40),ROW()-1,FALSE))</f>
        <v>128</v>
      </c>
      <c r="U43">
        <f ca="1">IF(AND(ISNUMBER($U$81),$B$64=1),$U$81,HLOOKUP(INDIRECT(ADDRESS(2,COLUMN())),OFFSET($AT$2,0,0,ROW()-1,40),ROW()-1,FALSE))</f>
        <v>136</v>
      </c>
      <c r="V43">
        <f ca="1">IF(AND(ISNUMBER($V$81),$B$64=1),$V$81,HLOOKUP(INDIRECT(ADDRESS(2,COLUMN())),OFFSET($AT$2,0,0,ROW()-1,40),ROW()-1,FALSE))</f>
        <v>118</v>
      </c>
      <c r="W43">
        <f ca="1">IF(AND(ISNUMBER($W$81),$B$64=1),$W$81,HLOOKUP(INDIRECT(ADDRESS(2,COLUMN())),OFFSET($AT$2,0,0,ROW()-1,40),ROW()-1,FALSE))</f>
        <v>108</v>
      </c>
      <c r="X43">
        <f ca="1">IF(AND(ISNUMBER($X$81),$B$64=1),$X$81,HLOOKUP(INDIRECT(ADDRESS(2,COLUMN())),OFFSET($AT$2,0,0,ROW()-1,40),ROW()-1,FALSE))</f>
        <v>104</v>
      </c>
      <c r="Y43">
        <f ca="1">IF(AND(ISNUMBER($Y$81),$B$64=1),$Y$81,HLOOKUP(INDIRECT(ADDRESS(2,COLUMN())),OFFSET($AT$2,0,0,ROW()-1,40),ROW()-1,FALSE))</f>
        <v>168</v>
      </c>
      <c r="Z43">
        <f ca="1">IF(AND(ISNUMBER($Z$81),$B$64=1),$Z$81,HLOOKUP(INDIRECT(ADDRESS(2,COLUMN())),OFFSET($AT$2,0,0,ROW()-1,40),ROW()-1,FALSE))</f>
        <v>117</v>
      </c>
      <c r="AA43">
        <f ca="1">IF(AND(ISNUMBER($AA$81),$B$64=1),$AA$81,HLOOKUP(INDIRECT(ADDRESS(2,COLUMN())),OFFSET($AT$2,0,0,ROW()-1,40),ROW()-1,FALSE))</f>
        <v>153</v>
      </c>
      <c r="AB43">
        <f ca="1">IF(AND(ISNUMBER($AB$81),$B$64=1),$AB$81,HLOOKUP(INDIRECT(ADDRESS(2,COLUMN())),OFFSET($AT$2,0,0,ROW()-1,40),ROW()-1,FALSE))</f>
        <v>211</v>
      </c>
      <c r="AC43">
        <f ca="1">IF(AND(ISNUMBER($AC$81),$B$64=1),$AC$81,HLOOKUP(INDIRECT(ADDRESS(2,COLUMN())),OFFSET($AT$2,0,0,ROW()-1,40),ROW()-1,FALSE))</f>
        <v>191</v>
      </c>
      <c r="AD43">
        <f ca="1">IF(AND(ISNUMBER($AD$81),$B$64=1),$AD$81,HLOOKUP(INDIRECT(ADDRESS(2,COLUMN())),OFFSET($AT$2,0,0,ROW()-1,40),ROW()-1,FALSE))</f>
        <v>201</v>
      </c>
      <c r="AE43">
        <f ca="1">IF(AND(ISNUMBER($AE$81),$B$64=1),$AE$81,HLOOKUP(INDIRECT(ADDRESS(2,COLUMN())),OFFSET($AT$2,0,0,ROW()-1,40),ROW()-1,FALSE))</f>
        <v>193</v>
      </c>
      <c r="AF43">
        <f ca="1">IF(AND(ISNUMBER($AF$81),$B$64=1),$AF$81,HLOOKUP(INDIRECT(ADDRESS(2,COLUMN())),OFFSET($AT$2,0,0,ROW()-1,40),ROW()-1,FALSE))</f>
        <v>249</v>
      </c>
      <c r="AG43">
        <f ca="1">IF(AND(ISNUMBER($AG$81),$B$64=1),$AG$81,HLOOKUP(INDIRECT(ADDRESS(2,COLUMN())),OFFSET($AT$2,0,0,ROW()-1,40),ROW()-1,FALSE))</f>
        <v>268</v>
      </c>
      <c r="AH43">
        <f ca="1">IF(AND(ISNUMBER($AH$81),$B$64=1),$AH$81,HLOOKUP(INDIRECT(ADDRESS(2,COLUMN())),OFFSET($AT$2,0,0,ROW()-1,40),ROW()-1,FALSE))</f>
        <v>245</v>
      </c>
      <c r="AI43">
        <f ca="1">IF(AND(ISNUMBER($AI$81),$B$64=1),$AI$81,HLOOKUP(INDIRECT(ADDRESS(2,COLUMN())),OFFSET($AT$2,0,0,ROW()-1,40),ROW()-1,FALSE))</f>
        <v>214</v>
      </c>
      <c r="AJ43">
        <f ca="1">IF(AND(ISNUMBER($AJ$81),$B$64=1),$AJ$81,HLOOKUP(INDIRECT(ADDRESS(2,COLUMN())),OFFSET($AT$2,0,0,ROW()-1,40),ROW()-1,FALSE))</f>
        <v>205</v>
      </c>
      <c r="AK43">
        <f ca="1">IF(AND(ISNUMBER($AK$81),$B$64=1),$AK$81,HLOOKUP(INDIRECT(ADDRESS(2,COLUMN())),OFFSET($AT$2,0,0,ROW()-1,40),ROW()-1,FALSE))</f>
        <v>254</v>
      </c>
      <c r="AL43">
        <f ca="1">IF(AND(ISNUMBER($AL$81),$B$64=1),$AL$81,HLOOKUP(INDIRECT(ADDRESS(2,COLUMN())),OFFSET($AT$2,0,0,ROW()-1,40),ROW()-1,FALSE))</f>
        <v>257</v>
      </c>
      <c r="AM43">
        <f ca="1">IF(AND(ISNUMBER($AM$81),$B$64=1),$AM$81,HLOOKUP(INDIRECT(ADDRESS(2,COLUMN())),OFFSET($AT$2,0,0,ROW()-1,40),ROW()-1,FALSE))</f>
        <v>343</v>
      </c>
      <c r="AN43">
        <f ca="1">IF(AND(ISNUMBER($AN$81),$B$64=1),$AN$81,HLOOKUP(INDIRECT(ADDRESS(2,COLUMN())),OFFSET($AT$2,0,0,ROW()-1,40),ROW()-1,FALSE))</f>
        <v>554</v>
      </c>
      <c r="AO43">
        <f ca="1">IF(AND(ISNUMBER($AO$81),$B$64=1),$AO$81,HLOOKUP(INDIRECT(ADDRESS(2,COLUMN())),OFFSET($AT$2,0,0,ROW()-1,40),ROW()-1,FALSE))</f>
        <v>515</v>
      </c>
      <c r="AP43">
        <f ca="1">IF(AND(ISNUMBER($AP$81),$B$64=1),$AP$81,HLOOKUP(INDIRECT(ADDRESS(2,COLUMN())),OFFSET($AT$2,0,0,ROW()-1,40),ROW()-1,FALSE))</f>
        <v>474</v>
      </c>
      <c r="AQ43">
        <f ca="1">IF(AND(ISNUMBER($AQ$81),$B$64=1),$AQ$81,HLOOKUP(INDIRECT(ADDRESS(2,COLUMN())),OFFSET($AT$2,0,0,ROW()-1,40),ROW()-1,FALSE))</f>
        <v>459</v>
      </c>
      <c r="AR43">
        <f ca="1">IF(AND(ISNUMBER($AR$81),$B$64=1),$AR$81,HLOOKUP(INDIRECT(ADDRESS(2,COLUMN())),OFFSET($AT$2,0,0,ROW()-1,40),ROW()-1,FALSE))</f>
        <v>506</v>
      </c>
      <c r="AS43">
        <f ca="1">IF(AND(ISNUMBER($AS$81),$B$64=1),$AS$81,HLOOKUP(INDIRECT(ADDRESS(2,COLUMN())),OFFSET($AT$2,0,0,ROW()-1,40),ROW()-1,FALSE))</f>
        <v>464</v>
      </c>
      <c r="AT43">
        <f>87</f>
        <v>87</v>
      </c>
      <c r="AU43">
        <f>86</f>
        <v>86</v>
      </c>
      <c r="AV43">
        <f>64</f>
        <v>64</v>
      </c>
      <c r="AW43">
        <f>55</f>
        <v>55</v>
      </c>
      <c r="AX43">
        <f>75</f>
        <v>75</v>
      </c>
      <c r="AY43">
        <f>55</f>
        <v>55</v>
      </c>
      <c r="AZ43">
        <f>45</f>
        <v>45</v>
      </c>
      <c r="BA43">
        <f>58</f>
        <v>58</v>
      </c>
      <c r="BB43">
        <f>41</f>
        <v>41</v>
      </c>
      <c r="BC43">
        <f>52</f>
        <v>52</v>
      </c>
      <c r="BD43">
        <f>70</f>
        <v>70</v>
      </c>
      <c r="BE43">
        <f>72</f>
        <v>72</v>
      </c>
      <c r="BF43">
        <f>92</f>
        <v>92</v>
      </c>
      <c r="BG43">
        <f>105</f>
        <v>105</v>
      </c>
      <c r="BH43">
        <f>128</f>
        <v>128</v>
      </c>
      <c r="BI43">
        <f>136</f>
        <v>136</v>
      </c>
      <c r="BJ43">
        <f>118</f>
        <v>118</v>
      </c>
      <c r="BK43">
        <f>108</f>
        <v>108</v>
      </c>
      <c r="BL43">
        <f>104</f>
        <v>104</v>
      </c>
      <c r="BM43">
        <f>168</f>
        <v>168</v>
      </c>
      <c r="BN43">
        <f>117</f>
        <v>117</v>
      </c>
      <c r="BO43">
        <f>153</f>
        <v>153</v>
      </c>
      <c r="BP43">
        <f>211</f>
        <v>211</v>
      </c>
      <c r="BQ43">
        <f>191</f>
        <v>191</v>
      </c>
      <c r="BR43">
        <f>201</f>
        <v>201</v>
      </c>
      <c r="BS43">
        <f>193</f>
        <v>193</v>
      </c>
      <c r="BT43">
        <f>249</f>
        <v>249</v>
      </c>
      <c r="BU43">
        <f>268</f>
        <v>268</v>
      </c>
      <c r="BV43">
        <f>245</f>
        <v>245</v>
      </c>
      <c r="BW43">
        <f>214</f>
        <v>214</v>
      </c>
      <c r="BX43">
        <f>205</f>
        <v>205</v>
      </c>
      <c r="BY43">
        <f>254</f>
        <v>254</v>
      </c>
      <c r="BZ43">
        <f>257</f>
        <v>257</v>
      </c>
      <c r="CA43">
        <f>343</f>
        <v>343</v>
      </c>
      <c r="CB43">
        <f>554</f>
        <v>554</v>
      </c>
      <c r="CC43">
        <f>515</f>
        <v>515</v>
      </c>
      <c r="CD43">
        <f>474</f>
        <v>474</v>
      </c>
      <c r="CE43">
        <f>459</f>
        <v>459</v>
      </c>
      <c r="CF43">
        <f>506</f>
        <v>506</v>
      </c>
      <c r="CG43">
        <f>464</f>
        <v>464</v>
      </c>
    </row>
    <row r="44" spans="1:85" x14ac:dyDescent="0.25">
      <c r="A44" t="str">
        <f>"    Iveco"</f>
        <v xml:space="preserve">    Iveco</v>
      </c>
      <c r="B44" t="str">
        <f>"BRTRSHIV Index"</f>
        <v>BRTRSHIV Index</v>
      </c>
      <c r="C44" t="str">
        <f t="shared" si="6"/>
        <v>PX385</v>
      </c>
      <c r="D44" t="str">
        <f t="shared" si="7"/>
        <v>INTERVAL_SUM</v>
      </c>
      <c r="E44" t="str">
        <f t="shared" si="5"/>
        <v>Dynamic</v>
      </c>
      <c r="F44">
        <f ca="1">IF(AND(ISNUMBER($F$82),$B$64=1),$F$82,HLOOKUP(INDIRECT(ADDRESS(2,COLUMN())),OFFSET($AT$2,0,0,ROW()-1,40),ROW()-1,FALSE))</f>
        <v>65</v>
      </c>
      <c r="G44">
        <f ca="1">IF(AND(ISNUMBER($G$82),$B$64=1),$G$82,HLOOKUP(INDIRECT(ADDRESS(2,COLUMN())),OFFSET($AT$2,0,0,ROW()-1,40),ROW()-1,FALSE))</f>
        <v>61</v>
      </c>
      <c r="H44">
        <f ca="1">IF(AND(ISNUMBER($H$82),$B$64=1),$H$82,HLOOKUP(INDIRECT(ADDRESS(2,COLUMN())),OFFSET($AT$2,0,0,ROW()-1,40),ROW()-1,FALSE))</f>
        <v>78</v>
      </c>
      <c r="I44">
        <f ca="1">IF(AND(ISNUMBER($I$82),$B$64=1),$I$82,HLOOKUP(INDIRECT(ADDRESS(2,COLUMN())),OFFSET($AT$2,0,0,ROW()-1,40),ROW()-1,FALSE))</f>
        <v>59</v>
      </c>
      <c r="J44">
        <f ca="1">IF(AND(ISNUMBER($J$82),$B$64=1),$J$82,HLOOKUP(INDIRECT(ADDRESS(2,COLUMN())),OFFSET($AT$2,0,0,ROW()-1,40),ROW()-1,FALSE))</f>
        <v>82</v>
      </c>
      <c r="K44">
        <f ca="1">IF(AND(ISNUMBER($K$82),$B$64=1),$K$82,HLOOKUP(INDIRECT(ADDRESS(2,COLUMN())),OFFSET($AT$2,0,0,ROW()-1,40),ROW()-1,FALSE))</f>
        <v>66</v>
      </c>
      <c r="L44">
        <f ca="1">IF(AND(ISNUMBER($L$82),$B$64=1),$L$82,HLOOKUP(INDIRECT(ADDRESS(2,COLUMN())),OFFSET($AT$2,0,0,ROW()-1,40),ROW()-1,FALSE))</f>
        <v>46</v>
      </c>
      <c r="M44">
        <f ca="1">IF(AND(ISNUMBER($M$82),$B$64=1),$M$82,HLOOKUP(INDIRECT(ADDRESS(2,COLUMN())),OFFSET($AT$2,0,0,ROW()-1,40),ROW()-1,FALSE))</f>
        <v>63</v>
      </c>
      <c r="N44">
        <f ca="1">IF(AND(ISNUMBER($N$82),$B$64=1),$N$82,HLOOKUP(INDIRECT(ADDRESS(2,COLUMN())),OFFSET($AT$2,0,0,ROW()-1,40),ROW()-1,FALSE))</f>
        <v>38</v>
      </c>
      <c r="O44">
        <f ca="1">IF(AND(ISNUMBER($O$82),$B$64=1),$O$82,HLOOKUP(INDIRECT(ADDRESS(2,COLUMN())),OFFSET($AT$2,0,0,ROW()-1,40),ROW()-1,FALSE))</f>
        <v>72</v>
      </c>
      <c r="P44">
        <f ca="1">IF(AND(ISNUMBER($P$82),$B$64=1),$P$82,HLOOKUP(INDIRECT(ADDRESS(2,COLUMN())),OFFSET($AT$2,0,0,ROW()-1,40),ROW()-1,FALSE))</f>
        <v>93</v>
      </c>
      <c r="Q44">
        <f ca="1">IF(AND(ISNUMBER($Q$82),$B$64=1),$Q$82,HLOOKUP(INDIRECT(ADDRESS(2,COLUMN())),OFFSET($AT$2,0,0,ROW()-1,40),ROW()-1,FALSE))</f>
        <v>29</v>
      </c>
      <c r="R44">
        <f ca="1">IF(AND(ISNUMBER($R$82),$B$64=1),$R$82,HLOOKUP(INDIRECT(ADDRESS(2,COLUMN())),OFFSET($AT$2,0,0,ROW()-1,40),ROW()-1,FALSE))</f>
        <v>65</v>
      </c>
      <c r="S44">
        <f ca="1">IF(AND(ISNUMBER($S$82),$B$64=1),$S$82,HLOOKUP(INDIRECT(ADDRESS(2,COLUMN())),OFFSET($AT$2,0,0,ROW()-1,40),ROW()-1,FALSE))</f>
        <v>58</v>
      </c>
      <c r="T44">
        <f ca="1">IF(AND(ISNUMBER($T$82),$B$64=1),$T$82,HLOOKUP(INDIRECT(ADDRESS(2,COLUMN())),OFFSET($AT$2,0,0,ROW()-1,40),ROW()-1,FALSE))</f>
        <v>63</v>
      </c>
      <c r="U44">
        <f ca="1">IF(AND(ISNUMBER($U$82),$B$64=1),$U$82,HLOOKUP(INDIRECT(ADDRESS(2,COLUMN())),OFFSET($AT$2,0,0,ROW()-1,40),ROW()-1,FALSE))</f>
        <v>63</v>
      </c>
      <c r="V44">
        <f ca="1">IF(AND(ISNUMBER($V$82),$B$64=1),$V$82,HLOOKUP(INDIRECT(ADDRESS(2,COLUMN())),OFFSET($AT$2,0,0,ROW()-1,40),ROW()-1,FALSE))</f>
        <v>70</v>
      </c>
      <c r="W44">
        <f ca="1">IF(AND(ISNUMBER($W$82),$B$64=1),$W$82,HLOOKUP(INDIRECT(ADDRESS(2,COLUMN())),OFFSET($AT$2,0,0,ROW()-1,40),ROW()-1,FALSE))</f>
        <v>71</v>
      </c>
      <c r="X44">
        <f ca="1">IF(AND(ISNUMBER($X$82),$B$64=1),$X$82,HLOOKUP(INDIRECT(ADDRESS(2,COLUMN())),OFFSET($AT$2,0,0,ROW()-1,40),ROW()-1,FALSE))</f>
        <v>76</v>
      </c>
      <c r="Y44">
        <f ca="1">IF(AND(ISNUMBER($Y$82),$B$64=1),$Y$82,HLOOKUP(INDIRECT(ADDRESS(2,COLUMN())),OFFSET($AT$2,0,0,ROW()-1,40),ROW()-1,FALSE))</f>
        <v>72</v>
      </c>
      <c r="Z44">
        <f ca="1">IF(AND(ISNUMBER($Z$82),$B$64=1),$Z$82,HLOOKUP(INDIRECT(ADDRESS(2,COLUMN())),OFFSET($AT$2,0,0,ROW()-1,40),ROW()-1,FALSE))</f>
        <v>66</v>
      </c>
      <c r="AA44">
        <f ca="1">IF(AND(ISNUMBER($AA$82),$B$64=1),$AA$82,HLOOKUP(INDIRECT(ADDRESS(2,COLUMN())),OFFSET($AT$2,0,0,ROW()-1,40),ROW()-1,FALSE))</f>
        <v>77</v>
      </c>
      <c r="AB44">
        <f ca="1">IF(AND(ISNUMBER($AB$82),$B$64=1),$AB$82,HLOOKUP(INDIRECT(ADDRESS(2,COLUMN())),OFFSET($AT$2,0,0,ROW()-1,40),ROW()-1,FALSE))</f>
        <v>184</v>
      </c>
      <c r="AC44">
        <f ca="1">IF(AND(ISNUMBER($AC$82),$B$64=1),$AC$82,HLOOKUP(INDIRECT(ADDRESS(2,COLUMN())),OFFSET($AT$2,0,0,ROW()-1,40),ROW()-1,FALSE))</f>
        <v>57</v>
      </c>
      <c r="AD44">
        <f ca="1">IF(AND(ISNUMBER($AD$82),$B$64=1),$AD$82,HLOOKUP(INDIRECT(ADDRESS(2,COLUMN())),OFFSET($AT$2,0,0,ROW()-1,40),ROW()-1,FALSE))</f>
        <v>106</v>
      </c>
      <c r="AE44">
        <f ca="1">IF(AND(ISNUMBER($AE$82),$B$64=1),$AE$82,HLOOKUP(INDIRECT(ADDRESS(2,COLUMN())),OFFSET($AT$2,0,0,ROW()-1,40),ROW()-1,FALSE))</f>
        <v>94</v>
      </c>
      <c r="AF44">
        <f ca="1">IF(AND(ISNUMBER($AF$82),$B$64=1),$AF$82,HLOOKUP(INDIRECT(ADDRESS(2,COLUMN())),OFFSET($AT$2,0,0,ROW()-1,40),ROW()-1,FALSE))</f>
        <v>90</v>
      </c>
      <c r="AG44">
        <f ca="1">IF(AND(ISNUMBER($AG$82),$B$64=1),$AG$82,HLOOKUP(INDIRECT(ADDRESS(2,COLUMN())),OFFSET($AT$2,0,0,ROW()-1,40),ROW()-1,FALSE))</f>
        <v>146</v>
      </c>
      <c r="AH44">
        <f ca="1">IF(AND(ISNUMBER($AH$82),$B$64=1),$AH$82,HLOOKUP(INDIRECT(ADDRESS(2,COLUMN())),OFFSET($AT$2,0,0,ROW()-1,40),ROW()-1,FALSE))</f>
        <v>221</v>
      </c>
      <c r="AI44">
        <f ca="1">IF(AND(ISNUMBER($AI$82),$B$64=1),$AI$82,HLOOKUP(INDIRECT(ADDRESS(2,COLUMN())),OFFSET($AT$2,0,0,ROW()-1,40),ROW()-1,FALSE))</f>
        <v>209</v>
      </c>
      <c r="AJ44">
        <f ca="1">IF(AND(ISNUMBER($AJ$82),$B$64=1),$AJ$82,HLOOKUP(INDIRECT(ADDRESS(2,COLUMN())),OFFSET($AT$2,0,0,ROW()-1,40),ROW()-1,FALSE))</f>
        <v>155</v>
      </c>
      <c r="AK44">
        <f ca="1">IF(AND(ISNUMBER($AK$82),$B$64=1),$AK$82,HLOOKUP(INDIRECT(ADDRESS(2,COLUMN())),OFFSET($AT$2,0,0,ROW()-1,40),ROW()-1,FALSE))</f>
        <v>228</v>
      </c>
      <c r="AL44">
        <f ca="1">IF(AND(ISNUMBER($AL$82),$B$64=1),$AL$82,HLOOKUP(INDIRECT(ADDRESS(2,COLUMN())),OFFSET($AT$2,0,0,ROW()-1,40),ROW()-1,FALSE))</f>
        <v>127</v>
      </c>
      <c r="AM44">
        <f ca="1">IF(AND(ISNUMBER($AM$82),$B$64=1),$AM$82,HLOOKUP(INDIRECT(ADDRESS(2,COLUMN())),OFFSET($AT$2,0,0,ROW()-1,40),ROW()-1,FALSE))</f>
        <v>133</v>
      </c>
      <c r="AN44">
        <f ca="1">IF(AND(ISNUMBER($AN$82),$B$64=1),$AN$82,HLOOKUP(INDIRECT(ADDRESS(2,COLUMN())),OFFSET($AT$2,0,0,ROW()-1,40),ROW()-1,FALSE))</f>
        <v>200</v>
      </c>
      <c r="AO44">
        <f ca="1">IF(AND(ISNUMBER($AO$82),$B$64=1),$AO$82,HLOOKUP(INDIRECT(ADDRESS(2,COLUMN())),OFFSET($AT$2,0,0,ROW()-1,40),ROW()-1,FALSE))</f>
        <v>198</v>
      </c>
      <c r="AP44">
        <f ca="1">IF(AND(ISNUMBER($AP$82),$B$64=1),$AP$82,HLOOKUP(INDIRECT(ADDRESS(2,COLUMN())),OFFSET($AT$2,0,0,ROW()-1,40),ROW()-1,FALSE))</f>
        <v>200</v>
      </c>
      <c r="AQ44">
        <f ca="1">IF(AND(ISNUMBER($AQ$82),$B$64=1),$AQ$82,HLOOKUP(INDIRECT(ADDRESS(2,COLUMN())),OFFSET($AT$2,0,0,ROW()-1,40),ROW()-1,FALSE))</f>
        <v>197</v>
      </c>
      <c r="AR44">
        <f ca="1">IF(AND(ISNUMBER($AR$82),$B$64=1),$AR$82,HLOOKUP(INDIRECT(ADDRESS(2,COLUMN())),OFFSET($AT$2,0,0,ROW()-1,40),ROW()-1,FALSE))</f>
        <v>178</v>
      </c>
      <c r="AS44">
        <f ca="1">IF(AND(ISNUMBER($AS$82),$B$64=1),$AS$82,HLOOKUP(INDIRECT(ADDRESS(2,COLUMN())),OFFSET($AT$2,0,0,ROW()-1,40),ROW()-1,FALSE))</f>
        <v>278</v>
      </c>
      <c r="AT44">
        <f>65</f>
        <v>65</v>
      </c>
      <c r="AU44">
        <f>61</f>
        <v>61</v>
      </c>
      <c r="AV44">
        <f>78</f>
        <v>78</v>
      </c>
      <c r="AW44">
        <f>59</f>
        <v>59</v>
      </c>
      <c r="AX44">
        <f>82</f>
        <v>82</v>
      </c>
      <c r="AY44">
        <f>66</f>
        <v>66</v>
      </c>
      <c r="AZ44">
        <f>46</f>
        <v>46</v>
      </c>
      <c r="BA44">
        <f>63</f>
        <v>63</v>
      </c>
      <c r="BB44">
        <f>38</f>
        <v>38</v>
      </c>
      <c r="BC44">
        <f>72</f>
        <v>72</v>
      </c>
      <c r="BD44">
        <f>93</f>
        <v>93</v>
      </c>
      <c r="BE44">
        <f>29</f>
        <v>29</v>
      </c>
      <c r="BF44">
        <f>65</f>
        <v>65</v>
      </c>
      <c r="BG44">
        <f>58</f>
        <v>58</v>
      </c>
      <c r="BH44">
        <f>63</f>
        <v>63</v>
      </c>
      <c r="BI44">
        <f>63</f>
        <v>63</v>
      </c>
      <c r="BJ44">
        <f>70</f>
        <v>70</v>
      </c>
      <c r="BK44">
        <f>71</f>
        <v>71</v>
      </c>
      <c r="BL44">
        <f>76</f>
        <v>76</v>
      </c>
      <c r="BM44">
        <f>72</f>
        <v>72</v>
      </c>
      <c r="BN44">
        <f>66</f>
        <v>66</v>
      </c>
      <c r="BO44">
        <f>77</f>
        <v>77</v>
      </c>
      <c r="BP44">
        <f>184</f>
        <v>184</v>
      </c>
      <c r="BQ44">
        <f>57</f>
        <v>57</v>
      </c>
      <c r="BR44">
        <f>106</f>
        <v>106</v>
      </c>
      <c r="BS44">
        <f>94</f>
        <v>94</v>
      </c>
      <c r="BT44">
        <f>90</f>
        <v>90</v>
      </c>
      <c r="BU44">
        <f>146</f>
        <v>146</v>
      </c>
      <c r="BV44">
        <f>221</f>
        <v>221</v>
      </c>
      <c r="BW44">
        <f>209</f>
        <v>209</v>
      </c>
      <c r="BX44">
        <f>155</f>
        <v>155</v>
      </c>
      <c r="BY44">
        <f>228</f>
        <v>228</v>
      </c>
      <c r="BZ44">
        <f>127</f>
        <v>127</v>
      </c>
      <c r="CA44">
        <f>133</f>
        <v>133</v>
      </c>
      <c r="CB44">
        <f>200</f>
        <v>200</v>
      </c>
      <c r="CC44">
        <f>198</f>
        <v>198</v>
      </c>
      <c r="CD44">
        <f>200</f>
        <v>200</v>
      </c>
      <c r="CE44">
        <f>197</f>
        <v>197</v>
      </c>
      <c r="CF44">
        <f>178</f>
        <v>178</v>
      </c>
      <c r="CG44">
        <f>278</f>
        <v>278</v>
      </c>
    </row>
    <row r="45" spans="1:85" x14ac:dyDescent="0.25">
      <c r="A45" t="str">
        <f>"    Scania"</f>
        <v xml:space="preserve">    Scania</v>
      </c>
      <c r="B45" t="str">
        <f>"BRTRSHSC Index"</f>
        <v>BRTRSHSC Index</v>
      </c>
      <c r="C45" t="str">
        <f t="shared" si="6"/>
        <v>PX385</v>
      </c>
      <c r="D45" t="str">
        <f t="shared" si="7"/>
        <v>INTERVAL_SUM</v>
      </c>
      <c r="E45" t="str">
        <f t="shared" si="5"/>
        <v>Dynamic</v>
      </c>
      <c r="F45">
        <f ca="1">IF(AND(ISNUMBER($F$83),$B$64=1),$F$83,HLOOKUP(INDIRECT(ADDRESS(2,COLUMN())),OFFSET($AT$2,0,0,ROW()-1,40),ROW()-1,FALSE))</f>
        <v>89</v>
      </c>
      <c r="G45">
        <f ca="1">IF(AND(ISNUMBER($G$83),$B$64=1),$G$83,HLOOKUP(INDIRECT(ADDRESS(2,COLUMN())),OFFSET($AT$2,0,0,ROW()-1,40),ROW()-1,FALSE))</f>
        <v>60</v>
      </c>
      <c r="H45">
        <f ca="1">IF(AND(ISNUMBER($H$83),$B$64=1),$H$83,HLOOKUP(INDIRECT(ADDRESS(2,COLUMN())),OFFSET($AT$2,0,0,ROW()-1,40),ROW()-1,FALSE))</f>
        <v>63</v>
      </c>
      <c r="I45">
        <f ca="1">IF(AND(ISNUMBER($I$83),$B$64=1),$I$83,HLOOKUP(INDIRECT(ADDRESS(2,COLUMN())),OFFSET($AT$2,0,0,ROW()-1,40),ROW()-1,FALSE))</f>
        <v>88</v>
      </c>
      <c r="J45">
        <f ca="1">IF(AND(ISNUMBER($J$83),$B$64=1),$J$83,HLOOKUP(INDIRECT(ADDRESS(2,COLUMN())),OFFSET($AT$2,0,0,ROW()-1,40),ROW()-1,FALSE))</f>
        <v>81</v>
      </c>
      <c r="K45">
        <f ca="1">IF(AND(ISNUMBER($K$83),$B$64=1),$K$83,HLOOKUP(INDIRECT(ADDRESS(2,COLUMN())),OFFSET($AT$2,0,0,ROW()-1,40),ROW()-1,FALSE))</f>
        <v>70</v>
      </c>
      <c r="L45">
        <f ca="1">IF(AND(ISNUMBER($L$83),$B$64=1),$L$83,HLOOKUP(INDIRECT(ADDRESS(2,COLUMN())),OFFSET($AT$2,0,0,ROW()-1,40),ROW()-1,FALSE))</f>
        <v>46</v>
      </c>
      <c r="M45">
        <f ca="1">IF(AND(ISNUMBER($M$83),$B$64=1),$M$83,HLOOKUP(INDIRECT(ADDRESS(2,COLUMN())),OFFSET($AT$2,0,0,ROW()-1,40),ROW()-1,FALSE))</f>
        <v>78</v>
      </c>
      <c r="N45">
        <f ca="1">IF(AND(ISNUMBER($N$83),$B$64=1),$N$83,HLOOKUP(INDIRECT(ADDRESS(2,COLUMN())),OFFSET($AT$2,0,0,ROW()-1,40),ROW()-1,FALSE))</f>
        <v>44</v>
      </c>
      <c r="O45">
        <f ca="1">IF(AND(ISNUMBER($O$83),$B$64=1),$O$83,HLOOKUP(INDIRECT(ADDRESS(2,COLUMN())),OFFSET($AT$2,0,0,ROW()-1,40),ROW()-1,FALSE))</f>
        <v>48</v>
      </c>
      <c r="P45">
        <f ca="1">IF(AND(ISNUMBER($P$83),$B$64=1),$P$83,HLOOKUP(INDIRECT(ADDRESS(2,COLUMN())),OFFSET($AT$2,0,0,ROW()-1,40),ROW()-1,FALSE))</f>
        <v>64</v>
      </c>
      <c r="Q45">
        <f ca="1">IF(AND(ISNUMBER($Q$83),$B$64=1),$Q$83,HLOOKUP(INDIRECT(ADDRESS(2,COLUMN())),OFFSET($AT$2,0,0,ROW()-1,40),ROW()-1,FALSE))</f>
        <v>57</v>
      </c>
      <c r="R45">
        <f ca="1">IF(AND(ISNUMBER($R$83),$B$64=1),$R$83,HLOOKUP(INDIRECT(ADDRESS(2,COLUMN())),OFFSET($AT$2,0,0,ROW()-1,40),ROW()-1,FALSE))</f>
        <v>70</v>
      </c>
      <c r="S45">
        <f ca="1">IF(AND(ISNUMBER($S$83),$B$64=1),$S$83,HLOOKUP(INDIRECT(ADDRESS(2,COLUMN())),OFFSET($AT$2,0,0,ROW()-1,40),ROW()-1,FALSE))</f>
        <v>66</v>
      </c>
      <c r="T45">
        <f ca="1">IF(AND(ISNUMBER($T$83),$B$64=1),$T$83,HLOOKUP(INDIRECT(ADDRESS(2,COLUMN())),OFFSET($AT$2,0,0,ROW()-1,40),ROW()-1,FALSE))</f>
        <v>72</v>
      </c>
      <c r="U45">
        <f ca="1">IF(AND(ISNUMBER($U$83),$B$64=1),$U$83,HLOOKUP(INDIRECT(ADDRESS(2,COLUMN())),OFFSET($AT$2,0,0,ROW()-1,40),ROW()-1,FALSE))</f>
        <v>62</v>
      </c>
      <c r="V45">
        <f ca="1">IF(AND(ISNUMBER($V$83),$B$64=1),$V$83,HLOOKUP(INDIRECT(ADDRESS(2,COLUMN())),OFFSET($AT$2,0,0,ROW()-1,40),ROW()-1,FALSE))</f>
        <v>64</v>
      </c>
      <c r="W45">
        <f ca="1">IF(AND(ISNUMBER($W$83),$B$64=1),$W$83,HLOOKUP(INDIRECT(ADDRESS(2,COLUMN())),OFFSET($AT$2,0,0,ROW()-1,40),ROW()-1,FALSE))</f>
        <v>65</v>
      </c>
      <c r="X45">
        <f ca="1">IF(AND(ISNUMBER($X$83),$B$64=1),$X$83,HLOOKUP(INDIRECT(ADDRESS(2,COLUMN())),OFFSET($AT$2,0,0,ROW()-1,40),ROW()-1,FALSE))</f>
        <v>52</v>
      </c>
      <c r="Y45">
        <f ca="1">IF(AND(ISNUMBER($Y$83),$B$64=1),$Y$83,HLOOKUP(INDIRECT(ADDRESS(2,COLUMN())),OFFSET($AT$2,0,0,ROW()-1,40),ROW()-1,FALSE))</f>
        <v>46</v>
      </c>
      <c r="Z45">
        <f ca="1">IF(AND(ISNUMBER($Z$83),$B$64=1),$Z$83,HLOOKUP(INDIRECT(ADDRESS(2,COLUMN())),OFFSET($AT$2,0,0,ROW()-1,40),ROW()-1,FALSE))</f>
        <v>32</v>
      </c>
      <c r="AA45">
        <f ca="1">IF(AND(ISNUMBER($AA$83),$B$64=1),$AA$83,HLOOKUP(INDIRECT(ADDRESS(2,COLUMN())),OFFSET($AT$2,0,0,ROW()-1,40),ROW()-1,FALSE))</f>
        <v>53</v>
      </c>
      <c r="AB45">
        <f ca="1">IF(AND(ISNUMBER($AB$83),$B$64=1),$AB$83,HLOOKUP(INDIRECT(ADDRESS(2,COLUMN())),OFFSET($AT$2,0,0,ROW()-1,40),ROW()-1,FALSE))</f>
        <v>53</v>
      </c>
      <c r="AC45">
        <f ca="1">IF(AND(ISNUMBER($AC$83),$B$64=1),$AC$83,HLOOKUP(INDIRECT(ADDRESS(2,COLUMN())),OFFSET($AT$2,0,0,ROW()-1,40),ROW()-1,FALSE))</f>
        <v>74</v>
      </c>
      <c r="AD45">
        <f ca="1">IF(AND(ISNUMBER($AD$83),$B$64=1),$AD$83,HLOOKUP(INDIRECT(ADDRESS(2,COLUMN())),OFFSET($AT$2,0,0,ROW()-1,40),ROW()-1,FALSE))</f>
        <v>108</v>
      </c>
      <c r="AE45">
        <f ca="1">IF(AND(ISNUMBER($AE$83),$B$64=1),$AE$83,HLOOKUP(INDIRECT(ADDRESS(2,COLUMN())),OFFSET($AT$2,0,0,ROW()-1,40),ROW()-1,FALSE))</f>
        <v>100</v>
      </c>
      <c r="AF45">
        <f ca="1">IF(AND(ISNUMBER($AF$83),$B$64=1),$AF$83,HLOOKUP(INDIRECT(ADDRESS(2,COLUMN())),OFFSET($AT$2,0,0,ROW()-1,40),ROW()-1,FALSE))</f>
        <v>86</v>
      </c>
      <c r="AG45">
        <f ca="1">IF(AND(ISNUMBER($AG$83),$B$64=1),$AG$83,HLOOKUP(INDIRECT(ADDRESS(2,COLUMN())),OFFSET($AT$2,0,0,ROW()-1,40),ROW()-1,FALSE))</f>
        <v>114</v>
      </c>
      <c r="AH45">
        <f ca="1">IF(AND(ISNUMBER($AH$83),$B$64=1),$AH$83,HLOOKUP(INDIRECT(ADDRESS(2,COLUMN())),OFFSET($AT$2,0,0,ROW()-1,40),ROW()-1,FALSE))</f>
        <v>107</v>
      </c>
      <c r="AI45">
        <f ca="1">IF(AND(ISNUMBER($AI$83),$B$64=1),$AI$83,HLOOKUP(INDIRECT(ADDRESS(2,COLUMN())),OFFSET($AT$2,0,0,ROW()-1,40),ROW()-1,FALSE))</f>
        <v>100</v>
      </c>
      <c r="AJ45">
        <f ca="1">IF(AND(ISNUMBER($AJ$83),$B$64=1),$AJ$83,HLOOKUP(INDIRECT(ADDRESS(2,COLUMN())),OFFSET($AT$2,0,0,ROW()-1,40),ROW()-1,FALSE))</f>
        <v>87</v>
      </c>
      <c r="AK45">
        <f ca="1">IF(AND(ISNUMBER($AK$83),$B$64=1),$AK$83,HLOOKUP(INDIRECT(ADDRESS(2,COLUMN())),OFFSET($AT$2,0,0,ROW()-1,40),ROW()-1,FALSE))</f>
        <v>77</v>
      </c>
      <c r="AL45">
        <f ca="1">IF(AND(ISNUMBER($AL$83),$B$64=1),$AL$83,HLOOKUP(INDIRECT(ADDRESS(2,COLUMN())),OFFSET($AT$2,0,0,ROW()-1,40),ROW()-1,FALSE))</f>
        <v>54</v>
      </c>
      <c r="AM45">
        <f ca="1">IF(AND(ISNUMBER($AM$83),$B$64=1),$AM$83,HLOOKUP(INDIRECT(ADDRESS(2,COLUMN())),OFFSET($AT$2,0,0,ROW()-1,40),ROW()-1,FALSE))</f>
        <v>73</v>
      </c>
      <c r="AN45">
        <f ca="1">IF(AND(ISNUMBER($AN$83),$B$64=1),$AN$83,HLOOKUP(INDIRECT(ADDRESS(2,COLUMN())),OFFSET($AT$2,0,0,ROW()-1,40),ROW()-1,FALSE))</f>
        <v>210</v>
      </c>
      <c r="AO45">
        <f ca="1">IF(AND(ISNUMBER($AO$83),$B$64=1),$AO$83,HLOOKUP(INDIRECT(ADDRESS(2,COLUMN())),OFFSET($AT$2,0,0,ROW()-1,40),ROW()-1,FALSE))</f>
        <v>206</v>
      </c>
      <c r="AP45">
        <f ca="1">IF(AND(ISNUMBER($AP$83),$B$64=1),$AP$83,HLOOKUP(INDIRECT(ADDRESS(2,COLUMN())),OFFSET($AT$2,0,0,ROW()-1,40),ROW()-1,FALSE))</f>
        <v>231</v>
      </c>
      <c r="AQ45">
        <f ca="1">IF(AND(ISNUMBER($AQ$83),$B$64=1),$AQ$83,HLOOKUP(INDIRECT(ADDRESS(2,COLUMN())),OFFSET($AT$2,0,0,ROW()-1,40),ROW()-1,FALSE))</f>
        <v>244</v>
      </c>
      <c r="AR45">
        <f ca="1">IF(AND(ISNUMBER($AR$83),$B$64=1),$AR$83,HLOOKUP(INDIRECT(ADDRESS(2,COLUMN())),OFFSET($AT$2,0,0,ROW()-1,40),ROW()-1,FALSE))</f>
        <v>217</v>
      </c>
      <c r="AS45">
        <f ca="1">IF(AND(ISNUMBER($AS$83),$B$64=1),$AS$83,HLOOKUP(INDIRECT(ADDRESS(2,COLUMN())),OFFSET($AT$2,0,0,ROW()-1,40),ROW()-1,FALSE))</f>
        <v>200</v>
      </c>
      <c r="AT45">
        <f>89</f>
        <v>89</v>
      </c>
      <c r="AU45">
        <f>60</f>
        <v>60</v>
      </c>
      <c r="AV45">
        <f>63</f>
        <v>63</v>
      </c>
      <c r="AW45">
        <f>88</f>
        <v>88</v>
      </c>
      <c r="AX45">
        <f>81</f>
        <v>81</v>
      </c>
      <c r="AY45">
        <f>70</f>
        <v>70</v>
      </c>
      <c r="AZ45">
        <f>46</f>
        <v>46</v>
      </c>
      <c r="BA45">
        <f>78</f>
        <v>78</v>
      </c>
      <c r="BB45">
        <f>44</f>
        <v>44</v>
      </c>
      <c r="BC45">
        <f>48</f>
        <v>48</v>
      </c>
      <c r="BD45">
        <f>64</f>
        <v>64</v>
      </c>
      <c r="BE45">
        <f>57</f>
        <v>57</v>
      </c>
      <c r="BF45">
        <f>70</f>
        <v>70</v>
      </c>
      <c r="BG45">
        <f>66</f>
        <v>66</v>
      </c>
      <c r="BH45">
        <f>72</f>
        <v>72</v>
      </c>
      <c r="BI45">
        <f>62</f>
        <v>62</v>
      </c>
      <c r="BJ45">
        <f>64</f>
        <v>64</v>
      </c>
      <c r="BK45">
        <f>65</f>
        <v>65</v>
      </c>
      <c r="BL45">
        <f>52</f>
        <v>52</v>
      </c>
      <c r="BM45">
        <f>46</f>
        <v>46</v>
      </c>
      <c r="BN45">
        <f>32</f>
        <v>32</v>
      </c>
      <c r="BO45">
        <f>53</f>
        <v>53</v>
      </c>
      <c r="BP45">
        <f>53</f>
        <v>53</v>
      </c>
      <c r="BQ45">
        <f>74</f>
        <v>74</v>
      </c>
      <c r="BR45">
        <f>108</f>
        <v>108</v>
      </c>
      <c r="BS45">
        <f>100</f>
        <v>100</v>
      </c>
      <c r="BT45">
        <f>86</f>
        <v>86</v>
      </c>
      <c r="BU45">
        <f>114</f>
        <v>114</v>
      </c>
      <c r="BV45">
        <f>107</f>
        <v>107</v>
      </c>
      <c r="BW45">
        <f>100</f>
        <v>100</v>
      </c>
      <c r="BX45">
        <f>87</f>
        <v>87</v>
      </c>
      <c r="BY45">
        <f>77</f>
        <v>77</v>
      </c>
      <c r="BZ45">
        <f>54</f>
        <v>54</v>
      </c>
      <c r="CA45">
        <f>73</f>
        <v>73</v>
      </c>
      <c r="CB45">
        <f>210</f>
        <v>210</v>
      </c>
      <c r="CC45">
        <f>206</f>
        <v>206</v>
      </c>
      <c r="CD45">
        <f>231</f>
        <v>231</v>
      </c>
      <c r="CE45">
        <f>244</f>
        <v>244</v>
      </c>
      <c r="CF45">
        <f>217</f>
        <v>217</v>
      </c>
      <c r="CG45">
        <f>200</f>
        <v>200</v>
      </c>
    </row>
    <row r="46" spans="1:85" x14ac:dyDescent="0.25">
      <c r="A46" t="str">
        <f>"    International"</f>
        <v xml:space="preserve">    International</v>
      </c>
      <c r="B46" t="str">
        <f>"BRTRSHIN Index"</f>
        <v>BRTRSHIN Index</v>
      </c>
      <c r="C46" t="str">
        <f t="shared" si="6"/>
        <v>PX385</v>
      </c>
      <c r="D46" t="str">
        <f t="shared" si="7"/>
        <v>INTERVAL_SUM</v>
      </c>
      <c r="E46" t="str">
        <f t="shared" si="5"/>
        <v>Dynamic</v>
      </c>
      <c r="F46">
        <f ca="1">IF(AND(ISNUMBER($F$84),$B$64=1),$F$84,HLOOKUP(INDIRECT(ADDRESS(2,COLUMN())),OFFSET($AT$2,0,0,ROW()-1,40),ROW()-1,FALSE))</f>
        <v>0</v>
      </c>
      <c r="G46">
        <f ca="1">IF(AND(ISNUMBER($G$84),$B$64=1),$G$84,HLOOKUP(INDIRECT(ADDRESS(2,COLUMN())),OFFSET($AT$2,0,0,ROW()-1,40),ROW()-1,FALSE))</f>
        <v>1</v>
      </c>
      <c r="H46">
        <f ca="1">IF(AND(ISNUMBER($H$84),$B$64=1),$H$84,HLOOKUP(INDIRECT(ADDRESS(2,COLUMN())),OFFSET($AT$2,0,0,ROW()-1,40),ROW()-1,FALSE))</f>
        <v>2</v>
      </c>
      <c r="I46">
        <f ca="1">IF(AND(ISNUMBER($I$84),$B$64=1),$I$84,HLOOKUP(INDIRECT(ADDRESS(2,COLUMN())),OFFSET($AT$2,0,0,ROW()-1,40),ROW()-1,FALSE))</f>
        <v>0</v>
      </c>
      <c r="J46">
        <f ca="1">IF(AND(ISNUMBER($J$84),$B$64=1),$J$84,HLOOKUP(INDIRECT(ADDRESS(2,COLUMN())),OFFSET($AT$2,0,0,ROW()-1,40),ROW()-1,FALSE))</f>
        <v>1</v>
      </c>
      <c r="K46">
        <f ca="1">IF(AND(ISNUMBER($K$84),$B$64=1),$K$84,HLOOKUP(INDIRECT(ADDRESS(2,COLUMN())),OFFSET($AT$2,0,0,ROW()-1,40),ROW()-1,FALSE))</f>
        <v>6</v>
      </c>
      <c r="L46">
        <f ca="1">IF(AND(ISNUMBER($L$84),$B$64=1),$L$84,HLOOKUP(INDIRECT(ADDRESS(2,COLUMN())),OFFSET($AT$2,0,0,ROW()-1,40),ROW()-1,FALSE))</f>
        <v>7</v>
      </c>
      <c r="M46">
        <f ca="1">IF(AND(ISNUMBER($M$84),$B$64=1),$M$84,HLOOKUP(INDIRECT(ADDRESS(2,COLUMN())),OFFSET($AT$2,0,0,ROW()-1,40),ROW()-1,FALSE))</f>
        <v>1</v>
      </c>
      <c r="N46">
        <f ca="1">IF(AND(ISNUMBER($N$84),$B$64=1),$N$84,HLOOKUP(INDIRECT(ADDRESS(2,COLUMN())),OFFSET($AT$2,0,0,ROW()-1,40),ROW()-1,FALSE))</f>
        <v>5</v>
      </c>
      <c r="O46">
        <f ca="1">IF(AND(ISNUMBER($O$84),$B$64=1),$O$84,HLOOKUP(INDIRECT(ADDRESS(2,COLUMN())),OFFSET($AT$2,0,0,ROW()-1,40),ROW()-1,FALSE))</f>
        <v>7</v>
      </c>
      <c r="P46">
        <f ca="1">IF(AND(ISNUMBER($P$84),$B$64=1),$P$84,HLOOKUP(INDIRECT(ADDRESS(2,COLUMN())),OFFSET($AT$2,0,0,ROW()-1,40),ROW()-1,FALSE))</f>
        <v>7</v>
      </c>
      <c r="Q46">
        <f ca="1">IF(AND(ISNUMBER($Q$84),$B$64=1),$Q$84,HLOOKUP(INDIRECT(ADDRESS(2,COLUMN())),OFFSET($AT$2,0,0,ROW()-1,40),ROW()-1,FALSE))</f>
        <v>6</v>
      </c>
      <c r="R46">
        <f ca="1">IF(AND(ISNUMBER($R$84),$B$64=1),$R$84,HLOOKUP(INDIRECT(ADDRESS(2,COLUMN())),OFFSET($AT$2,0,0,ROW()-1,40),ROW()-1,FALSE))</f>
        <v>7</v>
      </c>
      <c r="S46">
        <f ca="1">IF(AND(ISNUMBER($S$84),$B$64=1),$S$84,HLOOKUP(INDIRECT(ADDRESS(2,COLUMN())),OFFSET($AT$2,0,0,ROW()-1,40),ROW()-1,FALSE))</f>
        <v>1</v>
      </c>
      <c r="T46">
        <f ca="1">IF(AND(ISNUMBER($T$84),$B$64=1),$T$84,HLOOKUP(INDIRECT(ADDRESS(2,COLUMN())),OFFSET($AT$2,0,0,ROW()-1,40),ROW()-1,FALSE))</f>
        <v>1</v>
      </c>
      <c r="U46">
        <f ca="1">IF(AND(ISNUMBER($U$84),$B$64=1),$U$84,HLOOKUP(INDIRECT(ADDRESS(2,COLUMN())),OFFSET($AT$2,0,0,ROW()-1,40),ROW()-1,FALSE))</f>
        <v>2</v>
      </c>
      <c r="V46">
        <f ca="1">IF(AND(ISNUMBER($V$84),$B$64=1),$V$84,HLOOKUP(INDIRECT(ADDRESS(2,COLUMN())),OFFSET($AT$2,0,0,ROW()-1,40),ROW()-1,FALSE))</f>
        <v>0</v>
      </c>
      <c r="W46">
        <f ca="1">IF(AND(ISNUMBER($W$84),$B$64=1),$W$84,HLOOKUP(INDIRECT(ADDRESS(2,COLUMN())),OFFSET($AT$2,0,0,ROW()-1,40),ROW()-1,FALSE))</f>
        <v>1</v>
      </c>
      <c r="X46">
        <f ca="1">IF(AND(ISNUMBER($X$84),$B$64=1),$X$84,HLOOKUP(INDIRECT(ADDRESS(2,COLUMN())),OFFSET($AT$2,0,0,ROW()-1,40),ROW()-1,FALSE))</f>
        <v>9</v>
      </c>
      <c r="Y46">
        <f ca="1">IF(AND(ISNUMBER($Y$84),$B$64=1),$Y$84,HLOOKUP(INDIRECT(ADDRESS(2,COLUMN())),OFFSET($AT$2,0,0,ROW()-1,40),ROW()-1,FALSE))</f>
        <v>5</v>
      </c>
      <c r="Z46">
        <f ca="1">IF(AND(ISNUMBER($Z$84),$B$64=1),$Z$84,HLOOKUP(INDIRECT(ADDRESS(2,COLUMN())),OFFSET($AT$2,0,0,ROW()-1,40),ROW()-1,FALSE))</f>
        <v>2</v>
      </c>
      <c r="AA46">
        <f ca="1">IF(AND(ISNUMBER($AA$84),$B$64=1),$AA$84,HLOOKUP(INDIRECT(ADDRESS(2,COLUMN())),OFFSET($AT$2,0,0,ROW()-1,40),ROW()-1,FALSE))</f>
        <v>3</v>
      </c>
      <c r="AB46">
        <f ca="1">IF(AND(ISNUMBER($AB$84),$B$64=1),$AB$84,HLOOKUP(INDIRECT(ADDRESS(2,COLUMN())),OFFSET($AT$2,0,0,ROW()-1,40),ROW()-1,FALSE))</f>
        <v>4</v>
      </c>
      <c r="AC46">
        <f ca="1">IF(AND(ISNUMBER($AC$84),$B$64=1),$AC$84,HLOOKUP(INDIRECT(ADDRESS(2,COLUMN())),OFFSET($AT$2,0,0,ROW()-1,40),ROW()-1,FALSE))</f>
        <v>2</v>
      </c>
      <c r="AD46">
        <f ca="1">IF(AND(ISNUMBER($AD$84),$B$64=1),$AD$84,HLOOKUP(INDIRECT(ADDRESS(2,COLUMN())),OFFSET($AT$2,0,0,ROW()-1,40),ROW()-1,FALSE))</f>
        <v>1</v>
      </c>
      <c r="AE46">
        <f ca="1">IF(AND(ISNUMBER($AE$84),$B$64=1),$AE$84,HLOOKUP(INDIRECT(ADDRESS(2,COLUMN())),OFFSET($AT$2,0,0,ROW()-1,40),ROW()-1,FALSE))</f>
        <v>4</v>
      </c>
      <c r="AF46">
        <f ca="1">IF(AND(ISNUMBER($AF$84),$B$64=1),$AF$84,HLOOKUP(INDIRECT(ADDRESS(2,COLUMN())),OFFSET($AT$2,0,0,ROW()-1,40),ROW()-1,FALSE))</f>
        <v>2</v>
      </c>
      <c r="AG46">
        <f ca="1">IF(AND(ISNUMBER($AG$84),$B$64=1),$AG$84,HLOOKUP(INDIRECT(ADDRESS(2,COLUMN())),OFFSET($AT$2,0,0,ROW()-1,40),ROW()-1,FALSE))</f>
        <v>1</v>
      </c>
      <c r="AH46">
        <f ca="1">IF(AND(ISNUMBER($AH$84),$B$64=1),$AH$84,HLOOKUP(INDIRECT(ADDRESS(2,COLUMN())),OFFSET($AT$2,0,0,ROW()-1,40),ROW()-1,FALSE))</f>
        <v>5</v>
      </c>
      <c r="AI46">
        <f ca="1">IF(AND(ISNUMBER($AI$84),$B$64=1),$AI$84,HLOOKUP(INDIRECT(ADDRESS(2,COLUMN())),OFFSET($AT$2,0,0,ROW()-1,40),ROW()-1,FALSE))</f>
        <v>2</v>
      </c>
      <c r="AJ46">
        <f ca="1">IF(AND(ISNUMBER($AJ$84),$B$64=1),$AJ$84,HLOOKUP(INDIRECT(ADDRESS(2,COLUMN())),OFFSET($AT$2,0,0,ROW()-1,40),ROW()-1,FALSE))</f>
        <v>6</v>
      </c>
      <c r="AK46">
        <f ca="1">IF(AND(ISNUMBER($AK$84),$B$64=1),$AK$84,HLOOKUP(INDIRECT(ADDRESS(2,COLUMN())),OFFSET($AT$2,0,0,ROW()-1,40),ROW()-1,FALSE))</f>
        <v>5</v>
      </c>
      <c r="AL46">
        <f ca="1">IF(AND(ISNUMBER($AL$84),$B$64=1),$AL$84,HLOOKUP(INDIRECT(ADDRESS(2,COLUMN())),OFFSET($AT$2,0,0,ROW()-1,40),ROW()-1,FALSE))</f>
        <v>12</v>
      </c>
      <c r="AM46">
        <f ca="1">IF(AND(ISNUMBER($AM$84),$B$64=1),$AM$84,HLOOKUP(INDIRECT(ADDRESS(2,COLUMN())),OFFSET($AT$2,0,0,ROW()-1,40),ROW()-1,FALSE))</f>
        <v>8</v>
      </c>
      <c r="AN46">
        <f ca="1">IF(AND(ISNUMBER($AN$84),$B$64=1),$AN$84,HLOOKUP(INDIRECT(ADDRESS(2,COLUMN())),OFFSET($AT$2,0,0,ROW()-1,40),ROW()-1,FALSE))</f>
        <v>7</v>
      </c>
      <c r="AO46">
        <f ca="1">IF(AND(ISNUMBER($AO$84),$B$64=1),$AO$84,HLOOKUP(INDIRECT(ADDRESS(2,COLUMN())),OFFSET($AT$2,0,0,ROW()-1,40),ROW()-1,FALSE))</f>
        <v>7</v>
      </c>
      <c r="AP46">
        <f ca="1">IF(AND(ISNUMBER($AP$84),$B$64=1),$AP$84,HLOOKUP(INDIRECT(ADDRESS(2,COLUMN())),OFFSET($AT$2,0,0,ROW()-1,40),ROW()-1,FALSE))</f>
        <v>15</v>
      </c>
      <c r="AQ46">
        <f ca="1">IF(AND(ISNUMBER($AQ$84),$B$64=1),$AQ$84,HLOOKUP(INDIRECT(ADDRESS(2,COLUMN())),OFFSET($AT$2,0,0,ROW()-1,40),ROW()-1,FALSE))</f>
        <v>15</v>
      </c>
      <c r="AR46">
        <f ca="1">IF(AND(ISNUMBER($AR$84),$B$64=1),$AR$84,HLOOKUP(INDIRECT(ADDRESS(2,COLUMN())),OFFSET($AT$2,0,0,ROW()-1,40),ROW()-1,FALSE))</f>
        <v>28</v>
      </c>
      <c r="AS46">
        <f ca="1">IF(AND(ISNUMBER($AS$84),$B$64=1),$AS$84,HLOOKUP(INDIRECT(ADDRESS(2,COLUMN())),OFFSET($AT$2,0,0,ROW()-1,40),ROW()-1,FALSE))</f>
        <v>92</v>
      </c>
      <c r="AT46">
        <f>0</f>
        <v>0</v>
      </c>
      <c r="AU46">
        <f>1</f>
        <v>1</v>
      </c>
      <c r="AV46">
        <f>2</f>
        <v>2</v>
      </c>
      <c r="AW46">
        <f>0</f>
        <v>0</v>
      </c>
      <c r="AX46">
        <f>1</f>
        <v>1</v>
      </c>
      <c r="AY46">
        <f>6</f>
        <v>6</v>
      </c>
      <c r="AZ46">
        <f>7</f>
        <v>7</v>
      </c>
      <c r="BA46">
        <f>1</f>
        <v>1</v>
      </c>
      <c r="BB46">
        <f>5</f>
        <v>5</v>
      </c>
      <c r="BC46">
        <f>7</f>
        <v>7</v>
      </c>
      <c r="BD46">
        <f>7</f>
        <v>7</v>
      </c>
      <c r="BE46">
        <f>6</f>
        <v>6</v>
      </c>
      <c r="BF46">
        <f>7</f>
        <v>7</v>
      </c>
      <c r="BG46">
        <f>1</f>
        <v>1</v>
      </c>
      <c r="BH46">
        <f>1</f>
        <v>1</v>
      </c>
      <c r="BI46">
        <f>2</f>
        <v>2</v>
      </c>
      <c r="BJ46">
        <f>0</f>
        <v>0</v>
      </c>
      <c r="BK46">
        <f>1</f>
        <v>1</v>
      </c>
      <c r="BL46">
        <f>9</f>
        <v>9</v>
      </c>
      <c r="BM46">
        <f>5</f>
        <v>5</v>
      </c>
      <c r="BN46">
        <f>2</f>
        <v>2</v>
      </c>
      <c r="BO46">
        <f>3</f>
        <v>3</v>
      </c>
      <c r="BP46">
        <f>4</f>
        <v>4</v>
      </c>
      <c r="BQ46">
        <f>2</f>
        <v>2</v>
      </c>
      <c r="BR46">
        <f>1</f>
        <v>1</v>
      </c>
      <c r="BS46">
        <f>4</f>
        <v>4</v>
      </c>
      <c r="BT46">
        <f>2</f>
        <v>2</v>
      </c>
      <c r="BU46">
        <f>1</f>
        <v>1</v>
      </c>
      <c r="BV46">
        <f>5</f>
        <v>5</v>
      </c>
      <c r="BW46">
        <f>2</f>
        <v>2</v>
      </c>
      <c r="BX46">
        <f>6</f>
        <v>6</v>
      </c>
      <c r="BY46">
        <f>5</f>
        <v>5</v>
      </c>
      <c r="BZ46">
        <f>12</f>
        <v>12</v>
      </c>
      <c r="CA46">
        <f>8</f>
        <v>8</v>
      </c>
      <c r="CB46">
        <f>7</f>
        <v>7</v>
      </c>
      <c r="CC46">
        <f>7</f>
        <v>7</v>
      </c>
      <c r="CD46">
        <f>15</f>
        <v>15</v>
      </c>
      <c r="CE46">
        <f>15</f>
        <v>15</v>
      </c>
      <c r="CF46">
        <f>28</f>
        <v>28</v>
      </c>
      <c r="CG46">
        <f>92</f>
        <v>92</v>
      </c>
    </row>
    <row r="47" spans="1:85" x14ac:dyDescent="0.25">
      <c r="A47" t="str">
        <f>"    Agrale"</f>
        <v xml:space="preserve">    Agrale</v>
      </c>
      <c r="B47" t="str">
        <f>"BRTRSHAG Index"</f>
        <v>BRTRSHAG Index</v>
      </c>
      <c r="C47" t="str">
        <f t="shared" si="6"/>
        <v>PX385</v>
      </c>
      <c r="D47" t="str">
        <f t="shared" si="7"/>
        <v>INTERVAL_SUM</v>
      </c>
      <c r="E47" t="str">
        <f t="shared" si="5"/>
        <v>Dynamic</v>
      </c>
      <c r="F47">
        <f ca="1">IF(AND(ISNUMBER($F$85),$B$64=1),$F$85,HLOOKUP(INDIRECT(ADDRESS(2,COLUMN())),OFFSET($AT$2,0,0,ROW()-1,40),ROW()-1,FALSE))</f>
        <v>0</v>
      </c>
      <c r="G47">
        <f ca="1">IF(AND(ISNUMBER($G$85),$B$64=1),$G$85,HLOOKUP(INDIRECT(ADDRESS(2,COLUMN())),OFFSET($AT$2,0,0,ROW()-1,40),ROW()-1,FALSE))</f>
        <v>0</v>
      </c>
      <c r="H47">
        <f ca="1">IF(AND(ISNUMBER($H$85),$B$64=1),$H$85,HLOOKUP(INDIRECT(ADDRESS(2,COLUMN())),OFFSET($AT$2,0,0,ROW()-1,40),ROW()-1,FALSE))</f>
        <v>1</v>
      </c>
      <c r="I47">
        <f ca="1">IF(AND(ISNUMBER($I$85),$B$64=1),$I$85,HLOOKUP(INDIRECT(ADDRESS(2,COLUMN())),OFFSET($AT$2,0,0,ROW()-1,40),ROW()-1,FALSE))</f>
        <v>0</v>
      </c>
      <c r="J47">
        <f ca="1">IF(AND(ISNUMBER($J$85),$B$64=1),$J$85,HLOOKUP(INDIRECT(ADDRESS(2,COLUMN())),OFFSET($AT$2,0,0,ROW()-1,40),ROW()-1,FALSE))</f>
        <v>1</v>
      </c>
      <c r="K47">
        <f ca="1">IF(AND(ISNUMBER($K$85),$B$64=1),$K$85,HLOOKUP(INDIRECT(ADDRESS(2,COLUMN())),OFFSET($AT$2,0,0,ROW()-1,40),ROW()-1,FALSE))</f>
        <v>0</v>
      </c>
      <c r="L47">
        <f ca="1">IF(AND(ISNUMBER($L$85),$B$64=1),$L$85,HLOOKUP(INDIRECT(ADDRESS(2,COLUMN())),OFFSET($AT$2,0,0,ROW()-1,40),ROW()-1,FALSE))</f>
        <v>0</v>
      </c>
      <c r="M47">
        <f ca="1">IF(AND(ISNUMBER($M$85),$B$64=1),$M$85,HLOOKUP(INDIRECT(ADDRESS(2,COLUMN())),OFFSET($AT$2,0,0,ROW()-1,40),ROW()-1,FALSE))</f>
        <v>1</v>
      </c>
      <c r="N47">
        <f ca="1">IF(AND(ISNUMBER($N$85),$B$64=1),$N$85,HLOOKUP(INDIRECT(ADDRESS(2,COLUMN())),OFFSET($AT$2,0,0,ROW()-1,40),ROW()-1,FALSE))</f>
        <v>0</v>
      </c>
      <c r="O47">
        <f ca="1">IF(AND(ISNUMBER($O$85),$B$64=1),$O$85,HLOOKUP(INDIRECT(ADDRESS(2,COLUMN())),OFFSET($AT$2,0,0,ROW()-1,40),ROW()-1,FALSE))</f>
        <v>0</v>
      </c>
      <c r="P47">
        <f ca="1">IF(AND(ISNUMBER($P$85),$B$64=1),$P$85,HLOOKUP(INDIRECT(ADDRESS(2,COLUMN())),OFFSET($AT$2,0,0,ROW()-1,40),ROW()-1,FALSE))</f>
        <v>0</v>
      </c>
      <c r="Q47">
        <f ca="1">IF(AND(ISNUMBER($Q$85),$B$64=1),$Q$85,HLOOKUP(INDIRECT(ADDRESS(2,COLUMN())),OFFSET($AT$2,0,0,ROW()-1,40),ROW()-1,FALSE))</f>
        <v>0</v>
      </c>
      <c r="R47">
        <f ca="1">IF(AND(ISNUMBER($R$85),$B$64=1),$R$85,HLOOKUP(INDIRECT(ADDRESS(2,COLUMN())),OFFSET($AT$2,0,0,ROW()-1,40),ROW()-1,FALSE))</f>
        <v>0</v>
      </c>
      <c r="S47">
        <f ca="1">IF(AND(ISNUMBER($S$85),$B$64=1),$S$85,HLOOKUP(INDIRECT(ADDRESS(2,COLUMN())),OFFSET($AT$2,0,0,ROW()-1,40),ROW()-1,FALSE))</f>
        <v>0</v>
      </c>
      <c r="T47">
        <f ca="1">IF(AND(ISNUMBER($T$85),$B$64=1),$T$85,HLOOKUP(INDIRECT(ADDRESS(2,COLUMN())),OFFSET($AT$2,0,0,ROW()-1,40),ROW()-1,FALSE))</f>
        <v>0</v>
      </c>
      <c r="U47">
        <f ca="1">IF(AND(ISNUMBER($U$85),$B$64=1),$U$85,HLOOKUP(INDIRECT(ADDRESS(2,COLUMN())),OFFSET($AT$2,0,0,ROW()-1,40),ROW()-1,FALSE))</f>
        <v>0</v>
      </c>
      <c r="V47">
        <f ca="1">IF(AND(ISNUMBER($V$85),$B$64=1),$V$85,HLOOKUP(INDIRECT(ADDRESS(2,COLUMN())),OFFSET($AT$2,0,0,ROW()-1,40),ROW()-1,FALSE))</f>
        <v>0</v>
      </c>
      <c r="W47">
        <f ca="1">IF(AND(ISNUMBER($W$85),$B$64=1),$W$85,HLOOKUP(INDIRECT(ADDRESS(2,COLUMN())),OFFSET($AT$2,0,0,ROW()-1,40),ROW()-1,FALSE))</f>
        <v>0</v>
      </c>
      <c r="X47">
        <f ca="1">IF(AND(ISNUMBER($X$85),$B$64=1),$X$85,HLOOKUP(INDIRECT(ADDRESS(2,COLUMN())),OFFSET($AT$2,0,0,ROW()-1,40),ROW()-1,FALSE))</f>
        <v>0</v>
      </c>
      <c r="Y47">
        <f ca="1">IF(AND(ISNUMBER($Y$85),$B$64=1),$Y$85,HLOOKUP(INDIRECT(ADDRESS(2,COLUMN())),OFFSET($AT$2,0,0,ROW()-1,40),ROW()-1,FALSE))</f>
        <v>1</v>
      </c>
      <c r="Z47">
        <f ca="1">IF(AND(ISNUMBER($Z$85),$B$64=1),$Z$85,HLOOKUP(INDIRECT(ADDRESS(2,COLUMN())),OFFSET($AT$2,0,0,ROW()-1,40),ROW()-1,FALSE))</f>
        <v>1</v>
      </c>
      <c r="AA47">
        <f ca="1">IF(AND(ISNUMBER($AA$85),$B$64=1),$AA$85,HLOOKUP(INDIRECT(ADDRESS(2,COLUMN())),OFFSET($AT$2,0,0,ROW()-1,40),ROW()-1,FALSE))</f>
        <v>2</v>
      </c>
      <c r="AB47">
        <f ca="1">IF(AND(ISNUMBER($AB$85),$B$64=1),$AB$85,HLOOKUP(INDIRECT(ADDRESS(2,COLUMN())),OFFSET($AT$2,0,0,ROW()-1,40),ROW()-1,FALSE))</f>
        <v>2</v>
      </c>
      <c r="AC47">
        <f ca="1">IF(AND(ISNUMBER($AC$85),$B$64=1),$AC$85,HLOOKUP(INDIRECT(ADDRESS(2,COLUMN())),OFFSET($AT$2,0,0,ROW()-1,40),ROW()-1,FALSE))</f>
        <v>0</v>
      </c>
      <c r="AD47">
        <f ca="1">IF(AND(ISNUMBER($AD$85),$B$64=1),$AD$85,HLOOKUP(INDIRECT(ADDRESS(2,COLUMN())),OFFSET($AT$2,0,0,ROW()-1,40),ROW()-1,FALSE))</f>
        <v>0</v>
      </c>
      <c r="AE47">
        <f ca="1">IF(AND(ISNUMBER($AE$85),$B$64=1),$AE$85,HLOOKUP(INDIRECT(ADDRESS(2,COLUMN())),OFFSET($AT$2,0,0,ROW()-1,40),ROW()-1,FALSE))</f>
        <v>1</v>
      </c>
      <c r="AF47">
        <f ca="1">IF(AND(ISNUMBER($AF$85),$B$64=1),$AF$85,HLOOKUP(INDIRECT(ADDRESS(2,COLUMN())),OFFSET($AT$2,0,0,ROW()-1,40),ROW()-1,FALSE))</f>
        <v>3</v>
      </c>
      <c r="AG47">
        <f ca="1">IF(AND(ISNUMBER($AG$85),$B$64=1),$AG$85,HLOOKUP(INDIRECT(ADDRESS(2,COLUMN())),OFFSET($AT$2,0,0,ROW()-1,40),ROW()-1,FALSE))</f>
        <v>0</v>
      </c>
      <c r="AH47">
        <f ca="1">IF(AND(ISNUMBER($AH$85),$B$64=1),$AH$85,HLOOKUP(INDIRECT(ADDRESS(2,COLUMN())),OFFSET($AT$2,0,0,ROW()-1,40),ROW()-1,FALSE))</f>
        <v>1</v>
      </c>
      <c r="AI47">
        <f ca="1">IF(AND(ISNUMBER($AI$85),$B$64=1),$AI$85,HLOOKUP(INDIRECT(ADDRESS(2,COLUMN())),OFFSET($AT$2,0,0,ROW()-1,40),ROW()-1,FALSE))</f>
        <v>2</v>
      </c>
      <c r="AJ47">
        <f ca="1">IF(AND(ISNUMBER($AJ$85),$B$64=1),$AJ$85,HLOOKUP(INDIRECT(ADDRESS(2,COLUMN())),OFFSET($AT$2,0,0,ROW()-1,40),ROW()-1,FALSE))</f>
        <v>1</v>
      </c>
      <c r="AK47">
        <f ca="1">IF(AND(ISNUMBER($AK$85),$B$64=1),$AK$85,HLOOKUP(INDIRECT(ADDRESS(2,COLUMN())),OFFSET($AT$2,0,0,ROW()-1,40),ROW()-1,FALSE))</f>
        <v>3</v>
      </c>
      <c r="AL47">
        <f ca="1">IF(AND(ISNUMBER($AL$85),$B$64=1),$AL$85,HLOOKUP(INDIRECT(ADDRESS(2,COLUMN())),OFFSET($AT$2,0,0,ROW()-1,40),ROW()-1,FALSE))</f>
        <v>2</v>
      </c>
      <c r="AM47">
        <f ca="1">IF(AND(ISNUMBER($AM$85),$B$64=1),$AM$85,HLOOKUP(INDIRECT(ADDRESS(2,COLUMN())),OFFSET($AT$2,0,0,ROW()-1,40),ROW()-1,FALSE))</f>
        <v>2</v>
      </c>
      <c r="AN47">
        <f ca="1">IF(AND(ISNUMBER($AN$85),$B$64=1),$AN$85,HLOOKUP(INDIRECT(ADDRESS(2,COLUMN())),OFFSET($AT$2,0,0,ROW()-1,40),ROW()-1,FALSE))</f>
        <v>0</v>
      </c>
      <c r="AO47">
        <f ca="1">IF(AND(ISNUMBER($AO$85),$B$64=1),$AO$85,HLOOKUP(INDIRECT(ADDRESS(2,COLUMN())),OFFSET($AT$2,0,0,ROW()-1,40),ROW()-1,FALSE))</f>
        <v>5</v>
      </c>
      <c r="AP47">
        <f ca="1">IF(AND(ISNUMBER($AP$85),$B$64=1),$AP$85,HLOOKUP(INDIRECT(ADDRESS(2,COLUMN())),OFFSET($AT$2,0,0,ROW()-1,40),ROW()-1,FALSE))</f>
        <v>3</v>
      </c>
      <c r="AQ47">
        <f ca="1">IF(AND(ISNUMBER($AQ$85),$B$64=1),$AQ$85,HLOOKUP(INDIRECT(ADDRESS(2,COLUMN())),OFFSET($AT$2,0,0,ROW()-1,40),ROW()-1,FALSE))</f>
        <v>3</v>
      </c>
      <c r="AR47">
        <f ca="1">IF(AND(ISNUMBER($AR$85),$B$64=1),$AR$85,HLOOKUP(INDIRECT(ADDRESS(2,COLUMN())),OFFSET($AT$2,0,0,ROW()-1,40),ROW()-1,FALSE))</f>
        <v>4</v>
      </c>
      <c r="AS47">
        <f ca="1">IF(AND(ISNUMBER($AS$85),$B$64=1),$AS$85,HLOOKUP(INDIRECT(ADDRESS(2,COLUMN())),OFFSET($AT$2,0,0,ROW()-1,40),ROW()-1,FALSE))</f>
        <v>6</v>
      </c>
      <c r="AT47">
        <f>0</f>
        <v>0</v>
      </c>
      <c r="AU47">
        <f>0</f>
        <v>0</v>
      </c>
      <c r="AV47">
        <f>1</f>
        <v>1</v>
      </c>
      <c r="AW47">
        <f>0</f>
        <v>0</v>
      </c>
      <c r="AX47">
        <f>1</f>
        <v>1</v>
      </c>
      <c r="AY47">
        <f>0</f>
        <v>0</v>
      </c>
      <c r="AZ47">
        <f>0</f>
        <v>0</v>
      </c>
      <c r="BA47">
        <f>1</f>
        <v>1</v>
      </c>
      <c r="BB47">
        <f>0</f>
        <v>0</v>
      </c>
      <c r="BC47">
        <f>0</f>
        <v>0</v>
      </c>
      <c r="BD47">
        <f>0</f>
        <v>0</v>
      </c>
      <c r="BE47">
        <f>0</f>
        <v>0</v>
      </c>
      <c r="BF47">
        <f>0</f>
        <v>0</v>
      </c>
      <c r="BG47">
        <f>0</f>
        <v>0</v>
      </c>
      <c r="BH47">
        <f>0</f>
        <v>0</v>
      </c>
      <c r="BI47">
        <f>0</f>
        <v>0</v>
      </c>
      <c r="BJ47">
        <f>0</f>
        <v>0</v>
      </c>
      <c r="BK47">
        <f>0</f>
        <v>0</v>
      </c>
      <c r="BL47">
        <f>0</f>
        <v>0</v>
      </c>
      <c r="BM47">
        <f>1</f>
        <v>1</v>
      </c>
      <c r="BN47">
        <f>1</f>
        <v>1</v>
      </c>
      <c r="BO47">
        <f>2</f>
        <v>2</v>
      </c>
      <c r="BP47">
        <f>2</f>
        <v>2</v>
      </c>
      <c r="BQ47">
        <f>0</f>
        <v>0</v>
      </c>
      <c r="BR47">
        <f>0</f>
        <v>0</v>
      </c>
      <c r="BS47">
        <f>1</f>
        <v>1</v>
      </c>
      <c r="BT47">
        <f>3</f>
        <v>3</v>
      </c>
      <c r="BU47">
        <f>0</f>
        <v>0</v>
      </c>
      <c r="BV47">
        <f>1</f>
        <v>1</v>
      </c>
      <c r="BW47">
        <f>2</f>
        <v>2</v>
      </c>
      <c r="BX47">
        <f>1</f>
        <v>1</v>
      </c>
      <c r="BY47">
        <f>3</f>
        <v>3</v>
      </c>
      <c r="BZ47">
        <f>2</f>
        <v>2</v>
      </c>
      <c r="CA47">
        <f>2</f>
        <v>2</v>
      </c>
      <c r="CB47">
        <f>0</f>
        <v>0</v>
      </c>
      <c r="CC47">
        <f>5</f>
        <v>5</v>
      </c>
      <c r="CD47">
        <f>3</f>
        <v>3</v>
      </c>
      <c r="CE47">
        <f>3</f>
        <v>3</v>
      </c>
      <c r="CF47">
        <f>4</f>
        <v>4</v>
      </c>
      <c r="CG47">
        <f>6</f>
        <v>6</v>
      </c>
    </row>
    <row r="48" spans="1:85" x14ac:dyDescent="0.25">
      <c r="A48" t="str">
        <f>"    Other"</f>
        <v xml:space="preserve">    Other</v>
      </c>
      <c r="B48" t="str">
        <f>"BRTRSHOT Index"</f>
        <v>BRTRSHOT Index</v>
      </c>
      <c r="E48" t="str">
        <f>"Expression"</f>
        <v>Expression</v>
      </c>
      <c r="F48">
        <f ca="1">IF(AND($B$64=1,LEN($F$39) * LEN($F$40) * LEN($F$41) * LEN($F$42) * LEN($F$43) * LEN($F$44) * LEN($F$45) * LEN($F$46) * LEN($F$47)&gt;0),$F$39-$F$40-$F$41-$F$42-$F$43-$F$44-$F$45-$F$46-$F$47,HLOOKUP(INDIRECT(ADDRESS(2,COLUMN())),OFFSET($AT$2,0,0,ROW()-1,40),ROW()-1,FALSE))</f>
        <v>0</v>
      </c>
      <c r="G48">
        <f ca="1">IF(AND($B$64=1,LEN($G$39) * LEN($G$40) * LEN($G$41) * LEN($G$42) * LEN($G$43) * LEN($G$44) * LEN($G$45) * LEN($G$46) * LEN($G$47)&gt;0),$G$39-$G$40-$G$41-$G$42-$G$43-$G$44-$G$45-$G$46-$G$47,HLOOKUP(INDIRECT(ADDRESS(2,COLUMN())),OFFSET($AT$2,0,0,ROW()-1,40),ROW()-1,FALSE))</f>
        <v>1</v>
      </c>
      <c r="H48">
        <f ca="1">IF(AND($B$64=1,LEN($H$39) * LEN($H$40) * LEN($H$41) * LEN($H$42) * LEN($H$43) * LEN($H$44) * LEN($H$45) * LEN($H$46) * LEN($H$47)&gt;0),$H$39-$H$40-$H$41-$H$42-$H$43-$H$44-$H$45-$H$46-$H$47,HLOOKUP(INDIRECT(ADDRESS(2,COLUMN())),OFFSET($AT$2,0,0,ROW()-1,40),ROW()-1,FALSE))</f>
        <v>0</v>
      </c>
      <c r="I48">
        <f ca="1">IF(AND($B$64=1,LEN($I$39) * LEN($I$40) * LEN($I$41) * LEN($I$42) * LEN($I$43) * LEN($I$44) * LEN($I$45) * LEN($I$46) * LEN($I$47)&gt;0),$I$39-$I$40-$I$41-$I$42-$I$43-$I$44-$I$45-$I$46-$I$47,HLOOKUP(INDIRECT(ADDRESS(2,COLUMN())),OFFSET($AT$2,0,0,ROW()-1,40),ROW()-1,FALSE))</f>
        <v>0</v>
      </c>
      <c r="J48">
        <f ca="1">IF(AND($B$64=1,LEN($J$39) * LEN($J$40) * LEN($J$41) * LEN($J$42) * LEN($J$43) * LEN($J$44) * LEN($J$45) * LEN($J$46) * LEN($J$47)&gt;0),$J$39-$J$40-$J$41-$J$42-$J$43-$J$44-$J$45-$J$46-$J$47,HLOOKUP(INDIRECT(ADDRESS(2,COLUMN())),OFFSET($AT$2,0,0,ROW()-1,40),ROW()-1,FALSE))</f>
        <v>0</v>
      </c>
      <c r="K48">
        <f ca="1">IF(AND($B$64=1,LEN($K$39) * LEN($K$40) * LEN($K$41) * LEN($K$42) * LEN($K$43) * LEN($K$44) * LEN($K$45) * LEN($K$46) * LEN($K$47)&gt;0),$K$39-$K$40-$K$41-$K$42-$K$43-$K$44-$K$45-$K$46-$K$47,HLOOKUP(INDIRECT(ADDRESS(2,COLUMN())),OFFSET($AT$2,0,0,ROW()-1,40),ROW()-1,FALSE))</f>
        <v>0</v>
      </c>
      <c r="L48">
        <f ca="1">IF(AND($B$64=1,LEN($L$39) * LEN($L$40) * LEN($L$41) * LEN($L$42) * LEN($L$43) * LEN($L$44) * LEN($L$45) * LEN($L$46) * LEN($L$47)&gt;0),$L$39-$L$40-$L$41-$L$42-$L$43-$L$44-$L$45-$L$46-$L$47,HLOOKUP(INDIRECT(ADDRESS(2,COLUMN())),OFFSET($AT$2,0,0,ROW()-1,40),ROW()-1,FALSE))</f>
        <v>0</v>
      </c>
      <c r="M48">
        <f ca="1">IF(AND($B$64=1,LEN($M$39) * LEN($M$40) * LEN($M$41) * LEN($M$42) * LEN($M$43) * LEN($M$44) * LEN($M$45) * LEN($M$46) * LEN($M$47)&gt;0),$M$39-$M$40-$M$41-$M$42-$M$43-$M$44-$M$45-$M$46-$M$47,HLOOKUP(INDIRECT(ADDRESS(2,COLUMN())),OFFSET($AT$2,0,0,ROW()-1,40),ROW()-1,FALSE))</f>
        <v>1</v>
      </c>
      <c r="N48">
        <f ca="1">IF(AND($B$64=1,LEN($N$39) * LEN($N$40) * LEN($N$41) * LEN($N$42) * LEN($N$43) * LEN($N$44) * LEN($N$45) * LEN($N$46) * LEN($N$47)&gt;0),$N$39-$N$40-$N$41-$N$42-$N$43-$N$44-$N$45-$N$46-$N$47,HLOOKUP(INDIRECT(ADDRESS(2,COLUMN())),OFFSET($AT$2,0,0,ROW()-1,40),ROW()-1,FALSE))</f>
        <v>0</v>
      </c>
      <c r="O48">
        <f ca="1">IF(AND($B$64=1,LEN($O$39) * LEN($O$40) * LEN($O$41) * LEN($O$42) * LEN($O$43) * LEN($O$44) * LEN($O$45) * LEN($O$46) * LEN($O$47)&gt;0),$O$39-$O$40-$O$41-$O$42-$O$43-$O$44-$O$45-$O$46-$O$47,HLOOKUP(INDIRECT(ADDRESS(2,COLUMN())),OFFSET($AT$2,0,0,ROW()-1,40),ROW()-1,FALSE))</f>
        <v>0</v>
      </c>
      <c r="P48">
        <f ca="1">IF(AND($B$64=1,LEN($P$39) * LEN($P$40) * LEN($P$41) * LEN($P$42) * LEN($P$43) * LEN($P$44) * LEN($P$45) * LEN($P$46) * LEN($P$47)&gt;0),$P$39-$P$40-$P$41-$P$42-$P$43-$P$44-$P$45-$P$46-$P$47,HLOOKUP(INDIRECT(ADDRESS(2,COLUMN())),OFFSET($AT$2,0,0,ROW()-1,40),ROW()-1,FALSE))</f>
        <v>0</v>
      </c>
      <c r="Q48">
        <f ca="1">IF(AND($B$64=1,LEN($Q$39) * LEN($Q$40) * LEN($Q$41) * LEN($Q$42) * LEN($Q$43) * LEN($Q$44) * LEN($Q$45) * LEN($Q$46) * LEN($Q$47)&gt;0),$Q$39-$Q$40-$Q$41-$Q$42-$Q$43-$Q$44-$Q$45-$Q$46-$Q$47,HLOOKUP(INDIRECT(ADDRESS(2,COLUMN())),OFFSET($AT$2,0,0,ROW()-1,40),ROW()-1,FALSE))</f>
        <v>0</v>
      </c>
      <c r="R48">
        <f ca="1">IF(AND($B$64=1,LEN($R$39) * LEN($R$40) * LEN($R$41) * LEN($R$42) * LEN($R$43) * LEN($R$44) * LEN($R$45) * LEN($R$46) * LEN($R$47)&gt;0),$R$39-$R$40-$R$41-$R$42-$R$43-$R$44-$R$45-$R$46-$R$47,HLOOKUP(INDIRECT(ADDRESS(2,COLUMN())),OFFSET($AT$2,0,0,ROW()-1,40),ROW()-1,FALSE))</f>
        <v>1</v>
      </c>
      <c r="S48">
        <f ca="1">IF(AND($B$64=1,LEN($S$39) * LEN($S$40) * LEN($S$41) * LEN($S$42) * LEN($S$43) * LEN($S$44) * LEN($S$45) * LEN($S$46) * LEN($S$47)&gt;0),$S$39-$S$40-$S$41-$S$42-$S$43-$S$44-$S$45-$S$46-$S$47,HLOOKUP(INDIRECT(ADDRESS(2,COLUMN())),OFFSET($AT$2,0,0,ROW()-1,40),ROW()-1,FALSE))</f>
        <v>0</v>
      </c>
      <c r="T48">
        <f ca="1">IF(AND($B$64=1,LEN($T$39) * LEN($T$40) * LEN($T$41) * LEN($T$42) * LEN($T$43) * LEN($T$44) * LEN($T$45) * LEN($T$46) * LEN($T$47)&gt;0),$T$39-$T$40-$T$41-$T$42-$T$43-$T$44-$T$45-$T$46-$T$47,HLOOKUP(INDIRECT(ADDRESS(2,COLUMN())),OFFSET($AT$2,0,0,ROW()-1,40),ROW()-1,FALSE))</f>
        <v>0</v>
      </c>
      <c r="U48">
        <f ca="1">IF(AND($B$64=1,LEN($U$39) * LEN($U$40) * LEN($U$41) * LEN($U$42) * LEN($U$43) * LEN($U$44) * LEN($U$45) * LEN($U$46) * LEN($U$47)&gt;0),$U$39-$U$40-$U$41-$U$42-$U$43-$U$44-$U$45-$U$46-$U$47,HLOOKUP(INDIRECT(ADDRESS(2,COLUMN())),OFFSET($AT$2,0,0,ROW()-1,40),ROW()-1,FALSE))</f>
        <v>0</v>
      </c>
      <c r="V48">
        <f ca="1">IF(AND($B$64=1,LEN($V$39) * LEN($V$40) * LEN($V$41) * LEN($V$42) * LEN($V$43) * LEN($V$44) * LEN($V$45) * LEN($V$46) * LEN($V$47)&gt;0),$V$39-$V$40-$V$41-$V$42-$V$43-$V$44-$V$45-$V$46-$V$47,HLOOKUP(INDIRECT(ADDRESS(2,COLUMN())),OFFSET($AT$2,0,0,ROW()-1,40),ROW()-1,FALSE))</f>
        <v>0</v>
      </c>
      <c r="W48">
        <f ca="1">IF(AND($B$64=1,LEN($W$39) * LEN($W$40) * LEN($W$41) * LEN($W$42) * LEN($W$43) * LEN($W$44) * LEN($W$45) * LEN($W$46) * LEN($W$47)&gt;0),$W$39-$W$40-$W$41-$W$42-$W$43-$W$44-$W$45-$W$46-$W$47,HLOOKUP(INDIRECT(ADDRESS(2,COLUMN())),OFFSET($AT$2,0,0,ROW()-1,40),ROW()-1,FALSE))</f>
        <v>0</v>
      </c>
      <c r="X48">
        <f ca="1">IF(AND($B$64=1,LEN($X$39) * LEN($X$40) * LEN($X$41) * LEN($X$42) * LEN($X$43) * LEN($X$44) * LEN($X$45) * LEN($X$46) * LEN($X$47)&gt;0),$X$39-$X$40-$X$41-$X$42-$X$43-$X$44-$X$45-$X$46-$X$47,HLOOKUP(INDIRECT(ADDRESS(2,COLUMN())),OFFSET($AT$2,0,0,ROW()-1,40),ROW()-1,FALSE))</f>
        <v>0</v>
      </c>
      <c r="Y48">
        <f ca="1">IF(AND($B$64=1,LEN($Y$39) * LEN($Y$40) * LEN($Y$41) * LEN($Y$42) * LEN($Y$43) * LEN($Y$44) * LEN($Y$45) * LEN($Y$46) * LEN($Y$47)&gt;0),$Y$39-$Y$40-$Y$41-$Y$42-$Y$43-$Y$44-$Y$45-$Y$46-$Y$47,HLOOKUP(INDIRECT(ADDRESS(2,COLUMN())),OFFSET($AT$2,0,0,ROW()-1,40),ROW()-1,FALSE))</f>
        <v>0</v>
      </c>
      <c r="Z48">
        <f ca="1">IF(AND($B$64=1,LEN($Z$39) * LEN($Z$40) * LEN($Z$41) * LEN($Z$42) * LEN($Z$43) * LEN($Z$44) * LEN($Z$45) * LEN($Z$46) * LEN($Z$47)&gt;0),$Z$39-$Z$40-$Z$41-$Z$42-$Z$43-$Z$44-$Z$45-$Z$46-$Z$47,HLOOKUP(INDIRECT(ADDRESS(2,COLUMN())),OFFSET($AT$2,0,0,ROW()-1,40),ROW()-1,FALSE))</f>
        <v>0</v>
      </c>
      <c r="AA48">
        <f ca="1">IF(AND($B$64=1,LEN($AA$39) * LEN($AA$40) * LEN($AA$41) * LEN($AA$42) * LEN($AA$43) * LEN($AA$44) * LEN($AA$45) * LEN($AA$46) * LEN($AA$47)&gt;0),$AA$39-$AA$40-$AA$41-$AA$42-$AA$43-$AA$44-$AA$45-$AA$46-$AA$47,HLOOKUP(INDIRECT(ADDRESS(2,COLUMN())),OFFSET($AT$2,0,0,ROW()-1,40),ROW()-1,FALSE))</f>
        <v>0</v>
      </c>
      <c r="AB48">
        <f ca="1">IF(AND($B$64=1,LEN($AB$39) * LEN($AB$40) * LEN($AB$41) * LEN($AB$42) * LEN($AB$43) * LEN($AB$44) * LEN($AB$45) * LEN($AB$46) * LEN($AB$47)&gt;0),$AB$39-$AB$40-$AB$41-$AB$42-$AB$43-$AB$44-$AB$45-$AB$46-$AB$47,HLOOKUP(INDIRECT(ADDRESS(2,COLUMN())),OFFSET($AT$2,0,0,ROW()-1,40),ROW()-1,FALSE))</f>
        <v>1</v>
      </c>
      <c r="AC48">
        <f ca="1">IF(AND($B$64=1,LEN($AC$39) * LEN($AC$40) * LEN($AC$41) * LEN($AC$42) * LEN($AC$43) * LEN($AC$44) * LEN($AC$45) * LEN($AC$46) * LEN($AC$47)&gt;0),$AC$39-$AC$40-$AC$41-$AC$42-$AC$43-$AC$44-$AC$45-$AC$46-$AC$47,HLOOKUP(INDIRECT(ADDRESS(2,COLUMN())),OFFSET($AT$2,0,0,ROW()-1,40),ROW()-1,FALSE))</f>
        <v>0</v>
      </c>
      <c r="AD48">
        <f ca="1">IF(AND($B$64=1,LEN($AD$39) * LEN($AD$40) * LEN($AD$41) * LEN($AD$42) * LEN($AD$43) * LEN($AD$44) * LEN($AD$45) * LEN($AD$46) * LEN($AD$47)&gt;0),$AD$39-$AD$40-$AD$41-$AD$42-$AD$43-$AD$44-$AD$45-$AD$46-$AD$47,HLOOKUP(INDIRECT(ADDRESS(2,COLUMN())),OFFSET($AT$2,0,0,ROW()-1,40),ROW()-1,FALSE))</f>
        <v>0</v>
      </c>
      <c r="AE48">
        <f ca="1">IF(AND($B$64=1,LEN($AE$39) * LEN($AE$40) * LEN($AE$41) * LEN($AE$42) * LEN($AE$43) * LEN($AE$44) * LEN($AE$45) * LEN($AE$46) * LEN($AE$47)&gt;0),$AE$39-$AE$40-$AE$41-$AE$42-$AE$43-$AE$44-$AE$45-$AE$46-$AE$47,HLOOKUP(INDIRECT(ADDRESS(2,COLUMN())),OFFSET($AT$2,0,0,ROW()-1,40),ROW()-1,FALSE))</f>
        <v>0</v>
      </c>
      <c r="AF48">
        <f ca="1">IF(AND($B$64=1,LEN($AF$39) * LEN($AF$40) * LEN($AF$41) * LEN($AF$42) * LEN($AF$43) * LEN($AF$44) * LEN($AF$45) * LEN($AF$46) * LEN($AF$47)&gt;0),$AF$39-$AF$40-$AF$41-$AF$42-$AF$43-$AF$44-$AF$45-$AF$46-$AF$47,HLOOKUP(INDIRECT(ADDRESS(2,COLUMN())),OFFSET($AT$2,0,0,ROW()-1,40),ROW()-1,FALSE))</f>
        <v>1</v>
      </c>
      <c r="AG48">
        <f ca="1">IF(AND($B$64=1,LEN($AG$39) * LEN($AG$40) * LEN($AG$41) * LEN($AG$42) * LEN($AG$43) * LEN($AG$44) * LEN($AG$45) * LEN($AG$46) * LEN($AG$47)&gt;0),$AG$39-$AG$40-$AG$41-$AG$42-$AG$43-$AG$44-$AG$45-$AG$46-$AG$47,HLOOKUP(INDIRECT(ADDRESS(2,COLUMN())),OFFSET($AT$2,0,0,ROW()-1,40),ROW()-1,FALSE))</f>
        <v>21</v>
      </c>
      <c r="AH48">
        <f ca="1">IF(AND($B$64=1,LEN($AH$39) * LEN($AH$40) * LEN($AH$41) * LEN($AH$42) * LEN($AH$43) * LEN($AH$44) * LEN($AH$45) * LEN($AH$46) * LEN($AH$47)&gt;0),$AH$39-$AH$40-$AH$41-$AH$42-$AH$43-$AH$44-$AH$45-$AH$46-$AH$47,HLOOKUP(INDIRECT(ADDRESS(2,COLUMN())),OFFSET($AT$2,0,0,ROW()-1,40),ROW()-1,FALSE))</f>
        <v>0</v>
      </c>
      <c r="AI48">
        <f ca="1">IF(AND($B$64=1,LEN($AI$39) * LEN($AI$40) * LEN($AI$41) * LEN($AI$42) * LEN($AI$43) * LEN($AI$44) * LEN($AI$45) * LEN($AI$46) * LEN($AI$47)&gt;0),$AI$39-$AI$40-$AI$41-$AI$42-$AI$43-$AI$44-$AI$45-$AI$46-$AI$47,HLOOKUP(INDIRECT(ADDRESS(2,COLUMN())),OFFSET($AT$2,0,0,ROW()-1,40),ROW()-1,FALSE))</f>
        <v>0</v>
      </c>
      <c r="AJ48">
        <f ca="1">IF(AND($B$64=1,LEN($AJ$39) * LEN($AJ$40) * LEN($AJ$41) * LEN($AJ$42) * LEN($AJ$43) * LEN($AJ$44) * LEN($AJ$45) * LEN($AJ$46) * LEN($AJ$47)&gt;0),$AJ$39-$AJ$40-$AJ$41-$AJ$42-$AJ$43-$AJ$44-$AJ$45-$AJ$46-$AJ$47,HLOOKUP(INDIRECT(ADDRESS(2,COLUMN())),OFFSET($AT$2,0,0,ROW()-1,40),ROW()-1,FALSE))</f>
        <v>0</v>
      </c>
      <c r="AK48">
        <f ca="1">IF(AND($B$64=1,LEN($AK$39) * LEN($AK$40) * LEN($AK$41) * LEN($AK$42) * LEN($AK$43) * LEN($AK$44) * LEN($AK$45) * LEN($AK$46) * LEN($AK$47)&gt;0),$AK$39-$AK$40-$AK$41-$AK$42-$AK$43-$AK$44-$AK$45-$AK$46-$AK$47,HLOOKUP(INDIRECT(ADDRESS(2,COLUMN())),OFFSET($AT$2,0,0,ROW()-1,40),ROW()-1,FALSE))</f>
        <v>0</v>
      </c>
      <c r="AL48">
        <f ca="1">IF(AND($B$64=1,LEN($AL$39) * LEN($AL$40) * LEN($AL$41) * LEN($AL$42) * LEN($AL$43) * LEN($AL$44) * LEN($AL$45) * LEN($AL$46) * LEN($AL$47)&gt;0),$AL$39-$AL$40-$AL$41-$AL$42-$AL$43-$AL$44-$AL$45-$AL$46-$AL$47,HLOOKUP(INDIRECT(ADDRESS(2,COLUMN())),OFFSET($AT$2,0,0,ROW()-1,40),ROW()-1,FALSE))</f>
        <v>0</v>
      </c>
      <c r="AM48">
        <f ca="1">IF(AND($B$64=1,LEN($AM$39) * LEN($AM$40) * LEN($AM$41) * LEN($AM$42) * LEN($AM$43) * LEN($AM$44) * LEN($AM$45) * LEN($AM$46) * LEN($AM$47)&gt;0),$AM$39-$AM$40-$AM$41-$AM$42-$AM$43-$AM$44-$AM$45-$AM$46-$AM$47,HLOOKUP(INDIRECT(ADDRESS(2,COLUMN())),OFFSET($AT$2,0,0,ROW()-1,40),ROW()-1,FALSE))</f>
        <v>0</v>
      </c>
      <c r="AN48">
        <f ca="1">IF(AND($B$64=1,LEN($AN$39) * LEN($AN$40) * LEN($AN$41) * LEN($AN$42) * LEN($AN$43) * LEN($AN$44) * LEN($AN$45) * LEN($AN$46) * LEN($AN$47)&gt;0),$AN$39-$AN$40-$AN$41-$AN$42-$AN$43-$AN$44-$AN$45-$AN$46-$AN$47,HLOOKUP(INDIRECT(ADDRESS(2,COLUMN())),OFFSET($AT$2,0,0,ROW()-1,40),ROW()-1,FALSE))</f>
        <v>1</v>
      </c>
      <c r="AO48">
        <f ca="1">IF(AND($B$64=1,LEN($AO$39) * LEN($AO$40) * LEN($AO$41) * LEN($AO$42) * LEN($AO$43) * LEN($AO$44) * LEN($AO$45) * LEN($AO$46) * LEN($AO$47)&gt;0),$AO$39-$AO$40-$AO$41-$AO$42-$AO$43-$AO$44-$AO$45-$AO$46-$AO$47,HLOOKUP(INDIRECT(ADDRESS(2,COLUMN())),OFFSET($AT$2,0,0,ROW()-1,40),ROW()-1,FALSE))</f>
        <v>1</v>
      </c>
      <c r="AP48">
        <f ca="1">IF(AND($B$64=1,LEN($AP$39) * LEN($AP$40) * LEN($AP$41) * LEN($AP$42) * LEN($AP$43) * LEN($AP$44) * LEN($AP$45) * LEN($AP$46) * LEN($AP$47)&gt;0),$AP$39-$AP$40-$AP$41-$AP$42-$AP$43-$AP$44-$AP$45-$AP$46-$AP$47,HLOOKUP(INDIRECT(ADDRESS(2,COLUMN())),OFFSET($AT$2,0,0,ROW()-1,40),ROW()-1,FALSE))</f>
        <v>1</v>
      </c>
      <c r="AQ48">
        <f ca="1">IF(AND($B$64=1,LEN($AQ$39) * LEN($AQ$40) * LEN($AQ$41) * LEN($AQ$42) * LEN($AQ$43) * LEN($AQ$44) * LEN($AQ$45) * LEN($AQ$46) * LEN($AQ$47)&gt;0),$AQ$39-$AQ$40-$AQ$41-$AQ$42-$AQ$43-$AQ$44-$AQ$45-$AQ$46-$AQ$47,HLOOKUP(INDIRECT(ADDRESS(2,COLUMN())),OFFSET($AT$2,0,0,ROW()-1,40),ROW()-1,FALSE))</f>
        <v>0</v>
      </c>
      <c r="AR48">
        <f ca="1">IF(AND($B$64=1,LEN($AR$39) * LEN($AR$40) * LEN($AR$41) * LEN($AR$42) * LEN($AR$43) * LEN($AR$44) * LEN($AR$45) * LEN($AR$46) * LEN($AR$47)&gt;0),$AR$39-$AR$40-$AR$41-$AR$42-$AR$43-$AR$44-$AR$45-$AR$46-$AR$47,HLOOKUP(INDIRECT(ADDRESS(2,COLUMN())),OFFSET($AT$2,0,0,ROW()-1,40),ROW()-1,FALSE))</f>
        <v>1</v>
      </c>
      <c r="AS48">
        <f ca="1">IF(AND($B$64=1,LEN($AS$39) * LEN($AS$40) * LEN($AS$41) * LEN($AS$42) * LEN($AS$43) * LEN($AS$44) * LEN($AS$45) * LEN($AS$46) * LEN($AS$47)&gt;0),$AS$39-$AS$40-$AS$41-$AS$42-$AS$43-$AS$44-$AS$45-$AS$46-$AS$47,HLOOKUP(INDIRECT(ADDRESS(2,COLUMN())),OFFSET($AT$2,0,0,ROW()-1,40),ROW()-1,FALSE))</f>
        <v>1</v>
      </c>
      <c r="AT48">
        <f>0</f>
        <v>0</v>
      </c>
      <c r="AU48">
        <f>1</f>
        <v>1</v>
      </c>
      <c r="AV48">
        <f>0</f>
        <v>0</v>
      </c>
      <c r="AW48">
        <f>0</f>
        <v>0</v>
      </c>
      <c r="AX48">
        <f>0</f>
        <v>0</v>
      </c>
      <c r="AY48">
        <f>0</f>
        <v>0</v>
      </c>
      <c r="AZ48">
        <f>0</f>
        <v>0</v>
      </c>
      <c r="BA48">
        <f>1</f>
        <v>1</v>
      </c>
      <c r="BB48">
        <f>0</f>
        <v>0</v>
      </c>
      <c r="BC48">
        <f>0</f>
        <v>0</v>
      </c>
      <c r="BD48">
        <f>0</f>
        <v>0</v>
      </c>
      <c r="BE48">
        <f>0</f>
        <v>0</v>
      </c>
      <c r="BF48">
        <f>1</f>
        <v>1</v>
      </c>
      <c r="BG48">
        <f>0</f>
        <v>0</v>
      </c>
      <c r="BH48">
        <f>0</f>
        <v>0</v>
      </c>
      <c r="BI48">
        <f>0</f>
        <v>0</v>
      </c>
      <c r="BJ48">
        <f>0</f>
        <v>0</v>
      </c>
      <c r="BK48">
        <f>0</f>
        <v>0</v>
      </c>
      <c r="BL48">
        <f>0</f>
        <v>0</v>
      </c>
      <c r="BM48">
        <f>0</f>
        <v>0</v>
      </c>
      <c r="BN48">
        <f>0</f>
        <v>0</v>
      </c>
      <c r="BO48">
        <f>0</f>
        <v>0</v>
      </c>
      <c r="BP48">
        <f>1</f>
        <v>1</v>
      </c>
      <c r="BQ48">
        <f>0</f>
        <v>0</v>
      </c>
      <c r="BR48">
        <f>0</f>
        <v>0</v>
      </c>
      <c r="BS48">
        <f>0</f>
        <v>0</v>
      </c>
      <c r="BT48">
        <f>1</f>
        <v>1</v>
      </c>
      <c r="BU48">
        <f>21</f>
        <v>21</v>
      </c>
      <c r="BV48">
        <f>0</f>
        <v>0</v>
      </c>
      <c r="BW48">
        <f>0</f>
        <v>0</v>
      </c>
      <c r="BX48">
        <f>0</f>
        <v>0</v>
      </c>
      <c r="BY48">
        <f>0</f>
        <v>0</v>
      </c>
      <c r="BZ48">
        <f>0</f>
        <v>0</v>
      </c>
      <c r="CA48">
        <f>0</f>
        <v>0</v>
      </c>
      <c r="CB48">
        <f>1</f>
        <v>1</v>
      </c>
      <c r="CC48">
        <f>1</f>
        <v>1</v>
      </c>
      <c r="CD48">
        <f>1</f>
        <v>1</v>
      </c>
      <c r="CE48">
        <f>0</f>
        <v>0</v>
      </c>
      <c r="CF48">
        <f>1</f>
        <v>1</v>
      </c>
      <c r="CG48">
        <f>1</f>
        <v>1</v>
      </c>
    </row>
    <row r="49" spans="1:85" x14ac:dyDescent="0.25">
      <c r="AT49" t="str">
        <f>""</f>
        <v/>
      </c>
      <c r="AU49" t="str">
        <f>""</f>
        <v/>
      </c>
      <c r="AV49" t="str">
        <f>""</f>
        <v/>
      </c>
      <c r="AW49" t="str">
        <f>""</f>
        <v/>
      </c>
      <c r="AX49" t="str">
        <f>""</f>
        <v/>
      </c>
      <c r="AY49" t="str">
        <f>""</f>
        <v/>
      </c>
      <c r="AZ49" t="str">
        <f>""</f>
        <v/>
      </c>
      <c r="BA49" t="str">
        <f>""</f>
        <v/>
      </c>
      <c r="BB49" t="str">
        <f>""</f>
        <v/>
      </c>
      <c r="BC49" t="str">
        <f>""</f>
        <v/>
      </c>
      <c r="BD49" t="str">
        <f>""</f>
        <v/>
      </c>
      <c r="BE49" t="str">
        <f>""</f>
        <v/>
      </c>
      <c r="BF49" t="str">
        <f>""</f>
        <v/>
      </c>
      <c r="BG49" t="str">
        <f>""</f>
        <v/>
      </c>
      <c r="BH49" t="str">
        <f>""</f>
        <v/>
      </c>
      <c r="BI49" t="str">
        <f>""</f>
        <v/>
      </c>
      <c r="BJ49" t="str">
        <f>""</f>
        <v/>
      </c>
      <c r="BK49" t="str">
        <f>""</f>
        <v/>
      </c>
      <c r="BL49" t="str">
        <f>""</f>
        <v/>
      </c>
      <c r="BM49" t="str">
        <f>""</f>
        <v/>
      </c>
      <c r="BN49" t="str">
        <f>""</f>
        <v/>
      </c>
      <c r="BO49" t="str">
        <f>""</f>
        <v/>
      </c>
      <c r="BP49" t="str">
        <f>""</f>
        <v/>
      </c>
      <c r="BQ49" t="str">
        <f>""</f>
        <v/>
      </c>
      <c r="BR49" t="str">
        <f>""</f>
        <v/>
      </c>
      <c r="BS49" t="str">
        <f>""</f>
        <v/>
      </c>
      <c r="BT49" t="str">
        <f>""</f>
        <v/>
      </c>
      <c r="BU49" t="str">
        <f>""</f>
        <v/>
      </c>
      <c r="BV49" t="str">
        <f>""</f>
        <v/>
      </c>
      <c r="BW49" t="str">
        <f>""</f>
        <v/>
      </c>
      <c r="BX49" t="str">
        <f>""</f>
        <v/>
      </c>
      <c r="BY49" t="str">
        <f>""</f>
        <v/>
      </c>
      <c r="BZ49" t="str">
        <f>""</f>
        <v/>
      </c>
      <c r="CA49" t="str">
        <f>""</f>
        <v/>
      </c>
      <c r="CB49" t="str">
        <f>""</f>
        <v/>
      </c>
      <c r="CC49" t="str">
        <f>""</f>
        <v/>
      </c>
      <c r="CD49" t="str">
        <f>""</f>
        <v/>
      </c>
      <c r="CE49" t="str">
        <f>""</f>
        <v/>
      </c>
      <c r="CF49" t="str">
        <f>""</f>
        <v/>
      </c>
      <c r="CG49" t="str">
        <f>""</f>
        <v/>
      </c>
    </row>
    <row r="50" spans="1:85" x14ac:dyDescent="0.25">
      <c r="AT50" t="str">
        <f>""</f>
        <v/>
      </c>
      <c r="AU50" t="str">
        <f>""</f>
        <v/>
      </c>
      <c r="AV50" t="str">
        <f>""</f>
        <v/>
      </c>
      <c r="AW50" t="str">
        <f>""</f>
        <v/>
      </c>
      <c r="AX50" t="str">
        <f>""</f>
        <v/>
      </c>
      <c r="AY50" t="str">
        <f>""</f>
        <v/>
      </c>
      <c r="AZ50" t="str">
        <f>""</f>
        <v/>
      </c>
      <c r="BA50" t="str">
        <f>""</f>
        <v/>
      </c>
      <c r="BB50" t="str">
        <f>""</f>
        <v/>
      </c>
      <c r="BC50" t="str">
        <f>""</f>
        <v/>
      </c>
      <c r="BD50" t="str">
        <f>""</f>
        <v/>
      </c>
      <c r="BE50" t="str">
        <f>""</f>
        <v/>
      </c>
      <c r="BF50" t="str">
        <f>""</f>
        <v/>
      </c>
      <c r="BG50" t="str">
        <f>""</f>
        <v/>
      </c>
      <c r="BH50" t="str">
        <f>""</f>
        <v/>
      </c>
      <c r="BI50" t="str">
        <f>""</f>
        <v/>
      </c>
      <c r="BJ50" t="str">
        <f>""</f>
        <v/>
      </c>
      <c r="BK50" t="str">
        <f>""</f>
        <v/>
      </c>
      <c r="BL50" t="str">
        <f>""</f>
        <v/>
      </c>
      <c r="BM50" t="str">
        <f>""</f>
        <v/>
      </c>
      <c r="BN50" t="str">
        <f>""</f>
        <v/>
      </c>
      <c r="BO50" t="str">
        <f>""</f>
        <v/>
      </c>
      <c r="BP50" t="str">
        <f>""</f>
        <v/>
      </c>
      <c r="BQ50" t="str">
        <f>""</f>
        <v/>
      </c>
      <c r="BR50" t="str">
        <f>""</f>
        <v/>
      </c>
      <c r="BS50" t="str">
        <f>""</f>
        <v/>
      </c>
      <c r="BT50" t="str">
        <f>""</f>
        <v/>
      </c>
      <c r="BU50" t="str">
        <f>""</f>
        <v/>
      </c>
      <c r="BV50" t="str">
        <f>""</f>
        <v/>
      </c>
      <c r="BW50" t="str">
        <f>""</f>
        <v/>
      </c>
      <c r="BX50" t="str">
        <f>""</f>
        <v/>
      </c>
      <c r="BY50" t="str">
        <f>""</f>
        <v/>
      </c>
      <c r="BZ50" t="str">
        <f>""</f>
        <v/>
      </c>
      <c r="CA50" t="str">
        <f>""</f>
        <v/>
      </c>
      <c r="CB50" t="str">
        <f>""</f>
        <v/>
      </c>
      <c r="CC50" t="str">
        <f>""</f>
        <v/>
      </c>
      <c r="CD50" t="str">
        <f>""</f>
        <v/>
      </c>
      <c r="CE50" t="str">
        <f>""</f>
        <v/>
      </c>
      <c r="CF50" t="str">
        <f>""</f>
        <v/>
      </c>
      <c r="CG50" t="str">
        <f>""</f>
        <v/>
      </c>
    </row>
    <row r="51" spans="1:85" x14ac:dyDescent="0.25">
      <c r="AT51" t="str">
        <f>""</f>
        <v/>
      </c>
      <c r="AU51" t="str">
        <f>""</f>
        <v/>
      </c>
      <c r="AV51" t="str">
        <f>""</f>
        <v/>
      </c>
      <c r="AW51" t="str">
        <f>""</f>
        <v/>
      </c>
      <c r="AX51" t="str">
        <f>""</f>
        <v/>
      </c>
      <c r="AY51" t="str">
        <f>""</f>
        <v/>
      </c>
      <c r="AZ51" t="str">
        <f>""</f>
        <v/>
      </c>
      <c r="BA51" t="str">
        <f>""</f>
        <v/>
      </c>
      <c r="BB51" t="str">
        <f>""</f>
        <v/>
      </c>
      <c r="BC51" t="str">
        <f>""</f>
        <v/>
      </c>
      <c r="BD51" t="str">
        <f>""</f>
        <v/>
      </c>
      <c r="BE51" t="str">
        <f>""</f>
        <v/>
      </c>
      <c r="BF51" t="str">
        <f>""</f>
        <v/>
      </c>
      <c r="BG51" t="str">
        <f>""</f>
        <v/>
      </c>
      <c r="BH51" t="str">
        <f>""</f>
        <v/>
      </c>
      <c r="BI51" t="str">
        <f>""</f>
        <v/>
      </c>
      <c r="BJ51" t="str">
        <f>""</f>
        <v/>
      </c>
      <c r="BK51" t="str">
        <f>""</f>
        <v/>
      </c>
      <c r="BL51" t="str">
        <f>""</f>
        <v/>
      </c>
      <c r="BM51" t="str">
        <f>""</f>
        <v/>
      </c>
      <c r="BN51" t="str">
        <f>""</f>
        <v/>
      </c>
      <c r="BO51" t="str">
        <f>""</f>
        <v/>
      </c>
      <c r="BP51" t="str">
        <f>""</f>
        <v/>
      </c>
      <c r="BQ51" t="str">
        <f>""</f>
        <v/>
      </c>
      <c r="BR51" t="str">
        <f>""</f>
        <v/>
      </c>
      <c r="BS51" t="str">
        <f>""</f>
        <v/>
      </c>
      <c r="BT51" t="str">
        <f>""</f>
        <v/>
      </c>
      <c r="BU51" t="str">
        <f>""</f>
        <v/>
      </c>
      <c r="BV51" t="str">
        <f>""</f>
        <v/>
      </c>
      <c r="BW51" t="str">
        <f>""</f>
        <v/>
      </c>
      <c r="BX51" t="str">
        <f>""</f>
        <v/>
      </c>
      <c r="BY51" t="str">
        <f>""</f>
        <v/>
      </c>
      <c r="BZ51" t="str">
        <f>""</f>
        <v/>
      </c>
      <c r="CA51" t="str">
        <f>""</f>
        <v/>
      </c>
      <c r="CB51" t="str">
        <f>""</f>
        <v/>
      </c>
      <c r="CC51" t="str">
        <f>""</f>
        <v/>
      </c>
      <c r="CD51" t="str">
        <f>""</f>
        <v/>
      </c>
      <c r="CE51" t="str">
        <f>""</f>
        <v/>
      </c>
      <c r="CF51" t="str">
        <f>""</f>
        <v/>
      </c>
      <c r="CG51" t="str">
        <f>""</f>
        <v/>
      </c>
    </row>
    <row r="52" spans="1:85" x14ac:dyDescent="0.25">
      <c r="AT52" t="str">
        <f>""</f>
        <v/>
      </c>
      <c r="AU52" t="str">
        <f>""</f>
        <v/>
      </c>
      <c r="AV52" t="str">
        <f>""</f>
        <v/>
      </c>
      <c r="AW52" t="str">
        <f>""</f>
        <v/>
      </c>
      <c r="AX52" t="str">
        <f>""</f>
        <v/>
      </c>
      <c r="AY52" t="str">
        <f>""</f>
        <v/>
      </c>
      <c r="AZ52" t="str">
        <f>""</f>
        <v/>
      </c>
      <c r="BA52" t="str">
        <f>""</f>
        <v/>
      </c>
      <c r="BB52" t="str">
        <f>""</f>
        <v/>
      </c>
      <c r="BC52" t="str">
        <f>""</f>
        <v/>
      </c>
      <c r="BD52" t="str">
        <f>""</f>
        <v/>
      </c>
      <c r="BE52" t="str">
        <f>""</f>
        <v/>
      </c>
      <c r="BF52" t="str">
        <f>""</f>
        <v/>
      </c>
      <c r="BG52" t="str">
        <f>""</f>
        <v/>
      </c>
      <c r="BH52" t="str">
        <f>""</f>
        <v/>
      </c>
      <c r="BI52" t="str">
        <f>""</f>
        <v/>
      </c>
      <c r="BJ52" t="str">
        <f>""</f>
        <v/>
      </c>
      <c r="BK52" t="str">
        <f>""</f>
        <v/>
      </c>
      <c r="BL52" t="str">
        <f>""</f>
        <v/>
      </c>
      <c r="BM52" t="str">
        <f>""</f>
        <v/>
      </c>
      <c r="BN52" t="str">
        <f>""</f>
        <v/>
      </c>
      <c r="BO52" t="str">
        <f>""</f>
        <v/>
      </c>
      <c r="BP52" t="str">
        <f>""</f>
        <v/>
      </c>
      <c r="BQ52" t="str">
        <f>""</f>
        <v/>
      </c>
      <c r="BR52" t="str">
        <f>""</f>
        <v/>
      </c>
      <c r="BS52" t="str">
        <f>""</f>
        <v/>
      </c>
      <c r="BT52" t="str">
        <f>""</f>
        <v/>
      </c>
      <c r="BU52" t="str">
        <f>""</f>
        <v/>
      </c>
      <c r="BV52" t="str">
        <f>""</f>
        <v/>
      </c>
      <c r="BW52" t="str">
        <f>""</f>
        <v/>
      </c>
      <c r="BX52" t="str">
        <f>""</f>
        <v/>
      </c>
      <c r="BY52" t="str">
        <f>""</f>
        <v/>
      </c>
      <c r="BZ52" t="str">
        <f>""</f>
        <v/>
      </c>
      <c r="CA52" t="str">
        <f>""</f>
        <v/>
      </c>
      <c r="CB52" t="str">
        <f>""</f>
        <v/>
      </c>
      <c r="CC52" t="str">
        <f>""</f>
        <v/>
      </c>
      <c r="CD52" t="str">
        <f>""</f>
        <v/>
      </c>
      <c r="CE52" t="str">
        <f>""</f>
        <v/>
      </c>
      <c r="CF52" t="str">
        <f>""</f>
        <v/>
      </c>
      <c r="CG52" t="str">
        <f>""</f>
        <v/>
      </c>
    </row>
    <row r="53" spans="1:85" x14ac:dyDescent="0.25">
      <c r="AT53" t="str">
        <f>""</f>
        <v/>
      </c>
      <c r="AU53" t="str">
        <f>""</f>
        <v/>
      </c>
      <c r="AV53" t="str">
        <f>""</f>
        <v/>
      </c>
      <c r="AW53" t="str">
        <f>""</f>
        <v/>
      </c>
      <c r="AX53" t="str">
        <f>""</f>
        <v/>
      </c>
      <c r="AY53" t="str">
        <f>""</f>
        <v/>
      </c>
      <c r="AZ53" t="str">
        <f>""</f>
        <v/>
      </c>
      <c r="BA53" t="str">
        <f>""</f>
        <v/>
      </c>
      <c r="BB53" t="str">
        <f>""</f>
        <v/>
      </c>
      <c r="BC53" t="str">
        <f>""</f>
        <v/>
      </c>
      <c r="BD53" t="str">
        <f>""</f>
        <v/>
      </c>
      <c r="BE53" t="str">
        <f>""</f>
        <v/>
      </c>
      <c r="BF53" t="str">
        <f>""</f>
        <v/>
      </c>
      <c r="BG53" t="str">
        <f>""</f>
        <v/>
      </c>
      <c r="BH53" t="str">
        <f>""</f>
        <v/>
      </c>
      <c r="BI53" t="str">
        <f>""</f>
        <v/>
      </c>
      <c r="BJ53" t="str">
        <f>""</f>
        <v/>
      </c>
      <c r="BK53" t="str">
        <f>""</f>
        <v/>
      </c>
      <c r="BL53" t="str">
        <f>""</f>
        <v/>
      </c>
      <c r="BM53" t="str">
        <f>""</f>
        <v/>
      </c>
      <c r="BN53" t="str">
        <f>""</f>
        <v/>
      </c>
      <c r="BO53" t="str">
        <f>""</f>
        <v/>
      </c>
      <c r="BP53" t="str">
        <f>""</f>
        <v/>
      </c>
      <c r="BQ53" t="str">
        <f>""</f>
        <v/>
      </c>
      <c r="BR53" t="str">
        <f>""</f>
        <v/>
      </c>
      <c r="BS53" t="str">
        <f>""</f>
        <v/>
      </c>
      <c r="BT53" t="str">
        <f>""</f>
        <v/>
      </c>
      <c r="BU53" t="str">
        <f>""</f>
        <v/>
      </c>
      <c r="BV53" t="str">
        <f>""</f>
        <v/>
      </c>
      <c r="BW53" t="str">
        <f>""</f>
        <v/>
      </c>
      <c r="BX53" t="str">
        <f>""</f>
        <v/>
      </c>
      <c r="BY53" t="str">
        <f>""</f>
        <v/>
      </c>
      <c r="BZ53" t="str">
        <f>""</f>
        <v/>
      </c>
      <c r="CA53" t="str">
        <f>""</f>
        <v/>
      </c>
      <c r="CB53" t="str">
        <f>""</f>
        <v/>
      </c>
      <c r="CC53" t="str">
        <f>""</f>
        <v/>
      </c>
      <c r="CD53" t="str">
        <f>""</f>
        <v/>
      </c>
      <c r="CE53" t="str">
        <f>""</f>
        <v/>
      </c>
      <c r="CF53" t="str">
        <f>""</f>
        <v/>
      </c>
      <c r="CG53" t="str">
        <f>""</f>
        <v/>
      </c>
    </row>
    <row r="54" spans="1:85" x14ac:dyDescent="0.25">
      <c r="AT54" t="str">
        <f>""</f>
        <v/>
      </c>
      <c r="AU54" t="str">
        <f>""</f>
        <v/>
      </c>
      <c r="AV54" t="str">
        <f>""</f>
        <v/>
      </c>
      <c r="AW54" t="str">
        <f>""</f>
        <v/>
      </c>
      <c r="AX54" t="str">
        <f>""</f>
        <v/>
      </c>
      <c r="AY54" t="str">
        <f>""</f>
        <v/>
      </c>
      <c r="AZ54" t="str">
        <f>""</f>
        <v/>
      </c>
      <c r="BA54" t="str">
        <f>""</f>
        <v/>
      </c>
      <c r="BB54" t="str">
        <f>""</f>
        <v/>
      </c>
      <c r="BC54" t="str">
        <f>""</f>
        <v/>
      </c>
      <c r="BD54" t="str">
        <f>""</f>
        <v/>
      </c>
      <c r="BE54" t="str">
        <f>""</f>
        <v/>
      </c>
      <c r="BF54" t="str">
        <f>""</f>
        <v/>
      </c>
      <c r="BG54" t="str">
        <f>""</f>
        <v/>
      </c>
      <c r="BH54" t="str">
        <f>""</f>
        <v/>
      </c>
      <c r="BI54" t="str">
        <f>""</f>
        <v/>
      </c>
      <c r="BJ54" t="str">
        <f>""</f>
        <v/>
      </c>
      <c r="BK54" t="str">
        <f>""</f>
        <v/>
      </c>
      <c r="BL54" t="str">
        <f>""</f>
        <v/>
      </c>
      <c r="BM54" t="str">
        <f>""</f>
        <v/>
      </c>
      <c r="BN54" t="str">
        <f>""</f>
        <v/>
      </c>
      <c r="BO54" t="str">
        <f>""</f>
        <v/>
      </c>
      <c r="BP54" t="str">
        <f>""</f>
        <v/>
      </c>
      <c r="BQ54" t="str">
        <f>""</f>
        <v/>
      </c>
      <c r="BR54" t="str">
        <f>""</f>
        <v/>
      </c>
      <c r="BS54" t="str">
        <f>""</f>
        <v/>
      </c>
      <c r="BT54" t="str">
        <f>""</f>
        <v/>
      </c>
      <c r="BU54" t="str">
        <f>""</f>
        <v/>
      </c>
      <c r="BV54" t="str">
        <f>""</f>
        <v/>
      </c>
      <c r="BW54" t="str">
        <f>""</f>
        <v/>
      </c>
      <c r="BX54" t="str">
        <f>""</f>
        <v/>
      </c>
      <c r="BY54" t="str">
        <f>""</f>
        <v/>
      </c>
      <c r="BZ54" t="str">
        <f>""</f>
        <v/>
      </c>
      <c r="CA54" t="str">
        <f>""</f>
        <v/>
      </c>
      <c r="CB54" t="str">
        <f>""</f>
        <v/>
      </c>
      <c r="CC54" t="str">
        <f>""</f>
        <v/>
      </c>
      <c r="CD54" t="str">
        <f>""</f>
        <v/>
      </c>
      <c r="CE54" t="str">
        <f>""</f>
        <v/>
      </c>
      <c r="CF54" t="str">
        <f>""</f>
        <v/>
      </c>
      <c r="CG54" t="str">
        <f>""</f>
        <v/>
      </c>
    </row>
    <row r="55" spans="1:85" x14ac:dyDescent="0.25">
      <c r="AT55" t="str">
        <f>""</f>
        <v/>
      </c>
      <c r="AU55" t="str">
        <f>""</f>
        <v/>
      </c>
      <c r="AV55" t="str">
        <f>""</f>
        <v/>
      </c>
      <c r="AW55" t="str">
        <f>""</f>
        <v/>
      </c>
      <c r="AX55" t="str">
        <f>""</f>
        <v/>
      </c>
      <c r="AY55" t="str">
        <f>""</f>
        <v/>
      </c>
      <c r="AZ55" t="str">
        <f>""</f>
        <v/>
      </c>
      <c r="BA55" t="str">
        <f>""</f>
        <v/>
      </c>
      <c r="BB55" t="str">
        <f>""</f>
        <v/>
      </c>
      <c r="BC55" t="str">
        <f>""</f>
        <v/>
      </c>
      <c r="BD55" t="str">
        <f>""</f>
        <v/>
      </c>
      <c r="BE55" t="str">
        <f>""</f>
        <v/>
      </c>
      <c r="BF55" t="str">
        <f>""</f>
        <v/>
      </c>
      <c r="BG55" t="str">
        <f>""</f>
        <v/>
      </c>
      <c r="BH55" t="str">
        <f>""</f>
        <v/>
      </c>
      <c r="BI55" t="str">
        <f>""</f>
        <v/>
      </c>
      <c r="BJ55" t="str">
        <f>""</f>
        <v/>
      </c>
      <c r="BK55" t="str">
        <f>""</f>
        <v/>
      </c>
      <c r="BL55" t="str">
        <f>""</f>
        <v/>
      </c>
      <c r="BM55" t="str">
        <f>""</f>
        <v/>
      </c>
      <c r="BN55" t="str">
        <f>""</f>
        <v/>
      </c>
      <c r="BO55" t="str">
        <f>""</f>
        <v/>
      </c>
      <c r="BP55" t="str">
        <f>""</f>
        <v/>
      </c>
      <c r="BQ55" t="str">
        <f>""</f>
        <v/>
      </c>
      <c r="BR55" t="str">
        <f>""</f>
        <v/>
      </c>
      <c r="BS55" t="str">
        <f>""</f>
        <v/>
      </c>
      <c r="BT55" t="str">
        <f>""</f>
        <v/>
      </c>
      <c r="BU55" t="str">
        <f>""</f>
        <v/>
      </c>
      <c r="BV55" t="str">
        <f>""</f>
        <v/>
      </c>
      <c r="BW55" t="str">
        <f>""</f>
        <v/>
      </c>
      <c r="BX55" t="str">
        <f>""</f>
        <v/>
      </c>
      <c r="BY55" t="str">
        <f>""</f>
        <v/>
      </c>
      <c r="BZ55" t="str">
        <f>""</f>
        <v/>
      </c>
      <c r="CA55" t="str">
        <f>""</f>
        <v/>
      </c>
      <c r="CB55" t="str">
        <f>""</f>
        <v/>
      </c>
      <c r="CC55" t="str">
        <f>""</f>
        <v/>
      </c>
      <c r="CD55" t="str">
        <f>""</f>
        <v/>
      </c>
      <c r="CE55" t="str">
        <f>""</f>
        <v/>
      </c>
      <c r="CF55" t="str">
        <f>""</f>
        <v/>
      </c>
      <c r="CG55" t="str">
        <f>""</f>
        <v/>
      </c>
    </row>
    <row r="56" spans="1:85" x14ac:dyDescent="0.25">
      <c r="A56" t="str">
        <f t="shared" ref="A56:AS56" si="8">"~~~~~~~~~~"</f>
        <v>~~~~~~~~~~</v>
      </c>
      <c r="B56" t="str">
        <f t="shared" si="8"/>
        <v>~~~~~~~~~~</v>
      </c>
      <c r="C56" t="str">
        <f t="shared" si="8"/>
        <v>~~~~~~~~~~</v>
      </c>
      <c r="D56" t="str">
        <f t="shared" si="8"/>
        <v>~~~~~~~~~~</v>
      </c>
      <c r="E56" t="str">
        <f t="shared" si="8"/>
        <v>~~~~~~~~~~</v>
      </c>
      <c r="F56" t="str">
        <f t="shared" si="8"/>
        <v>~~~~~~~~~~</v>
      </c>
      <c r="G56" t="str">
        <f t="shared" si="8"/>
        <v>~~~~~~~~~~</v>
      </c>
      <c r="H56" t="str">
        <f t="shared" si="8"/>
        <v>~~~~~~~~~~</v>
      </c>
      <c r="I56" t="str">
        <f t="shared" si="8"/>
        <v>~~~~~~~~~~</v>
      </c>
      <c r="J56" t="str">
        <f t="shared" si="8"/>
        <v>~~~~~~~~~~</v>
      </c>
      <c r="K56" t="str">
        <f t="shared" si="8"/>
        <v>~~~~~~~~~~</v>
      </c>
      <c r="L56" t="str">
        <f t="shared" si="8"/>
        <v>~~~~~~~~~~</v>
      </c>
      <c r="M56" t="str">
        <f t="shared" si="8"/>
        <v>~~~~~~~~~~</v>
      </c>
      <c r="N56" t="str">
        <f t="shared" si="8"/>
        <v>~~~~~~~~~~</v>
      </c>
      <c r="O56" t="str">
        <f t="shared" si="8"/>
        <v>~~~~~~~~~~</v>
      </c>
      <c r="P56" t="str">
        <f t="shared" si="8"/>
        <v>~~~~~~~~~~</v>
      </c>
      <c r="Q56" t="str">
        <f t="shared" si="8"/>
        <v>~~~~~~~~~~</v>
      </c>
      <c r="R56" t="str">
        <f t="shared" si="8"/>
        <v>~~~~~~~~~~</v>
      </c>
      <c r="S56" t="str">
        <f t="shared" si="8"/>
        <v>~~~~~~~~~~</v>
      </c>
      <c r="T56" t="str">
        <f t="shared" si="8"/>
        <v>~~~~~~~~~~</v>
      </c>
      <c r="U56" t="str">
        <f t="shared" si="8"/>
        <v>~~~~~~~~~~</v>
      </c>
      <c r="V56" t="str">
        <f t="shared" si="8"/>
        <v>~~~~~~~~~~</v>
      </c>
      <c r="W56" t="str">
        <f t="shared" si="8"/>
        <v>~~~~~~~~~~</v>
      </c>
      <c r="X56" t="str">
        <f t="shared" si="8"/>
        <v>~~~~~~~~~~</v>
      </c>
      <c r="Y56" t="str">
        <f t="shared" si="8"/>
        <v>~~~~~~~~~~</v>
      </c>
      <c r="Z56" t="str">
        <f t="shared" si="8"/>
        <v>~~~~~~~~~~</v>
      </c>
      <c r="AA56" t="str">
        <f t="shared" si="8"/>
        <v>~~~~~~~~~~</v>
      </c>
      <c r="AB56" t="str">
        <f t="shared" si="8"/>
        <v>~~~~~~~~~~</v>
      </c>
      <c r="AC56" t="str">
        <f t="shared" si="8"/>
        <v>~~~~~~~~~~</v>
      </c>
      <c r="AD56" t="str">
        <f t="shared" si="8"/>
        <v>~~~~~~~~~~</v>
      </c>
      <c r="AE56" t="str">
        <f t="shared" si="8"/>
        <v>~~~~~~~~~~</v>
      </c>
      <c r="AF56" t="str">
        <f t="shared" si="8"/>
        <v>~~~~~~~~~~</v>
      </c>
      <c r="AG56" t="str">
        <f t="shared" si="8"/>
        <v>~~~~~~~~~~</v>
      </c>
      <c r="AH56" t="str">
        <f t="shared" si="8"/>
        <v>~~~~~~~~~~</v>
      </c>
      <c r="AI56" t="str">
        <f t="shared" si="8"/>
        <v>~~~~~~~~~~</v>
      </c>
      <c r="AJ56" t="str">
        <f t="shared" si="8"/>
        <v>~~~~~~~~~~</v>
      </c>
      <c r="AK56" t="str">
        <f t="shared" si="8"/>
        <v>~~~~~~~~~~</v>
      </c>
      <c r="AL56" t="str">
        <f t="shared" si="8"/>
        <v>~~~~~~~~~~</v>
      </c>
      <c r="AM56" t="str">
        <f t="shared" si="8"/>
        <v>~~~~~~~~~~</v>
      </c>
      <c r="AN56" t="str">
        <f t="shared" si="8"/>
        <v>~~~~~~~~~~</v>
      </c>
      <c r="AO56" t="str">
        <f t="shared" si="8"/>
        <v>~~~~~~~~~~</v>
      </c>
      <c r="AP56" t="str">
        <f t="shared" si="8"/>
        <v>~~~~~~~~~~</v>
      </c>
      <c r="AQ56" t="str">
        <f t="shared" si="8"/>
        <v>~~~~~~~~~~</v>
      </c>
      <c r="AR56" t="str">
        <f t="shared" si="8"/>
        <v>~~~~~~~~~~</v>
      </c>
      <c r="AS56" t="str">
        <f t="shared" si="8"/>
        <v>~~~~~~~~~~</v>
      </c>
      <c r="AT56" t="str">
        <f>""</f>
        <v/>
      </c>
      <c r="AU56" t="str">
        <f>""</f>
        <v/>
      </c>
      <c r="AV56" t="str">
        <f>""</f>
        <v/>
      </c>
      <c r="AW56" t="str">
        <f>""</f>
        <v/>
      </c>
      <c r="AX56" t="str">
        <f>""</f>
        <v/>
      </c>
      <c r="AY56" t="str">
        <f>""</f>
        <v/>
      </c>
      <c r="AZ56" t="str">
        <f>""</f>
        <v/>
      </c>
      <c r="BA56" t="str">
        <f>""</f>
        <v/>
      </c>
      <c r="BB56" t="str">
        <f>""</f>
        <v/>
      </c>
      <c r="BC56" t="str">
        <f>""</f>
        <v/>
      </c>
      <c r="BD56" t="str">
        <f>""</f>
        <v/>
      </c>
      <c r="BE56" t="str">
        <f>""</f>
        <v/>
      </c>
      <c r="BF56" t="str">
        <f>""</f>
        <v/>
      </c>
      <c r="BG56" t="str">
        <f>""</f>
        <v/>
      </c>
      <c r="BH56" t="str">
        <f>""</f>
        <v/>
      </c>
      <c r="BI56" t="str">
        <f>""</f>
        <v/>
      </c>
      <c r="BJ56" t="str">
        <f>""</f>
        <v/>
      </c>
      <c r="BK56" t="str">
        <f>""</f>
        <v/>
      </c>
      <c r="BL56" t="str">
        <f>""</f>
        <v/>
      </c>
      <c r="BM56" t="str">
        <f>""</f>
        <v/>
      </c>
      <c r="BN56" t="str">
        <f>""</f>
        <v/>
      </c>
      <c r="BO56" t="str">
        <f>""</f>
        <v/>
      </c>
      <c r="BP56" t="str">
        <f>""</f>
        <v/>
      </c>
      <c r="BQ56" t="str">
        <f>""</f>
        <v/>
      </c>
      <c r="BR56" t="str">
        <f>""</f>
        <v/>
      </c>
      <c r="BS56" t="str">
        <f>""</f>
        <v/>
      </c>
      <c r="BT56" t="str">
        <f>""</f>
        <v/>
      </c>
      <c r="BU56" t="str">
        <f>""</f>
        <v/>
      </c>
      <c r="BV56" t="str">
        <f>""</f>
        <v/>
      </c>
      <c r="BW56" t="str">
        <f>""</f>
        <v/>
      </c>
      <c r="BX56" t="str">
        <f>""</f>
        <v/>
      </c>
      <c r="BY56" t="str">
        <f>""</f>
        <v/>
      </c>
      <c r="BZ56" t="str">
        <f>""</f>
        <v/>
      </c>
      <c r="CA56" t="str">
        <f>""</f>
        <v/>
      </c>
      <c r="CB56" t="str">
        <f>""</f>
        <v/>
      </c>
      <c r="CC56" t="str">
        <f>""</f>
        <v/>
      </c>
      <c r="CD56" t="str">
        <f>""</f>
        <v/>
      </c>
      <c r="CE56" t="str">
        <f>""</f>
        <v/>
      </c>
      <c r="CF56" t="str">
        <f>""</f>
        <v/>
      </c>
      <c r="CG56" t="str">
        <f>""</f>
        <v/>
      </c>
    </row>
    <row r="57" spans="1:85" x14ac:dyDescent="0.25">
      <c r="A57" t="str">
        <f>"All rows below have been added for reference by formula rows above."</f>
        <v>All rows below have been added for reference by formula rows above.</v>
      </c>
      <c r="AT57" t="str">
        <f>""</f>
        <v/>
      </c>
      <c r="AU57" t="str">
        <f>""</f>
        <v/>
      </c>
      <c r="AV57" t="str">
        <f>""</f>
        <v/>
      </c>
      <c r="AW57" t="str">
        <f>""</f>
        <v/>
      </c>
      <c r="AX57" t="str">
        <f>""</f>
        <v/>
      </c>
      <c r="AY57" t="str">
        <f>""</f>
        <v/>
      </c>
      <c r="AZ57" t="str">
        <f>""</f>
        <v/>
      </c>
      <c r="BA57" t="str">
        <f>""</f>
        <v/>
      </c>
      <c r="BB57" t="str">
        <f>""</f>
        <v/>
      </c>
      <c r="BC57" t="str">
        <f>""</f>
        <v/>
      </c>
      <c r="BD57" t="str">
        <f>""</f>
        <v/>
      </c>
      <c r="BE57" t="str">
        <f>""</f>
        <v/>
      </c>
      <c r="BF57" t="str">
        <f>""</f>
        <v/>
      </c>
      <c r="BG57" t="str">
        <f>""</f>
        <v/>
      </c>
      <c r="BH57" t="str">
        <f>""</f>
        <v/>
      </c>
      <c r="BI57" t="str">
        <f>""</f>
        <v/>
      </c>
      <c r="BJ57" t="str">
        <f>""</f>
        <v/>
      </c>
      <c r="BK57" t="str">
        <f>""</f>
        <v/>
      </c>
      <c r="BL57" t="str">
        <f>""</f>
        <v/>
      </c>
      <c r="BM57" t="str">
        <f>""</f>
        <v/>
      </c>
      <c r="BN57" t="str">
        <f>""</f>
        <v/>
      </c>
      <c r="BO57" t="str">
        <f>""</f>
        <v/>
      </c>
      <c r="BP57" t="str">
        <f>""</f>
        <v/>
      </c>
      <c r="BQ57" t="str">
        <f>""</f>
        <v/>
      </c>
      <c r="BR57" t="str">
        <f>""</f>
        <v/>
      </c>
      <c r="BS57" t="str">
        <f>""</f>
        <v/>
      </c>
      <c r="BT57" t="str">
        <f>""</f>
        <v/>
      </c>
      <c r="BU57" t="str">
        <f>""</f>
        <v/>
      </c>
      <c r="BV57" t="str">
        <f>""</f>
        <v/>
      </c>
      <c r="BW57" t="str">
        <f>""</f>
        <v/>
      </c>
      <c r="BX57" t="str">
        <f>""</f>
        <v/>
      </c>
      <c r="BY57" t="str">
        <f>""</f>
        <v/>
      </c>
      <c r="BZ57" t="str">
        <f>""</f>
        <v/>
      </c>
      <c r="CA57" t="str">
        <f>""</f>
        <v/>
      </c>
      <c r="CB57" t="str">
        <f>""</f>
        <v/>
      </c>
      <c r="CC57" t="str">
        <f>""</f>
        <v/>
      </c>
      <c r="CD57" t="str">
        <f>""</f>
        <v/>
      </c>
      <c r="CE57" t="str">
        <f>""</f>
        <v/>
      </c>
      <c r="CF57" t="str">
        <f>""</f>
        <v/>
      </c>
      <c r="CG57" t="str">
        <f>""</f>
        <v/>
      </c>
    </row>
    <row r="58" spans="1:85" x14ac:dyDescent="0.25">
      <c r="A58" t="e">
        <f>RTD("bloomberg.ccyreader", "", "#track", "DBG", "BIHITX", "1.0","RepeatHit")</f>
        <v>#N/A</v>
      </c>
      <c r="AT58" t="str">
        <f>""</f>
        <v/>
      </c>
      <c r="AU58" t="str">
        <f>""</f>
        <v/>
      </c>
      <c r="AV58" t="str">
        <f>""</f>
        <v/>
      </c>
      <c r="AW58" t="str">
        <f>""</f>
        <v/>
      </c>
      <c r="AX58" t="str">
        <f>""</f>
        <v/>
      </c>
      <c r="AY58" t="str">
        <f>""</f>
        <v/>
      </c>
      <c r="AZ58" t="str">
        <f>""</f>
        <v/>
      </c>
      <c r="BA58" t="str">
        <f>""</f>
        <v/>
      </c>
      <c r="BB58" t="str">
        <f>""</f>
        <v/>
      </c>
      <c r="BC58" t="str">
        <f>""</f>
        <v/>
      </c>
      <c r="BD58" t="str">
        <f>""</f>
        <v/>
      </c>
      <c r="BE58" t="str">
        <f>""</f>
        <v/>
      </c>
      <c r="BF58" t="str">
        <f>""</f>
        <v/>
      </c>
      <c r="BG58" t="str">
        <f>""</f>
        <v/>
      </c>
      <c r="BH58" t="str">
        <f>""</f>
        <v/>
      </c>
      <c r="BI58" t="str">
        <f>""</f>
        <v/>
      </c>
      <c r="BJ58" t="str">
        <f>""</f>
        <v/>
      </c>
      <c r="BK58" t="str">
        <f>""</f>
        <v/>
      </c>
      <c r="BL58" t="str">
        <f>""</f>
        <v/>
      </c>
      <c r="BM58" t="str">
        <f>""</f>
        <v/>
      </c>
      <c r="BN58" t="str">
        <f>""</f>
        <v/>
      </c>
      <c r="BO58" t="str">
        <f>""</f>
        <v/>
      </c>
      <c r="BP58" t="str">
        <f>""</f>
        <v/>
      </c>
      <c r="BQ58" t="str">
        <f>""</f>
        <v/>
      </c>
      <c r="BR58" t="str">
        <f>""</f>
        <v/>
      </c>
      <c r="BS58" t="str">
        <f>""</f>
        <v/>
      </c>
      <c r="BT58" t="str">
        <f>""</f>
        <v/>
      </c>
      <c r="BU58" t="str">
        <f>""</f>
        <v/>
      </c>
      <c r="BV58" t="str">
        <f>""</f>
        <v/>
      </c>
      <c r="BW58" t="str">
        <f>""</f>
        <v/>
      </c>
      <c r="BX58" t="str">
        <f>""</f>
        <v/>
      </c>
      <c r="BY58" t="str">
        <f>""</f>
        <v/>
      </c>
      <c r="BZ58" t="str">
        <f>""</f>
        <v/>
      </c>
      <c r="CA58" t="str">
        <f>""</f>
        <v/>
      </c>
      <c r="CB58" t="str">
        <f>""</f>
        <v/>
      </c>
      <c r="CC58" t="str">
        <f>""</f>
        <v/>
      </c>
      <c r="CD58" t="str">
        <f>""</f>
        <v/>
      </c>
      <c r="CE58" t="str">
        <f>""</f>
        <v/>
      </c>
      <c r="CF58" t="str">
        <f>""</f>
        <v/>
      </c>
      <c r="CG58" t="str">
        <f>""</f>
        <v/>
      </c>
    </row>
    <row r="59" spans="1:85" x14ac:dyDescent="0.25">
      <c r="A59" t="str">
        <f>"Currency"</f>
        <v>Currency</v>
      </c>
      <c r="B59" t="str">
        <f>"USD"</f>
        <v>USD</v>
      </c>
      <c r="AT59" t="str">
        <f>""</f>
        <v/>
      </c>
      <c r="AU59" t="str">
        <f>""</f>
        <v/>
      </c>
      <c r="AV59" t="str">
        <f>""</f>
        <v/>
      </c>
      <c r="AW59" t="str">
        <f>""</f>
        <v/>
      </c>
      <c r="AX59" t="str">
        <f>""</f>
        <v/>
      </c>
      <c r="AY59" t="str">
        <f>""</f>
        <v/>
      </c>
      <c r="AZ59" t="str">
        <f>""</f>
        <v/>
      </c>
      <c r="BA59" t="str">
        <f>""</f>
        <v/>
      </c>
      <c r="BB59" t="str">
        <f>""</f>
        <v/>
      </c>
      <c r="BC59" t="str">
        <f>""</f>
        <v/>
      </c>
      <c r="BD59" t="str">
        <f>""</f>
        <v/>
      </c>
      <c r="BE59" t="str">
        <f>""</f>
        <v/>
      </c>
      <c r="BF59" t="str">
        <f>""</f>
        <v/>
      </c>
      <c r="BG59" t="str">
        <f>""</f>
        <v/>
      </c>
      <c r="BH59" t="str">
        <f>""</f>
        <v/>
      </c>
      <c r="BI59" t="str">
        <f>""</f>
        <v/>
      </c>
      <c r="BJ59" t="str">
        <f>""</f>
        <v/>
      </c>
      <c r="BK59" t="str">
        <f>""</f>
        <v/>
      </c>
      <c r="BL59" t="str">
        <f>""</f>
        <v/>
      </c>
      <c r="BM59" t="str">
        <f>""</f>
        <v/>
      </c>
      <c r="BN59" t="str">
        <f>""</f>
        <v/>
      </c>
      <c r="BO59" t="str">
        <f>""</f>
        <v/>
      </c>
      <c r="BP59" t="str">
        <f>""</f>
        <v/>
      </c>
      <c r="BQ59" t="str">
        <f>""</f>
        <v/>
      </c>
      <c r="BR59" t="str">
        <f>""</f>
        <v/>
      </c>
      <c r="BS59" t="str">
        <f>""</f>
        <v/>
      </c>
      <c r="BT59" t="str">
        <f>""</f>
        <v/>
      </c>
      <c r="BU59" t="str">
        <f>""</f>
        <v/>
      </c>
      <c r="BV59" t="str">
        <f>""</f>
        <v/>
      </c>
      <c r="BW59" t="str">
        <f>""</f>
        <v/>
      </c>
      <c r="BX59" t="str">
        <f>""</f>
        <v/>
      </c>
      <c r="BY59" t="str">
        <f>""</f>
        <v/>
      </c>
      <c r="BZ59" t="str">
        <f>""</f>
        <v/>
      </c>
      <c r="CA59" t="str">
        <f>""</f>
        <v/>
      </c>
      <c r="CB59" t="str">
        <f>""</f>
        <v/>
      </c>
      <c r="CC59" t="str">
        <f>""</f>
        <v/>
      </c>
      <c r="CD59" t="str">
        <f>""</f>
        <v/>
      </c>
      <c r="CE59" t="str">
        <f>""</f>
        <v/>
      </c>
      <c r="CF59" t="str">
        <f>""</f>
        <v/>
      </c>
      <c r="CG59" t="str">
        <f>""</f>
        <v/>
      </c>
    </row>
    <row r="60" spans="1:85" x14ac:dyDescent="0.25">
      <c r="A60" t="str">
        <f>"Periodicity"</f>
        <v>Periodicity</v>
      </c>
      <c r="B60" t="str">
        <f>"CM"</f>
        <v>CM</v>
      </c>
      <c r="C60" t="str">
        <f>"AM"</f>
        <v>AM</v>
      </c>
      <c r="AT60" t="str">
        <f>""</f>
        <v/>
      </c>
      <c r="AU60" t="str">
        <f>""</f>
        <v/>
      </c>
      <c r="AV60" t="str">
        <f>""</f>
        <v/>
      </c>
      <c r="AW60" t="str">
        <f>""</f>
        <v/>
      </c>
      <c r="AX60" t="str">
        <f>""</f>
        <v/>
      </c>
      <c r="AY60" t="str">
        <f>""</f>
        <v/>
      </c>
      <c r="AZ60" t="str">
        <f>""</f>
        <v/>
      </c>
      <c r="BA60" t="str">
        <f>""</f>
        <v/>
      </c>
      <c r="BB60" t="str">
        <f>""</f>
        <v/>
      </c>
      <c r="BC60" t="str">
        <f>""</f>
        <v/>
      </c>
      <c r="BD60" t="str">
        <f>""</f>
        <v/>
      </c>
      <c r="BE60" t="str">
        <f>""</f>
        <v/>
      </c>
      <c r="BF60" t="str">
        <f>""</f>
        <v/>
      </c>
      <c r="BG60" t="str">
        <f>""</f>
        <v/>
      </c>
      <c r="BH60" t="str">
        <f>""</f>
        <v/>
      </c>
      <c r="BI60" t="str">
        <f>""</f>
        <v/>
      </c>
      <c r="BJ60" t="str">
        <f>""</f>
        <v/>
      </c>
      <c r="BK60" t="str">
        <f>""</f>
        <v/>
      </c>
      <c r="BL60" t="str">
        <f>""</f>
        <v/>
      </c>
      <c r="BM60" t="str">
        <f>""</f>
        <v/>
      </c>
      <c r="BN60" t="str">
        <f>""</f>
        <v/>
      </c>
      <c r="BO60" t="str">
        <f>""</f>
        <v/>
      </c>
      <c r="BP60" t="str">
        <f>""</f>
        <v/>
      </c>
      <c r="BQ60" t="str">
        <f>""</f>
        <v/>
      </c>
      <c r="BR60" t="str">
        <f>""</f>
        <v/>
      </c>
      <c r="BS60" t="str">
        <f>""</f>
        <v/>
      </c>
      <c r="BT60" t="str">
        <f>""</f>
        <v/>
      </c>
      <c r="BU60" t="str">
        <f>""</f>
        <v/>
      </c>
      <c r="BV60" t="str">
        <f>""</f>
        <v/>
      </c>
      <c r="BW60" t="str">
        <f>""</f>
        <v/>
      </c>
      <c r="BX60" t="str">
        <f>""</f>
        <v/>
      </c>
      <c r="BY60" t="str">
        <f>""</f>
        <v/>
      </c>
      <c r="BZ60" t="str">
        <f>""</f>
        <v/>
      </c>
      <c r="CA60" t="str">
        <f>""</f>
        <v/>
      </c>
      <c r="CB60" t="str">
        <f>""</f>
        <v/>
      </c>
      <c r="CC60" t="str">
        <f>""</f>
        <v/>
      </c>
      <c r="CD60" t="str">
        <f>""</f>
        <v/>
      </c>
      <c r="CE60" t="str">
        <f>""</f>
        <v/>
      </c>
      <c r="CF60" t="str">
        <f>""</f>
        <v/>
      </c>
      <c r="CG60" t="str">
        <f>""</f>
        <v/>
      </c>
    </row>
    <row r="61" spans="1:85" x14ac:dyDescent="0.25">
      <c r="A61" t="str">
        <f>"Number of Periods"</f>
        <v>Number of Periods</v>
      </c>
      <c r="B61">
        <f>40</f>
        <v>40</v>
      </c>
      <c r="AT61" t="str">
        <f>""</f>
        <v/>
      </c>
      <c r="AU61" t="str">
        <f>""</f>
        <v/>
      </c>
      <c r="AV61" t="str">
        <f>""</f>
        <v/>
      </c>
      <c r="AW61" t="str">
        <f>""</f>
        <v/>
      </c>
      <c r="AX61" t="str">
        <f>""</f>
        <v/>
      </c>
      <c r="AY61" t="str">
        <f>""</f>
        <v/>
      </c>
      <c r="AZ61" t="str">
        <f>""</f>
        <v/>
      </c>
      <c r="BA61" t="str">
        <f>""</f>
        <v/>
      </c>
      <c r="BB61" t="str">
        <f>""</f>
        <v/>
      </c>
      <c r="BC61" t="str">
        <f>""</f>
        <v/>
      </c>
      <c r="BD61" t="str">
        <f>""</f>
        <v/>
      </c>
      <c r="BE61" t="str">
        <f>""</f>
        <v/>
      </c>
      <c r="BF61" t="str">
        <f>""</f>
        <v/>
      </c>
      <c r="BG61" t="str">
        <f>""</f>
        <v/>
      </c>
      <c r="BH61" t="str">
        <f>""</f>
        <v/>
      </c>
      <c r="BI61" t="str">
        <f>""</f>
        <v/>
      </c>
      <c r="BJ61" t="str">
        <f>""</f>
        <v/>
      </c>
      <c r="BK61" t="str">
        <f>""</f>
        <v/>
      </c>
      <c r="BL61" t="str">
        <f>""</f>
        <v/>
      </c>
      <c r="BM61" t="str">
        <f>""</f>
        <v/>
      </c>
      <c r="BN61" t="str">
        <f>""</f>
        <v/>
      </c>
      <c r="BO61" t="str">
        <f>""</f>
        <v/>
      </c>
      <c r="BP61" t="str">
        <f>""</f>
        <v/>
      </c>
      <c r="BQ61" t="str">
        <f>""</f>
        <v/>
      </c>
      <c r="BR61" t="str">
        <f>""</f>
        <v/>
      </c>
      <c r="BS61" t="str">
        <f>""</f>
        <v/>
      </c>
      <c r="BT61" t="str">
        <f>""</f>
        <v/>
      </c>
      <c r="BU61" t="str">
        <f>""</f>
        <v/>
      </c>
      <c r="BV61" t="str">
        <f>""</f>
        <v/>
      </c>
      <c r="BW61" t="str">
        <f>""</f>
        <v/>
      </c>
      <c r="BX61" t="str">
        <f>""</f>
        <v/>
      </c>
      <c r="BY61" t="str">
        <f>""</f>
        <v/>
      </c>
      <c r="BZ61" t="str">
        <f>""</f>
        <v/>
      </c>
      <c r="CA61" t="str">
        <f>""</f>
        <v/>
      </c>
      <c r="CB61" t="str">
        <f>""</f>
        <v/>
      </c>
      <c r="CC61" t="str">
        <f>""</f>
        <v/>
      </c>
      <c r="CD61" t="str">
        <f>""</f>
        <v/>
      </c>
      <c r="CE61" t="str">
        <f>""</f>
        <v/>
      </c>
      <c r="CF61" t="str">
        <f>""</f>
        <v/>
      </c>
      <c r="CG61" t="str">
        <f>""</f>
        <v/>
      </c>
    </row>
    <row r="62" spans="1:85" x14ac:dyDescent="0.25">
      <c r="A62" t="str">
        <f>"Start Date"</f>
        <v>Start Date</v>
      </c>
      <c r="B62" t="str">
        <f>CONCATENATE("-",$B$61,$B$60)</f>
        <v>-40CM</v>
      </c>
      <c r="C62" t="str">
        <f>CONCATENATE("-",$B$61,$C$60)</f>
        <v>-40AM</v>
      </c>
      <c r="AT62" t="str">
        <f>""</f>
        <v/>
      </c>
      <c r="AU62" t="str">
        <f>""</f>
        <v/>
      </c>
      <c r="AV62" t="str">
        <f>""</f>
        <v/>
      </c>
      <c r="AW62" t="str">
        <f>""</f>
        <v/>
      </c>
      <c r="AX62" t="str">
        <f>""</f>
        <v/>
      </c>
      <c r="AY62" t="str">
        <f>""</f>
        <v/>
      </c>
      <c r="AZ62" t="str">
        <f>""</f>
        <v/>
      </c>
      <c r="BA62" t="str">
        <f>""</f>
        <v/>
      </c>
      <c r="BB62" t="str">
        <f>""</f>
        <v/>
      </c>
      <c r="BC62" t="str">
        <f>""</f>
        <v/>
      </c>
      <c r="BD62" t="str">
        <f>""</f>
        <v/>
      </c>
      <c r="BE62" t="str">
        <f>""</f>
        <v/>
      </c>
      <c r="BF62" t="str">
        <f>""</f>
        <v/>
      </c>
      <c r="BG62" t="str">
        <f>""</f>
        <v/>
      </c>
      <c r="BH62" t="str">
        <f>""</f>
        <v/>
      </c>
      <c r="BI62" t="str">
        <f>""</f>
        <v/>
      </c>
      <c r="BJ62" t="str">
        <f>""</f>
        <v/>
      </c>
      <c r="BK62" t="str">
        <f>""</f>
        <v/>
      </c>
      <c r="BL62" t="str">
        <f>""</f>
        <v/>
      </c>
      <c r="BM62" t="str">
        <f>""</f>
        <v/>
      </c>
      <c r="BN62" t="str">
        <f>""</f>
        <v/>
      </c>
      <c r="BO62" t="str">
        <f>""</f>
        <v/>
      </c>
      <c r="BP62" t="str">
        <f>""</f>
        <v/>
      </c>
      <c r="BQ62" t="str">
        <f>""</f>
        <v/>
      </c>
      <c r="BR62" t="str">
        <f>""</f>
        <v/>
      </c>
      <c r="BS62" t="str">
        <f>""</f>
        <v/>
      </c>
      <c r="BT62" t="str">
        <f>""</f>
        <v/>
      </c>
      <c r="BU62" t="str">
        <f>""</f>
        <v/>
      </c>
      <c r="BV62" t="str">
        <f>""</f>
        <v/>
      </c>
      <c r="BW62" t="str">
        <f>""</f>
        <v/>
      </c>
      <c r="BX62" t="str">
        <f>""</f>
        <v/>
      </c>
      <c r="BY62" t="str">
        <f>""</f>
        <v/>
      </c>
      <c r="BZ62" t="str">
        <f>""</f>
        <v/>
      </c>
      <c r="CA62" t="str">
        <f>""</f>
        <v/>
      </c>
      <c r="CB62" t="str">
        <f>""</f>
        <v/>
      </c>
      <c r="CC62" t="str">
        <f>""</f>
        <v/>
      </c>
      <c r="CD62" t="str">
        <f>""</f>
        <v/>
      </c>
      <c r="CE62" t="str">
        <f>""</f>
        <v/>
      </c>
      <c r="CF62" t="str">
        <f>""</f>
        <v/>
      </c>
      <c r="CG62" t="str">
        <f>""</f>
        <v/>
      </c>
    </row>
    <row r="63" spans="1:85" x14ac:dyDescent="0.25">
      <c r="A63" t="str">
        <f>"End Date"</f>
        <v>End Date</v>
      </c>
      <c r="B63">
        <f ca="1">TODAY()</f>
        <v>43073</v>
      </c>
      <c r="AT63" t="str">
        <f>""</f>
        <v/>
      </c>
      <c r="AU63" t="str">
        <f>""</f>
        <v/>
      </c>
      <c r="AV63" t="str">
        <f>""</f>
        <v/>
      </c>
      <c r="AW63" t="str">
        <f>""</f>
        <v/>
      </c>
      <c r="AX63" t="str">
        <f>""</f>
        <v/>
      </c>
      <c r="AY63" t="str">
        <f>""</f>
        <v/>
      </c>
      <c r="AZ63" t="str">
        <f>""</f>
        <v/>
      </c>
      <c r="BA63" t="str">
        <f>""</f>
        <v/>
      </c>
      <c r="BB63" t="str">
        <f>""</f>
        <v/>
      </c>
      <c r="BC63" t="str">
        <f>""</f>
        <v/>
      </c>
      <c r="BD63" t="str">
        <f>""</f>
        <v/>
      </c>
      <c r="BE63" t="str">
        <f>""</f>
        <v/>
      </c>
      <c r="BF63" t="str">
        <f>""</f>
        <v/>
      </c>
      <c r="BG63" t="str">
        <f>""</f>
        <v/>
      </c>
      <c r="BH63" t="str">
        <f>""</f>
        <v/>
      </c>
      <c r="BI63" t="str">
        <f>""</f>
        <v/>
      </c>
      <c r="BJ63" t="str">
        <f>""</f>
        <v/>
      </c>
      <c r="BK63" t="str">
        <f>""</f>
        <v/>
      </c>
      <c r="BL63" t="str">
        <f>""</f>
        <v/>
      </c>
      <c r="BM63" t="str">
        <f>""</f>
        <v/>
      </c>
      <c r="BN63" t="str">
        <f>""</f>
        <v/>
      </c>
      <c r="BO63" t="str">
        <f>""</f>
        <v/>
      </c>
      <c r="BP63" t="str">
        <f>""</f>
        <v/>
      </c>
      <c r="BQ63" t="str">
        <f>""</f>
        <v/>
      </c>
      <c r="BR63" t="str">
        <f>""</f>
        <v/>
      </c>
      <c r="BS63" t="str">
        <f>""</f>
        <v/>
      </c>
      <c r="BT63" t="str">
        <f>""</f>
        <v/>
      </c>
      <c r="BU63" t="str">
        <f>""</f>
        <v/>
      </c>
      <c r="BV63" t="str">
        <f>""</f>
        <v/>
      </c>
      <c r="BW63" t="str">
        <f>""</f>
        <v/>
      </c>
      <c r="BX63" t="str">
        <f>""</f>
        <v/>
      </c>
      <c r="BY63" t="str">
        <f>""</f>
        <v/>
      </c>
      <c r="BZ63" t="str">
        <f>""</f>
        <v/>
      </c>
      <c r="CA63" t="str">
        <f>""</f>
        <v/>
      </c>
      <c r="CB63" t="str">
        <f>""</f>
        <v/>
      </c>
      <c r="CC63" t="str">
        <f>""</f>
        <v/>
      </c>
      <c r="CD63" t="str">
        <f>""</f>
        <v/>
      </c>
      <c r="CE63" t="str">
        <f>""</f>
        <v/>
      </c>
      <c r="CF63" t="str">
        <f>""</f>
        <v/>
      </c>
      <c r="CG63" t="str">
        <f>""</f>
        <v/>
      </c>
    </row>
    <row r="64" spans="1:85" x14ac:dyDescent="0.25">
      <c r="A64" t="str">
        <f>"HeaderStatus(BDP formula)"</f>
        <v>HeaderStatus(BDP formula)</v>
      </c>
      <c r="AT64" t="str">
        <f>""</f>
        <v/>
      </c>
      <c r="AU64" t="str">
        <f>""</f>
        <v/>
      </c>
      <c r="AV64" t="str">
        <f>""</f>
        <v/>
      </c>
      <c r="AW64" t="str">
        <f>""</f>
        <v/>
      </c>
      <c r="AX64" t="str">
        <f>""</f>
        <v/>
      </c>
      <c r="AY64" t="str">
        <f>""</f>
        <v/>
      </c>
      <c r="AZ64" t="str">
        <f>""</f>
        <v/>
      </c>
      <c r="BA64" t="str">
        <f>""</f>
        <v/>
      </c>
      <c r="BB64" t="str">
        <f>""</f>
        <v/>
      </c>
      <c r="BC64" t="str">
        <f>""</f>
        <v/>
      </c>
      <c r="BD64" t="str">
        <f>""</f>
        <v/>
      </c>
      <c r="BE64" t="str">
        <f>""</f>
        <v/>
      </c>
      <c r="BF64" t="str">
        <f>""</f>
        <v/>
      </c>
      <c r="BG64" t="str">
        <f>""</f>
        <v/>
      </c>
      <c r="BH64" t="str">
        <f>""</f>
        <v/>
      </c>
      <c r="BI64" t="str">
        <f>""</f>
        <v/>
      </c>
      <c r="BJ64" t="str">
        <f>""</f>
        <v/>
      </c>
      <c r="BK64" t="str">
        <f>""</f>
        <v/>
      </c>
      <c r="BL64" t="str">
        <f>""</f>
        <v/>
      </c>
      <c r="BM64" t="str">
        <f>""</f>
        <v/>
      </c>
      <c r="BN64" t="str">
        <f>""</f>
        <v/>
      </c>
      <c r="BO64" t="str">
        <f>""</f>
        <v/>
      </c>
      <c r="BP64" t="str">
        <f>""</f>
        <v/>
      </c>
      <c r="BQ64" t="str">
        <f>""</f>
        <v/>
      </c>
      <c r="BR64" t="str">
        <f>""</f>
        <v/>
      </c>
      <c r="BS64" t="str">
        <f>""</f>
        <v/>
      </c>
      <c r="BT64" t="str">
        <f>""</f>
        <v/>
      </c>
      <c r="BU64" t="str">
        <f>""</f>
        <v/>
      </c>
      <c r="BV64" t="str">
        <f>""</f>
        <v/>
      </c>
      <c r="BW64" t="str">
        <f>""</f>
        <v/>
      </c>
      <c r="BX64" t="str">
        <f>""</f>
        <v/>
      </c>
      <c r="BY64" t="str">
        <f>""</f>
        <v/>
      </c>
      <c r="BZ64" t="str">
        <f>""</f>
        <v/>
      </c>
      <c r="CA64" t="str">
        <f>""</f>
        <v/>
      </c>
      <c r="CB64" t="str">
        <f>""</f>
        <v/>
      </c>
      <c r="CC64" t="str">
        <f>""</f>
        <v/>
      </c>
      <c r="CD64" t="str">
        <f>""</f>
        <v/>
      </c>
      <c r="CE64" t="str">
        <f>""</f>
        <v/>
      </c>
      <c r="CF64" t="str">
        <f>""</f>
        <v/>
      </c>
      <c r="CG64" t="str">
        <f>""</f>
        <v/>
      </c>
    </row>
    <row r="65" spans="1:85" x14ac:dyDescent="0.25">
      <c r="AT65" t="str">
        <f>""</f>
        <v/>
      </c>
      <c r="AU65" t="str">
        <f>""</f>
        <v/>
      </c>
      <c r="AV65" t="str">
        <f>""</f>
        <v/>
      </c>
      <c r="AW65" t="str">
        <f>""</f>
        <v/>
      </c>
      <c r="AX65" t="str">
        <f>""</f>
        <v/>
      </c>
      <c r="AY65" t="str">
        <f>""</f>
        <v/>
      </c>
      <c r="AZ65" t="str">
        <f>""</f>
        <v/>
      </c>
      <c r="BA65" t="str">
        <f>""</f>
        <v/>
      </c>
      <c r="BB65" t="str">
        <f>""</f>
        <v/>
      </c>
      <c r="BC65" t="str">
        <f>""</f>
        <v/>
      </c>
      <c r="BD65" t="str">
        <f>""</f>
        <v/>
      </c>
      <c r="BE65" t="str">
        <f>""</f>
        <v/>
      </c>
      <c r="BF65" t="str">
        <f>""</f>
        <v/>
      </c>
      <c r="BG65" t="str">
        <f>""</f>
        <v/>
      </c>
      <c r="BH65" t="str">
        <f>""</f>
        <v/>
      </c>
      <c r="BI65" t="str">
        <f>""</f>
        <v/>
      </c>
      <c r="BJ65" t="str">
        <f>""</f>
        <v/>
      </c>
      <c r="BK65" t="str">
        <f>""</f>
        <v/>
      </c>
      <c r="BL65" t="str">
        <f>""</f>
        <v/>
      </c>
      <c r="BM65" t="str">
        <f>""</f>
        <v/>
      </c>
      <c r="BN65" t="str">
        <f>""</f>
        <v/>
      </c>
      <c r="BO65" t="str">
        <f>""</f>
        <v/>
      </c>
      <c r="BP65" t="str">
        <f>""</f>
        <v/>
      </c>
      <c r="BQ65" t="str">
        <f>""</f>
        <v/>
      </c>
      <c r="BR65" t="str">
        <f>""</f>
        <v/>
      </c>
      <c r="BS65" t="str">
        <f>""</f>
        <v/>
      </c>
      <c r="BT65" t="str">
        <f>""</f>
        <v/>
      </c>
      <c r="BU65" t="str">
        <f>""</f>
        <v/>
      </c>
      <c r="BV65" t="str">
        <f>""</f>
        <v/>
      </c>
      <c r="BW65" t="str">
        <f>""</f>
        <v/>
      </c>
      <c r="BX65" t="str">
        <f>""</f>
        <v/>
      </c>
      <c r="BY65" t="str">
        <f>""</f>
        <v/>
      </c>
      <c r="BZ65" t="str">
        <f>""</f>
        <v/>
      </c>
      <c r="CA65" t="str">
        <f>""</f>
        <v/>
      </c>
      <c r="CB65" t="str">
        <f>""</f>
        <v/>
      </c>
      <c r="CC65" t="str">
        <f>""</f>
        <v/>
      </c>
      <c r="CD65" t="str">
        <f>""</f>
        <v/>
      </c>
      <c r="CE65" t="str">
        <f>""</f>
        <v/>
      </c>
      <c r="CF65" t="str">
        <f>""</f>
        <v/>
      </c>
      <c r="CG65" t="str">
        <f>""</f>
        <v/>
      </c>
    </row>
    <row r="66" spans="1:85" x14ac:dyDescent="0.25">
      <c r="A66" t="str">
        <f>"Period Start"</f>
        <v>Period Start</v>
      </c>
      <c r="C66" t="str">
        <f>"PX391"</f>
        <v>PX391</v>
      </c>
      <c r="D66" t="str">
        <f>"START_DATE_OVERRIDE"</f>
        <v>START_DATE_OVERRIDE</v>
      </c>
      <c r="E66" t="str">
        <f>"Dynamic"</f>
        <v>Dynamic</v>
      </c>
      <c r="F66" t="str">
        <f ca="1">CONCATENATE(YEAR( EOMONTH($B$63,(-1*(0+1)))+1 ), IF( MONTH(EOMONTH($B$63,(-1*(0+1)))+1) &lt; 10, "0", "" ), MONTH( EOMONTH($B$63,(-1*(0+1)))+1 ), IF( DAY(EOMONTH($B$63,(-1*(0+1)))+1) &lt; 10, "0", "" ), DAY( EOMONTH($B$63,(-1*(0+1)))+1 ), )</f>
        <v>20171201</v>
      </c>
      <c r="G66" t="str">
        <f ca="1">CONCATENATE(YEAR( EOMONTH($B$63,(-1*(1+1)))+1 ), IF( MONTH(EOMONTH($B$63,(-1*(1+1)))+1) &lt; 10, "0", "" ), MONTH( EOMONTH($B$63,(-1*(1+1)))+1 ), IF( DAY(EOMONTH($B$63,(-1*(1+1)))+1) &lt; 10, "0", "" ), DAY( EOMONTH($B$63,(-1*(1+1)))+1 ), )</f>
        <v>20171101</v>
      </c>
      <c r="H66" t="str">
        <f ca="1">CONCATENATE(YEAR( EOMONTH($B$63,(-1*(2+1)))+1 ), IF( MONTH(EOMONTH($B$63,(-1*(2+1)))+1) &lt; 10, "0", "" ), MONTH( EOMONTH($B$63,(-1*(2+1)))+1 ), IF( DAY(EOMONTH($B$63,(-1*(2+1)))+1) &lt; 10, "0", "" ), DAY( EOMONTH($B$63,(-1*(2+1)))+1 ), )</f>
        <v>20171001</v>
      </c>
      <c r="I66" t="str">
        <f ca="1">CONCATENATE(YEAR( EOMONTH($B$63,(-1*(3+1)))+1 ), IF( MONTH(EOMONTH($B$63,(-1*(3+1)))+1) &lt; 10, "0", "" ), MONTH( EOMONTH($B$63,(-1*(3+1)))+1 ), IF( DAY(EOMONTH($B$63,(-1*(3+1)))+1) &lt; 10, "0", "" ), DAY( EOMONTH($B$63,(-1*(3+1)))+1 ), )</f>
        <v>20170901</v>
      </c>
      <c r="J66" t="str">
        <f ca="1">CONCATENATE(YEAR( EOMONTH($B$63,(-1*(4+1)))+1 ), IF( MONTH(EOMONTH($B$63,(-1*(4+1)))+1) &lt; 10, "0", "" ), MONTH( EOMONTH($B$63,(-1*(4+1)))+1 ), IF( DAY(EOMONTH($B$63,(-1*(4+1)))+1) &lt; 10, "0", "" ), DAY( EOMONTH($B$63,(-1*(4+1)))+1 ), )</f>
        <v>20170801</v>
      </c>
      <c r="K66" t="str">
        <f ca="1">CONCATENATE(YEAR( EOMONTH($B$63,(-1*(5+1)))+1 ), IF( MONTH(EOMONTH($B$63,(-1*(5+1)))+1) &lt; 10, "0", "" ), MONTH( EOMONTH($B$63,(-1*(5+1)))+1 ), IF( DAY(EOMONTH($B$63,(-1*(5+1)))+1) &lt; 10, "0", "" ), DAY( EOMONTH($B$63,(-1*(5+1)))+1 ), )</f>
        <v>20170701</v>
      </c>
      <c r="L66" t="str">
        <f ca="1">CONCATENATE(YEAR( EOMONTH($B$63,(-1*(6+1)))+1 ), IF( MONTH(EOMONTH($B$63,(-1*(6+1)))+1) &lt; 10, "0", "" ), MONTH( EOMONTH($B$63,(-1*(6+1)))+1 ), IF( DAY(EOMONTH($B$63,(-1*(6+1)))+1) &lt; 10, "0", "" ), DAY( EOMONTH($B$63,(-1*(6+1)))+1 ), )</f>
        <v>20170601</v>
      </c>
      <c r="M66" t="str">
        <f ca="1">CONCATENATE(YEAR( EOMONTH($B$63,(-1*(7+1)))+1 ), IF( MONTH(EOMONTH($B$63,(-1*(7+1)))+1) &lt; 10, "0", "" ), MONTH( EOMONTH($B$63,(-1*(7+1)))+1 ), IF( DAY(EOMONTH($B$63,(-1*(7+1)))+1) &lt; 10, "0", "" ), DAY( EOMONTH($B$63,(-1*(7+1)))+1 ), )</f>
        <v>20170501</v>
      </c>
      <c r="N66" t="str">
        <f ca="1">CONCATENATE(YEAR( EOMONTH($B$63,(-1*(8+1)))+1 ), IF( MONTH(EOMONTH($B$63,(-1*(8+1)))+1) &lt; 10, "0", "" ), MONTH( EOMONTH($B$63,(-1*(8+1)))+1 ), IF( DAY(EOMONTH($B$63,(-1*(8+1)))+1) &lt; 10, "0", "" ), DAY( EOMONTH($B$63,(-1*(8+1)))+1 ), )</f>
        <v>20170401</v>
      </c>
      <c r="O66" t="str">
        <f ca="1">CONCATENATE(YEAR( EOMONTH($B$63,(-1*(9+1)))+1 ), IF( MONTH(EOMONTH($B$63,(-1*(9+1)))+1) &lt; 10, "0", "" ), MONTH( EOMONTH($B$63,(-1*(9+1)))+1 ), IF( DAY(EOMONTH($B$63,(-1*(9+1)))+1) &lt; 10, "0", "" ), DAY( EOMONTH($B$63,(-1*(9+1)))+1 ), )</f>
        <v>20170301</v>
      </c>
      <c r="P66" t="str">
        <f ca="1">CONCATENATE(YEAR( EOMONTH($B$63,(-1*(10+1)))+1 ), IF( MONTH(EOMONTH($B$63,(-1*(10+1)))+1) &lt; 10, "0", "" ), MONTH( EOMONTH($B$63,(-1*(10+1)))+1 ), IF( DAY(EOMONTH($B$63,(-1*(10+1)))+1) &lt; 10, "0", "" ), DAY( EOMONTH($B$63,(-1*(10+1)))+1 ), )</f>
        <v>20170201</v>
      </c>
      <c r="Q66" t="str">
        <f ca="1">CONCATENATE(YEAR( EOMONTH($B$63,(-1*(11+1)))+1 ), IF( MONTH(EOMONTH($B$63,(-1*(11+1)))+1) &lt; 10, "0", "" ), MONTH( EOMONTH($B$63,(-1*(11+1)))+1 ), IF( DAY(EOMONTH($B$63,(-1*(11+1)))+1) &lt; 10, "0", "" ), DAY( EOMONTH($B$63,(-1*(11+1)))+1 ), )</f>
        <v>20170101</v>
      </c>
      <c r="R66" t="str">
        <f ca="1">CONCATENATE(YEAR( EOMONTH($B$63,(-1*(12+1)))+1 ), IF( MONTH(EOMONTH($B$63,(-1*(12+1)))+1) &lt; 10, "0", "" ), MONTH( EOMONTH($B$63,(-1*(12+1)))+1 ), IF( DAY(EOMONTH($B$63,(-1*(12+1)))+1) &lt; 10, "0", "" ), DAY( EOMONTH($B$63,(-1*(12+1)))+1 ), )</f>
        <v>20161201</v>
      </c>
      <c r="S66" t="str">
        <f ca="1">CONCATENATE(YEAR( EOMONTH($B$63,(-1*(13+1)))+1 ), IF( MONTH(EOMONTH($B$63,(-1*(13+1)))+1) &lt; 10, "0", "" ), MONTH( EOMONTH($B$63,(-1*(13+1)))+1 ), IF( DAY(EOMONTH($B$63,(-1*(13+1)))+1) &lt; 10, "0", "" ), DAY( EOMONTH($B$63,(-1*(13+1)))+1 ), )</f>
        <v>20161101</v>
      </c>
      <c r="T66" t="str">
        <f ca="1">CONCATENATE(YEAR( EOMONTH($B$63,(-1*(14+1)))+1 ), IF( MONTH(EOMONTH($B$63,(-1*(14+1)))+1) &lt; 10, "0", "" ), MONTH( EOMONTH($B$63,(-1*(14+1)))+1 ), IF( DAY(EOMONTH($B$63,(-1*(14+1)))+1) &lt; 10, "0", "" ), DAY( EOMONTH($B$63,(-1*(14+1)))+1 ), )</f>
        <v>20161001</v>
      </c>
      <c r="U66" t="str">
        <f ca="1">CONCATENATE(YEAR( EOMONTH($B$63,(-1*(15+1)))+1 ), IF( MONTH(EOMONTH($B$63,(-1*(15+1)))+1) &lt; 10, "0", "" ), MONTH( EOMONTH($B$63,(-1*(15+1)))+1 ), IF( DAY(EOMONTH($B$63,(-1*(15+1)))+1) &lt; 10, "0", "" ), DAY( EOMONTH($B$63,(-1*(15+1)))+1 ), )</f>
        <v>20160901</v>
      </c>
      <c r="V66" t="str">
        <f ca="1">CONCATENATE(YEAR( EOMONTH($B$63,(-1*(16+1)))+1 ), IF( MONTH(EOMONTH($B$63,(-1*(16+1)))+1) &lt; 10, "0", "" ), MONTH( EOMONTH($B$63,(-1*(16+1)))+1 ), IF( DAY(EOMONTH($B$63,(-1*(16+1)))+1) &lt; 10, "0", "" ), DAY( EOMONTH($B$63,(-1*(16+1)))+1 ), )</f>
        <v>20160801</v>
      </c>
      <c r="W66" t="str">
        <f ca="1">CONCATENATE(YEAR( EOMONTH($B$63,(-1*(17+1)))+1 ), IF( MONTH(EOMONTH($B$63,(-1*(17+1)))+1) &lt; 10, "0", "" ), MONTH( EOMONTH($B$63,(-1*(17+1)))+1 ), IF( DAY(EOMONTH($B$63,(-1*(17+1)))+1) &lt; 10, "0", "" ), DAY( EOMONTH($B$63,(-1*(17+1)))+1 ), )</f>
        <v>20160701</v>
      </c>
      <c r="X66" t="str">
        <f ca="1">CONCATENATE(YEAR( EOMONTH($B$63,(-1*(18+1)))+1 ), IF( MONTH(EOMONTH($B$63,(-1*(18+1)))+1) &lt; 10, "0", "" ), MONTH( EOMONTH($B$63,(-1*(18+1)))+1 ), IF( DAY(EOMONTH($B$63,(-1*(18+1)))+1) &lt; 10, "0", "" ), DAY( EOMONTH($B$63,(-1*(18+1)))+1 ), )</f>
        <v>20160601</v>
      </c>
      <c r="Y66" t="str">
        <f ca="1">CONCATENATE(YEAR( EOMONTH($B$63,(-1*(19+1)))+1 ), IF( MONTH(EOMONTH($B$63,(-1*(19+1)))+1) &lt; 10, "0", "" ), MONTH( EOMONTH($B$63,(-1*(19+1)))+1 ), IF( DAY(EOMONTH($B$63,(-1*(19+1)))+1) &lt; 10, "0", "" ), DAY( EOMONTH($B$63,(-1*(19+1)))+1 ), )</f>
        <v>20160501</v>
      </c>
      <c r="Z66" t="str">
        <f ca="1">CONCATENATE(YEAR( EOMONTH($B$63,(-1*(20+1)))+1 ), IF( MONTH(EOMONTH($B$63,(-1*(20+1)))+1) &lt; 10, "0", "" ), MONTH( EOMONTH($B$63,(-1*(20+1)))+1 ), IF( DAY(EOMONTH($B$63,(-1*(20+1)))+1) &lt; 10, "0", "" ), DAY( EOMONTH($B$63,(-1*(20+1)))+1 ), )</f>
        <v>20160401</v>
      </c>
      <c r="AA66" t="str">
        <f ca="1">CONCATENATE(YEAR( EOMONTH($B$63,(-1*(21+1)))+1 ), IF( MONTH(EOMONTH($B$63,(-1*(21+1)))+1) &lt; 10, "0", "" ), MONTH( EOMONTH($B$63,(-1*(21+1)))+1 ), IF( DAY(EOMONTH($B$63,(-1*(21+1)))+1) &lt; 10, "0", "" ), DAY( EOMONTH($B$63,(-1*(21+1)))+1 ), )</f>
        <v>20160301</v>
      </c>
      <c r="AB66" t="str">
        <f ca="1">CONCATENATE(YEAR( EOMONTH($B$63,(-1*(22+1)))+1 ), IF( MONTH(EOMONTH($B$63,(-1*(22+1)))+1) &lt; 10, "0", "" ), MONTH( EOMONTH($B$63,(-1*(22+1)))+1 ), IF( DAY(EOMONTH($B$63,(-1*(22+1)))+1) &lt; 10, "0", "" ), DAY( EOMONTH($B$63,(-1*(22+1)))+1 ), )</f>
        <v>20160201</v>
      </c>
      <c r="AC66" t="str">
        <f ca="1">CONCATENATE(YEAR( EOMONTH($B$63,(-1*(23+1)))+1 ), IF( MONTH(EOMONTH($B$63,(-1*(23+1)))+1) &lt; 10, "0", "" ), MONTH( EOMONTH($B$63,(-1*(23+1)))+1 ), IF( DAY(EOMONTH($B$63,(-1*(23+1)))+1) &lt; 10, "0", "" ), DAY( EOMONTH($B$63,(-1*(23+1)))+1 ), )</f>
        <v>20160101</v>
      </c>
      <c r="AD66" t="str">
        <f ca="1">CONCATENATE(YEAR( EOMONTH($B$63,(-1*(24+1)))+1 ), IF( MONTH(EOMONTH($B$63,(-1*(24+1)))+1) &lt; 10, "0", "" ), MONTH( EOMONTH($B$63,(-1*(24+1)))+1 ), IF( DAY(EOMONTH($B$63,(-1*(24+1)))+1) &lt; 10, "0", "" ), DAY( EOMONTH($B$63,(-1*(24+1)))+1 ), )</f>
        <v>20151201</v>
      </c>
      <c r="AE66" t="str">
        <f ca="1">CONCATENATE(YEAR( EOMONTH($B$63,(-1*(25+1)))+1 ), IF( MONTH(EOMONTH($B$63,(-1*(25+1)))+1) &lt; 10, "0", "" ), MONTH( EOMONTH($B$63,(-1*(25+1)))+1 ), IF( DAY(EOMONTH($B$63,(-1*(25+1)))+1) &lt; 10, "0", "" ), DAY( EOMONTH($B$63,(-1*(25+1)))+1 ), )</f>
        <v>20151101</v>
      </c>
      <c r="AF66" t="str">
        <f ca="1">CONCATENATE(YEAR( EOMONTH($B$63,(-1*(26+1)))+1 ), IF( MONTH(EOMONTH($B$63,(-1*(26+1)))+1) &lt; 10, "0", "" ), MONTH( EOMONTH($B$63,(-1*(26+1)))+1 ), IF( DAY(EOMONTH($B$63,(-1*(26+1)))+1) &lt; 10, "0", "" ), DAY( EOMONTH($B$63,(-1*(26+1)))+1 ), )</f>
        <v>20151001</v>
      </c>
      <c r="AG66" t="str">
        <f ca="1">CONCATENATE(YEAR( EOMONTH($B$63,(-1*(27+1)))+1 ), IF( MONTH(EOMONTH($B$63,(-1*(27+1)))+1) &lt; 10, "0", "" ), MONTH( EOMONTH($B$63,(-1*(27+1)))+1 ), IF( DAY(EOMONTH($B$63,(-1*(27+1)))+1) &lt; 10, "0", "" ), DAY( EOMONTH($B$63,(-1*(27+1)))+1 ), )</f>
        <v>20150901</v>
      </c>
      <c r="AH66" t="str">
        <f ca="1">CONCATENATE(YEAR( EOMONTH($B$63,(-1*(28+1)))+1 ), IF( MONTH(EOMONTH($B$63,(-1*(28+1)))+1) &lt; 10, "0", "" ), MONTH( EOMONTH($B$63,(-1*(28+1)))+1 ), IF( DAY(EOMONTH($B$63,(-1*(28+1)))+1) &lt; 10, "0", "" ), DAY( EOMONTH($B$63,(-1*(28+1)))+1 ), )</f>
        <v>20150801</v>
      </c>
      <c r="AI66" t="str">
        <f ca="1">CONCATENATE(YEAR( EOMONTH($B$63,(-1*(29+1)))+1 ), IF( MONTH(EOMONTH($B$63,(-1*(29+1)))+1) &lt; 10, "0", "" ), MONTH( EOMONTH($B$63,(-1*(29+1)))+1 ), IF( DAY(EOMONTH($B$63,(-1*(29+1)))+1) &lt; 10, "0", "" ), DAY( EOMONTH($B$63,(-1*(29+1)))+1 ), )</f>
        <v>20150701</v>
      </c>
      <c r="AJ66" t="str">
        <f ca="1">CONCATENATE(YEAR( EOMONTH($B$63,(-1*(30+1)))+1 ), IF( MONTH(EOMONTH($B$63,(-1*(30+1)))+1) &lt; 10, "0", "" ), MONTH( EOMONTH($B$63,(-1*(30+1)))+1 ), IF( DAY(EOMONTH($B$63,(-1*(30+1)))+1) &lt; 10, "0", "" ), DAY( EOMONTH($B$63,(-1*(30+1)))+1 ), )</f>
        <v>20150601</v>
      </c>
      <c r="AK66" t="str">
        <f ca="1">CONCATENATE(YEAR( EOMONTH($B$63,(-1*(31+1)))+1 ), IF( MONTH(EOMONTH($B$63,(-1*(31+1)))+1) &lt; 10, "0", "" ), MONTH( EOMONTH($B$63,(-1*(31+1)))+1 ), IF( DAY(EOMONTH($B$63,(-1*(31+1)))+1) &lt; 10, "0", "" ), DAY( EOMONTH($B$63,(-1*(31+1)))+1 ), )</f>
        <v>20150501</v>
      </c>
      <c r="AL66" t="str">
        <f ca="1">CONCATENATE(YEAR( EOMONTH($B$63,(-1*(32+1)))+1 ), IF( MONTH(EOMONTH($B$63,(-1*(32+1)))+1) &lt; 10, "0", "" ), MONTH( EOMONTH($B$63,(-1*(32+1)))+1 ), IF( DAY(EOMONTH($B$63,(-1*(32+1)))+1) &lt; 10, "0", "" ), DAY( EOMONTH($B$63,(-1*(32+1)))+1 ), )</f>
        <v>20150401</v>
      </c>
      <c r="AM66" t="str">
        <f ca="1">CONCATENATE(YEAR( EOMONTH($B$63,(-1*(33+1)))+1 ), IF( MONTH(EOMONTH($B$63,(-1*(33+1)))+1) &lt; 10, "0", "" ), MONTH( EOMONTH($B$63,(-1*(33+1)))+1 ), IF( DAY(EOMONTH($B$63,(-1*(33+1)))+1) &lt; 10, "0", "" ), DAY( EOMONTH($B$63,(-1*(33+1)))+1 ), )</f>
        <v>20150301</v>
      </c>
      <c r="AN66" t="str">
        <f ca="1">CONCATENATE(YEAR( EOMONTH($B$63,(-1*(34+1)))+1 ), IF( MONTH(EOMONTH($B$63,(-1*(34+1)))+1) &lt; 10, "0", "" ), MONTH( EOMONTH($B$63,(-1*(34+1)))+1 ), IF( DAY(EOMONTH($B$63,(-1*(34+1)))+1) &lt; 10, "0", "" ), DAY( EOMONTH($B$63,(-1*(34+1)))+1 ), )</f>
        <v>20150201</v>
      </c>
      <c r="AO66" t="str">
        <f ca="1">CONCATENATE(YEAR( EOMONTH($B$63,(-1*(35+1)))+1 ), IF( MONTH(EOMONTH($B$63,(-1*(35+1)))+1) &lt; 10, "0", "" ), MONTH( EOMONTH($B$63,(-1*(35+1)))+1 ), IF( DAY(EOMONTH($B$63,(-1*(35+1)))+1) &lt; 10, "0", "" ), DAY( EOMONTH($B$63,(-1*(35+1)))+1 ), )</f>
        <v>20150101</v>
      </c>
      <c r="AP66" t="str">
        <f ca="1">CONCATENATE(YEAR( EOMONTH($B$63,(-1*(36+1)))+1 ), IF( MONTH(EOMONTH($B$63,(-1*(36+1)))+1) &lt; 10, "0", "" ), MONTH( EOMONTH($B$63,(-1*(36+1)))+1 ), IF( DAY(EOMONTH($B$63,(-1*(36+1)))+1) &lt; 10, "0", "" ), DAY( EOMONTH($B$63,(-1*(36+1)))+1 ), )</f>
        <v>20141201</v>
      </c>
      <c r="AQ66" t="str">
        <f ca="1">CONCATENATE(YEAR( EOMONTH($B$63,(-1*(37+1)))+1 ), IF( MONTH(EOMONTH($B$63,(-1*(37+1)))+1) &lt; 10, "0", "" ), MONTH( EOMONTH($B$63,(-1*(37+1)))+1 ), IF( DAY(EOMONTH($B$63,(-1*(37+1)))+1) &lt; 10, "0", "" ), DAY( EOMONTH($B$63,(-1*(37+1)))+1 ), )</f>
        <v>20141101</v>
      </c>
      <c r="AR66" t="str">
        <f ca="1">CONCATENATE(YEAR( EOMONTH($B$63,(-1*(38+1)))+1 ), IF( MONTH(EOMONTH($B$63,(-1*(38+1)))+1) &lt; 10, "0", "" ), MONTH( EOMONTH($B$63,(-1*(38+1)))+1 ), IF( DAY(EOMONTH($B$63,(-1*(38+1)))+1) &lt; 10, "0", "" ), DAY( EOMONTH($B$63,(-1*(38+1)))+1 ), )</f>
        <v>20141001</v>
      </c>
      <c r="AS66" t="str">
        <f ca="1">CONCATENATE(YEAR( EOMONTH($B$63,(-1*(39+1)))+1 ), IF( MONTH(EOMONTH($B$63,(-1*(39+1)))+1) &lt; 10, "0", "" ), MONTH( EOMONTH($B$63,(-1*(39+1)))+1 ), IF( DAY(EOMONTH($B$63,(-1*(39+1)))+1) &lt; 10, "0", "" ), DAY( EOMONTH($B$63,(-1*(39+1)))+1 ), )</f>
        <v>20140901</v>
      </c>
      <c r="AT66" t="str">
        <f>""</f>
        <v/>
      </c>
      <c r="AU66" t="str">
        <f>""</f>
        <v/>
      </c>
      <c r="AV66" t="str">
        <f>""</f>
        <v/>
      </c>
      <c r="AW66" t="str">
        <f>""</f>
        <v/>
      </c>
      <c r="AX66" t="str">
        <f>""</f>
        <v/>
      </c>
      <c r="AY66" t="str">
        <f>""</f>
        <v/>
      </c>
      <c r="AZ66" t="str">
        <f>""</f>
        <v/>
      </c>
      <c r="BA66" t="str">
        <f>""</f>
        <v/>
      </c>
      <c r="BB66" t="str">
        <f>""</f>
        <v/>
      </c>
      <c r="BC66" t="str">
        <f>""</f>
        <v/>
      </c>
      <c r="BD66" t="str">
        <f>""</f>
        <v/>
      </c>
      <c r="BE66" t="str">
        <f>""</f>
        <v/>
      </c>
      <c r="BF66" t="str">
        <f>""</f>
        <v/>
      </c>
      <c r="BG66" t="str">
        <f>""</f>
        <v/>
      </c>
      <c r="BH66" t="str">
        <f>""</f>
        <v/>
      </c>
      <c r="BI66" t="str">
        <f>""</f>
        <v/>
      </c>
      <c r="BJ66" t="str">
        <f>""</f>
        <v/>
      </c>
      <c r="BK66" t="str">
        <f>""</f>
        <v/>
      </c>
      <c r="BL66" t="str">
        <f>""</f>
        <v/>
      </c>
      <c r="BM66" t="str">
        <f>""</f>
        <v/>
      </c>
      <c r="BN66" t="str">
        <f>""</f>
        <v/>
      </c>
      <c r="BO66" t="str">
        <f>""</f>
        <v/>
      </c>
      <c r="BP66" t="str">
        <f>""</f>
        <v/>
      </c>
      <c r="BQ66" t="str">
        <f>""</f>
        <v/>
      </c>
      <c r="BR66" t="str">
        <f>""</f>
        <v/>
      </c>
      <c r="BS66" t="str">
        <f>""</f>
        <v/>
      </c>
      <c r="BT66" t="str">
        <f>""</f>
        <v/>
      </c>
      <c r="BU66" t="str">
        <f>""</f>
        <v/>
      </c>
      <c r="BV66" t="str">
        <f>""</f>
        <v/>
      </c>
      <c r="BW66" t="str">
        <f>""</f>
        <v/>
      </c>
      <c r="BX66" t="str">
        <f>""</f>
        <v/>
      </c>
      <c r="BY66" t="str">
        <f>""</f>
        <v/>
      </c>
      <c r="BZ66" t="str">
        <f>""</f>
        <v/>
      </c>
      <c r="CA66" t="str">
        <f>""</f>
        <v/>
      </c>
      <c r="CB66" t="str">
        <f>""</f>
        <v/>
      </c>
      <c r="CC66" t="str">
        <f>""</f>
        <v/>
      </c>
      <c r="CD66" t="str">
        <f>""</f>
        <v/>
      </c>
      <c r="CE66" t="str">
        <f>""</f>
        <v/>
      </c>
      <c r="CF66" t="str">
        <f>""</f>
        <v/>
      </c>
      <c r="CG66" t="str">
        <f>""</f>
        <v/>
      </c>
    </row>
    <row r="67" spans="1:85" x14ac:dyDescent="0.25">
      <c r="A67" t="str">
        <f>"Period End"</f>
        <v>Period End</v>
      </c>
      <c r="C67" t="str">
        <f>"PX392"</f>
        <v>PX392</v>
      </c>
      <c r="D67" t="str">
        <f>"END_DATE_OVERRIDE"</f>
        <v>END_DATE_OVERRIDE</v>
      </c>
      <c r="E67" t="str">
        <f>"Dynamic"</f>
        <v>Dynamic</v>
      </c>
      <c r="F67" t="str">
        <f ca="1">CONCATENATE(YEAR( EOMONTH($B$63,(-1*0)) ), IF( MONTH(EOMONTH($B$63,(-1*0))) &lt; 10, "0", "" ), MONTH( EOMONTH($B$63,(-1*0)) ), IF( DAY(EOMONTH($B$63,(-1*0))) &lt; 10, "0", "" ), DAY( EOMONTH($B$63,(-1*0)) ), )</f>
        <v>20171231</v>
      </c>
      <c r="G67" t="str">
        <f ca="1">CONCATENATE(YEAR( EOMONTH($B$63,(-1*1)) ), IF( MONTH(EOMONTH($B$63,(-1*1))) &lt; 10, "0", "" ), MONTH( EOMONTH($B$63,(-1*1)) ), IF( DAY(EOMONTH($B$63,(-1*1))) &lt; 10, "0", "" ), DAY( EOMONTH($B$63,(-1*1)) ), )</f>
        <v>20171130</v>
      </c>
      <c r="H67" t="str">
        <f ca="1">CONCATENATE(YEAR( EOMONTH($B$63,(-1*2)) ), IF( MONTH(EOMONTH($B$63,(-1*2))) &lt; 10, "0", "" ), MONTH( EOMONTH($B$63,(-1*2)) ), IF( DAY(EOMONTH($B$63,(-1*2))) &lt; 10, "0", "" ), DAY( EOMONTH($B$63,(-1*2)) ), )</f>
        <v>20171031</v>
      </c>
      <c r="I67" t="str">
        <f ca="1">CONCATENATE(YEAR( EOMONTH($B$63,(-1*3)) ), IF( MONTH(EOMONTH($B$63,(-1*3))) &lt; 10, "0", "" ), MONTH( EOMONTH($B$63,(-1*3)) ), IF( DAY(EOMONTH($B$63,(-1*3))) &lt; 10, "0", "" ), DAY( EOMONTH($B$63,(-1*3)) ), )</f>
        <v>20170930</v>
      </c>
      <c r="J67" t="str">
        <f ca="1">CONCATENATE(YEAR( EOMONTH($B$63,(-1*4)) ), IF( MONTH(EOMONTH($B$63,(-1*4))) &lt; 10, "0", "" ), MONTH( EOMONTH($B$63,(-1*4)) ), IF( DAY(EOMONTH($B$63,(-1*4))) &lt; 10, "0", "" ), DAY( EOMONTH($B$63,(-1*4)) ), )</f>
        <v>20170831</v>
      </c>
      <c r="K67" t="str">
        <f ca="1">CONCATENATE(YEAR( EOMONTH($B$63,(-1*5)) ), IF( MONTH(EOMONTH($B$63,(-1*5))) &lt; 10, "0", "" ), MONTH( EOMONTH($B$63,(-1*5)) ), IF( DAY(EOMONTH($B$63,(-1*5))) &lt; 10, "0", "" ), DAY( EOMONTH($B$63,(-1*5)) ), )</f>
        <v>20170731</v>
      </c>
      <c r="L67" t="str">
        <f ca="1">CONCATENATE(YEAR( EOMONTH($B$63,(-1*6)) ), IF( MONTH(EOMONTH($B$63,(-1*6))) &lt; 10, "0", "" ), MONTH( EOMONTH($B$63,(-1*6)) ), IF( DAY(EOMONTH($B$63,(-1*6))) &lt; 10, "0", "" ), DAY( EOMONTH($B$63,(-1*6)) ), )</f>
        <v>20170630</v>
      </c>
      <c r="M67" t="str">
        <f ca="1">CONCATENATE(YEAR( EOMONTH($B$63,(-1*7)) ), IF( MONTH(EOMONTH($B$63,(-1*7))) &lt; 10, "0", "" ), MONTH( EOMONTH($B$63,(-1*7)) ), IF( DAY(EOMONTH($B$63,(-1*7))) &lt; 10, "0", "" ), DAY( EOMONTH($B$63,(-1*7)) ), )</f>
        <v>20170531</v>
      </c>
      <c r="N67" t="str">
        <f ca="1">CONCATENATE(YEAR( EOMONTH($B$63,(-1*8)) ), IF( MONTH(EOMONTH($B$63,(-1*8))) &lt; 10, "0", "" ), MONTH( EOMONTH($B$63,(-1*8)) ), IF( DAY(EOMONTH($B$63,(-1*8))) &lt; 10, "0", "" ), DAY( EOMONTH($B$63,(-1*8)) ), )</f>
        <v>20170430</v>
      </c>
      <c r="O67" t="str">
        <f ca="1">CONCATENATE(YEAR( EOMONTH($B$63,(-1*9)) ), IF( MONTH(EOMONTH($B$63,(-1*9))) &lt; 10, "0", "" ), MONTH( EOMONTH($B$63,(-1*9)) ), IF( DAY(EOMONTH($B$63,(-1*9))) &lt; 10, "0", "" ), DAY( EOMONTH($B$63,(-1*9)) ), )</f>
        <v>20170331</v>
      </c>
      <c r="P67" t="str">
        <f ca="1">CONCATENATE(YEAR( EOMONTH($B$63,(-1*10)) ), IF( MONTH(EOMONTH($B$63,(-1*10))) &lt; 10, "0", "" ), MONTH( EOMONTH($B$63,(-1*10)) ), IF( DAY(EOMONTH($B$63,(-1*10))) &lt; 10, "0", "" ), DAY( EOMONTH($B$63,(-1*10)) ), )</f>
        <v>20170228</v>
      </c>
      <c r="Q67" t="str">
        <f ca="1">CONCATENATE(YEAR( EOMONTH($B$63,(-1*11)) ), IF( MONTH(EOMONTH($B$63,(-1*11))) &lt; 10, "0", "" ), MONTH( EOMONTH($B$63,(-1*11)) ), IF( DAY(EOMONTH($B$63,(-1*11))) &lt; 10, "0", "" ), DAY( EOMONTH($B$63,(-1*11)) ), )</f>
        <v>20170131</v>
      </c>
      <c r="R67" t="str">
        <f ca="1">CONCATENATE(YEAR( EOMONTH($B$63,(-1*12)) ), IF( MONTH(EOMONTH($B$63,(-1*12))) &lt; 10, "0", "" ), MONTH( EOMONTH($B$63,(-1*12)) ), IF( DAY(EOMONTH($B$63,(-1*12))) &lt; 10, "0", "" ), DAY( EOMONTH($B$63,(-1*12)) ), )</f>
        <v>20161231</v>
      </c>
      <c r="S67" t="str">
        <f ca="1">CONCATENATE(YEAR( EOMONTH($B$63,(-1*13)) ), IF( MONTH(EOMONTH($B$63,(-1*13))) &lt; 10, "0", "" ), MONTH( EOMONTH($B$63,(-1*13)) ), IF( DAY(EOMONTH($B$63,(-1*13))) &lt; 10, "0", "" ), DAY( EOMONTH($B$63,(-1*13)) ), )</f>
        <v>20161130</v>
      </c>
      <c r="T67" t="str">
        <f ca="1">CONCATENATE(YEAR( EOMONTH($B$63,(-1*14)) ), IF( MONTH(EOMONTH($B$63,(-1*14))) &lt; 10, "0", "" ), MONTH( EOMONTH($B$63,(-1*14)) ), IF( DAY(EOMONTH($B$63,(-1*14))) &lt; 10, "0", "" ), DAY( EOMONTH($B$63,(-1*14)) ), )</f>
        <v>20161031</v>
      </c>
      <c r="U67" t="str">
        <f ca="1">CONCATENATE(YEAR( EOMONTH($B$63,(-1*15)) ), IF( MONTH(EOMONTH($B$63,(-1*15))) &lt; 10, "0", "" ), MONTH( EOMONTH($B$63,(-1*15)) ), IF( DAY(EOMONTH($B$63,(-1*15))) &lt; 10, "0", "" ), DAY( EOMONTH($B$63,(-1*15)) ), )</f>
        <v>20160930</v>
      </c>
      <c r="V67" t="str">
        <f ca="1">CONCATENATE(YEAR( EOMONTH($B$63,(-1*16)) ), IF( MONTH(EOMONTH($B$63,(-1*16))) &lt; 10, "0", "" ), MONTH( EOMONTH($B$63,(-1*16)) ), IF( DAY(EOMONTH($B$63,(-1*16))) &lt; 10, "0", "" ), DAY( EOMONTH($B$63,(-1*16)) ), )</f>
        <v>20160831</v>
      </c>
      <c r="W67" t="str">
        <f ca="1">CONCATENATE(YEAR( EOMONTH($B$63,(-1*17)) ), IF( MONTH(EOMONTH($B$63,(-1*17))) &lt; 10, "0", "" ), MONTH( EOMONTH($B$63,(-1*17)) ), IF( DAY(EOMONTH($B$63,(-1*17))) &lt; 10, "0", "" ), DAY( EOMONTH($B$63,(-1*17)) ), )</f>
        <v>20160731</v>
      </c>
      <c r="X67" t="str">
        <f ca="1">CONCATENATE(YEAR( EOMONTH($B$63,(-1*18)) ), IF( MONTH(EOMONTH($B$63,(-1*18))) &lt; 10, "0", "" ), MONTH( EOMONTH($B$63,(-1*18)) ), IF( DAY(EOMONTH($B$63,(-1*18))) &lt; 10, "0", "" ), DAY( EOMONTH($B$63,(-1*18)) ), )</f>
        <v>20160630</v>
      </c>
      <c r="Y67" t="str">
        <f ca="1">CONCATENATE(YEAR( EOMONTH($B$63,(-1*19)) ), IF( MONTH(EOMONTH($B$63,(-1*19))) &lt; 10, "0", "" ), MONTH( EOMONTH($B$63,(-1*19)) ), IF( DAY(EOMONTH($B$63,(-1*19))) &lt; 10, "0", "" ), DAY( EOMONTH($B$63,(-1*19)) ), )</f>
        <v>20160531</v>
      </c>
      <c r="Z67" t="str">
        <f ca="1">CONCATENATE(YEAR( EOMONTH($B$63,(-1*20)) ), IF( MONTH(EOMONTH($B$63,(-1*20))) &lt; 10, "0", "" ), MONTH( EOMONTH($B$63,(-1*20)) ), IF( DAY(EOMONTH($B$63,(-1*20))) &lt; 10, "0", "" ), DAY( EOMONTH($B$63,(-1*20)) ), )</f>
        <v>20160430</v>
      </c>
      <c r="AA67" t="str">
        <f ca="1">CONCATENATE(YEAR( EOMONTH($B$63,(-1*21)) ), IF( MONTH(EOMONTH($B$63,(-1*21))) &lt; 10, "0", "" ), MONTH( EOMONTH($B$63,(-1*21)) ), IF( DAY(EOMONTH($B$63,(-1*21))) &lt; 10, "0", "" ), DAY( EOMONTH($B$63,(-1*21)) ), )</f>
        <v>20160331</v>
      </c>
      <c r="AB67" t="str">
        <f ca="1">CONCATENATE(YEAR( EOMONTH($B$63,(-1*22)) ), IF( MONTH(EOMONTH($B$63,(-1*22))) &lt; 10, "0", "" ), MONTH( EOMONTH($B$63,(-1*22)) ), IF( DAY(EOMONTH($B$63,(-1*22))) &lt; 10, "0", "" ), DAY( EOMONTH($B$63,(-1*22)) ), )</f>
        <v>20160229</v>
      </c>
      <c r="AC67" t="str">
        <f ca="1">CONCATENATE(YEAR( EOMONTH($B$63,(-1*23)) ), IF( MONTH(EOMONTH($B$63,(-1*23))) &lt; 10, "0", "" ), MONTH( EOMONTH($B$63,(-1*23)) ), IF( DAY(EOMONTH($B$63,(-1*23))) &lt; 10, "0", "" ), DAY( EOMONTH($B$63,(-1*23)) ), )</f>
        <v>20160131</v>
      </c>
      <c r="AD67" t="str">
        <f ca="1">CONCATENATE(YEAR( EOMONTH($B$63,(-1*24)) ), IF( MONTH(EOMONTH($B$63,(-1*24))) &lt; 10, "0", "" ), MONTH( EOMONTH($B$63,(-1*24)) ), IF( DAY(EOMONTH($B$63,(-1*24))) &lt; 10, "0", "" ), DAY( EOMONTH($B$63,(-1*24)) ), )</f>
        <v>20151231</v>
      </c>
      <c r="AE67" t="str">
        <f ca="1">CONCATENATE(YEAR( EOMONTH($B$63,(-1*25)) ), IF( MONTH(EOMONTH($B$63,(-1*25))) &lt; 10, "0", "" ), MONTH( EOMONTH($B$63,(-1*25)) ), IF( DAY(EOMONTH($B$63,(-1*25))) &lt; 10, "0", "" ), DAY( EOMONTH($B$63,(-1*25)) ), )</f>
        <v>20151130</v>
      </c>
      <c r="AF67" t="str">
        <f ca="1">CONCATENATE(YEAR( EOMONTH($B$63,(-1*26)) ), IF( MONTH(EOMONTH($B$63,(-1*26))) &lt; 10, "0", "" ), MONTH( EOMONTH($B$63,(-1*26)) ), IF( DAY(EOMONTH($B$63,(-1*26))) &lt; 10, "0", "" ), DAY( EOMONTH($B$63,(-1*26)) ), )</f>
        <v>20151031</v>
      </c>
      <c r="AG67" t="str">
        <f ca="1">CONCATENATE(YEAR( EOMONTH($B$63,(-1*27)) ), IF( MONTH(EOMONTH($B$63,(-1*27))) &lt; 10, "0", "" ), MONTH( EOMONTH($B$63,(-1*27)) ), IF( DAY(EOMONTH($B$63,(-1*27))) &lt; 10, "0", "" ), DAY( EOMONTH($B$63,(-1*27)) ), )</f>
        <v>20150930</v>
      </c>
      <c r="AH67" t="str">
        <f ca="1">CONCATENATE(YEAR( EOMONTH($B$63,(-1*28)) ), IF( MONTH(EOMONTH($B$63,(-1*28))) &lt; 10, "0", "" ), MONTH( EOMONTH($B$63,(-1*28)) ), IF( DAY(EOMONTH($B$63,(-1*28))) &lt; 10, "0", "" ), DAY( EOMONTH($B$63,(-1*28)) ), )</f>
        <v>20150831</v>
      </c>
      <c r="AI67" t="str">
        <f ca="1">CONCATENATE(YEAR( EOMONTH($B$63,(-1*29)) ), IF( MONTH(EOMONTH($B$63,(-1*29))) &lt; 10, "0", "" ), MONTH( EOMONTH($B$63,(-1*29)) ), IF( DAY(EOMONTH($B$63,(-1*29))) &lt; 10, "0", "" ), DAY( EOMONTH($B$63,(-1*29)) ), )</f>
        <v>20150731</v>
      </c>
      <c r="AJ67" t="str">
        <f ca="1">CONCATENATE(YEAR( EOMONTH($B$63,(-1*30)) ), IF( MONTH(EOMONTH($B$63,(-1*30))) &lt; 10, "0", "" ), MONTH( EOMONTH($B$63,(-1*30)) ), IF( DAY(EOMONTH($B$63,(-1*30))) &lt; 10, "0", "" ), DAY( EOMONTH($B$63,(-1*30)) ), )</f>
        <v>20150630</v>
      </c>
      <c r="AK67" t="str">
        <f ca="1">CONCATENATE(YEAR( EOMONTH($B$63,(-1*31)) ), IF( MONTH(EOMONTH($B$63,(-1*31))) &lt; 10, "0", "" ), MONTH( EOMONTH($B$63,(-1*31)) ), IF( DAY(EOMONTH($B$63,(-1*31))) &lt; 10, "0", "" ), DAY( EOMONTH($B$63,(-1*31)) ), )</f>
        <v>20150531</v>
      </c>
      <c r="AL67" t="str">
        <f ca="1">CONCATENATE(YEAR( EOMONTH($B$63,(-1*32)) ), IF( MONTH(EOMONTH($B$63,(-1*32))) &lt; 10, "0", "" ), MONTH( EOMONTH($B$63,(-1*32)) ), IF( DAY(EOMONTH($B$63,(-1*32))) &lt; 10, "0", "" ), DAY( EOMONTH($B$63,(-1*32)) ), )</f>
        <v>20150430</v>
      </c>
      <c r="AM67" t="str">
        <f ca="1">CONCATENATE(YEAR( EOMONTH($B$63,(-1*33)) ), IF( MONTH(EOMONTH($B$63,(-1*33))) &lt; 10, "0", "" ), MONTH( EOMONTH($B$63,(-1*33)) ), IF( DAY(EOMONTH($B$63,(-1*33))) &lt; 10, "0", "" ), DAY( EOMONTH($B$63,(-1*33)) ), )</f>
        <v>20150331</v>
      </c>
      <c r="AN67" t="str">
        <f ca="1">CONCATENATE(YEAR( EOMONTH($B$63,(-1*34)) ), IF( MONTH(EOMONTH($B$63,(-1*34))) &lt; 10, "0", "" ), MONTH( EOMONTH($B$63,(-1*34)) ), IF( DAY(EOMONTH($B$63,(-1*34))) &lt; 10, "0", "" ), DAY( EOMONTH($B$63,(-1*34)) ), )</f>
        <v>20150228</v>
      </c>
      <c r="AO67" t="str">
        <f ca="1">CONCATENATE(YEAR( EOMONTH($B$63,(-1*35)) ), IF( MONTH(EOMONTH($B$63,(-1*35))) &lt; 10, "0", "" ), MONTH( EOMONTH($B$63,(-1*35)) ), IF( DAY(EOMONTH($B$63,(-1*35))) &lt; 10, "0", "" ), DAY( EOMONTH($B$63,(-1*35)) ), )</f>
        <v>20150131</v>
      </c>
      <c r="AP67" t="str">
        <f ca="1">CONCATENATE(YEAR( EOMONTH($B$63,(-1*36)) ), IF( MONTH(EOMONTH($B$63,(-1*36))) &lt; 10, "0", "" ), MONTH( EOMONTH($B$63,(-1*36)) ), IF( DAY(EOMONTH($B$63,(-1*36))) &lt; 10, "0", "" ), DAY( EOMONTH($B$63,(-1*36)) ), )</f>
        <v>20141231</v>
      </c>
      <c r="AQ67" t="str">
        <f ca="1">CONCATENATE(YEAR( EOMONTH($B$63,(-1*37)) ), IF( MONTH(EOMONTH($B$63,(-1*37))) &lt; 10, "0", "" ), MONTH( EOMONTH($B$63,(-1*37)) ), IF( DAY(EOMONTH($B$63,(-1*37))) &lt; 10, "0", "" ), DAY( EOMONTH($B$63,(-1*37)) ), )</f>
        <v>20141130</v>
      </c>
      <c r="AR67" t="str">
        <f ca="1">CONCATENATE(YEAR( EOMONTH($B$63,(-1*38)) ), IF( MONTH(EOMONTH($B$63,(-1*38))) &lt; 10, "0", "" ), MONTH( EOMONTH($B$63,(-1*38)) ), IF( DAY(EOMONTH($B$63,(-1*38))) &lt; 10, "0", "" ), DAY( EOMONTH($B$63,(-1*38)) ), )</f>
        <v>20141031</v>
      </c>
      <c r="AS67" t="str">
        <f ca="1">CONCATENATE(YEAR( EOMONTH($B$63,(-1*39)) ), IF( MONTH(EOMONTH($B$63,(-1*39))) &lt; 10, "0", "" ), MONTH( EOMONTH($B$63,(-1*39)) ), IF( DAY(EOMONTH($B$63,(-1*39))) &lt; 10, "0", "" ), DAY( EOMONTH($B$63,(-1*39)) ), )</f>
        <v>20140930</v>
      </c>
      <c r="AT67" t="str">
        <f>""</f>
        <v/>
      </c>
      <c r="AU67" t="str">
        <f>""</f>
        <v/>
      </c>
      <c r="AV67" t="str">
        <f>""</f>
        <v/>
      </c>
      <c r="AW67" t="str">
        <f>""</f>
        <v/>
      </c>
      <c r="AX67" t="str">
        <f>""</f>
        <v/>
      </c>
      <c r="AY67" t="str">
        <f>""</f>
        <v/>
      </c>
      <c r="AZ67" t="str">
        <f>""</f>
        <v/>
      </c>
      <c r="BA67" t="str">
        <f>""</f>
        <v/>
      </c>
      <c r="BB67" t="str">
        <f>""</f>
        <v/>
      </c>
      <c r="BC67" t="str">
        <f>""</f>
        <v/>
      </c>
      <c r="BD67" t="str">
        <f>""</f>
        <v/>
      </c>
      <c r="BE67" t="str">
        <f>""</f>
        <v/>
      </c>
      <c r="BF67" t="str">
        <f>""</f>
        <v/>
      </c>
      <c r="BG67" t="str">
        <f>""</f>
        <v/>
      </c>
      <c r="BH67" t="str">
        <f>""</f>
        <v/>
      </c>
      <c r="BI67" t="str">
        <f>""</f>
        <v/>
      </c>
      <c r="BJ67" t="str">
        <f>""</f>
        <v/>
      </c>
      <c r="BK67" t="str">
        <f>""</f>
        <v/>
      </c>
      <c r="BL67" t="str">
        <f>""</f>
        <v/>
      </c>
      <c r="BM67" t="str">
        <f>""</f>
        <v/>
      </c>
      <c r="BN67" t="str">
        <f>""</f>
        <v/>
      </c>
      <c r="BO67" t="str">
        <f>""</f>
        <v/>
      </c>
      <c r="BP67" t="str">
        <f>""</f>
        <v/>
      </c>
      <c r="BQ67" t="str">
        <f>""</f>
        <v/>
      </c>
      <c r="BR67" t="str">
        <f>""</f>
        <v/>
      </c>
      <c r="BS67" t="str">
        <f>""</f>
        <v/>
      </c>
      <c r="BT67" t="str">
        <f>""</f>
        <v/>
      </c>
      <c r="BU67" t="str">
        <f>""</f>
        <v/>
      </c>
      <c r="BV67" t="str">
        <f>""</f>
        <v/>
      </c>
      <c r="BW67" t="str">
        <f>""</f>
        <v/>
      </c>
      <c r="BX67" t="str">
        <f>""</f>
        <v/>
      </c>
      <c r="BY67" t="str">
        <f>""</f>
        <v/>
      </c>
      <c r="BZ67" t="str">
        <f>""</f>
        <v/>
      </c>
      <c r="CA67" t="str">
        <f>""</f>
        <v/>
      </c>
      <c r="CB67" t="str">
        <f>""</f>
        <v/>
      </c>
      <c r="CC67" t="str">
        <f>""</f>
        <v/>
      </c>
      <c r="CD67" t="str">
        <f>""</f>
        <v/>
      </c>
      <c r="CE67" t="str">
        <f>""</f>
        <v/>
      </c>
      <c r="CF67" t="str">
        <f>""</f>
        <v/>
      </c>
      <c r="CG67" t="str">
        <f>""</f>
        <v/>
      </c>
    </row>
    <row r="68" spans="1:85" x14ac:dyDescent="0.25">
      <c r="A68" t="str">
        <f>$A$29</f>
        <v>Heavy (GCV &gt;45t)</v>
      </c>
      <c r="B68" t="str">
        <f>$B$29</f>
        <v>BZVLMIHV Index</v>
      </c>
      <c r="C68" t="str">
        <f>$C$29</f>
        <v>PR005</v>
      </c>
      <c r="D68" t="str">
        <f>$D$29</f>
        <v>PX_LAST</v>
      </c>
      <c r="E68" t="str">
        <f>$E$29</f>
        <v>Dynamic</v>
      </c>
      <c r="F68" t="e">
        <f ca="1">_xll.BDH($B$29,$C$29,$B$62,$B$63,CONCATENATE("Per=",$B$60),"Dts=H","Dir=H",CONCATENATE("Points=",$B$61),"Sort=R","Days=A","Fill=B",CONCATENATE("FX=", $B$59),"cols=40;rows=1")</f>
        <v>#NAME?</v>
      </c>
      <c r="H68">
        <v>1974</v>
      </c>
      <c r="I68">
        <v>1725</v>
      </c>
      <c r="J68">
        <v>1693</v>
      </c>
      <c r="K68">
        <v>1555</v>
      </c>
      <c r="L68">
        <v>1406</v>
      </c>
      <c r="M68">
        <v>1486</v>
      </c>
      <c r="N68">
        <v>1308</v>
      </c>
      <c r="O68">
        <v>1468</v>
      </c>
      <c r="P68">
        <v>901</v>
      </c>
      <c r="Q68">
        <v>1003</v>
      </c>
      <c r="R68">
        <v>1354</v>
      </c>
      <c r="S68">
        <v>1139</v>
      </c>
      <c r="T68">
        <v>853</v>
      </c>
      <c r="U68">
        <v>1125</v>
      </c>
      <c r="V68">
        <v>1299</v>
      </c>
      <c r="W68">
        <v>1538</v>
      </c>
      <c r="X68">
        <v>1146</v>
      </c>
      <c r="Y68">
        <v>1228</v>
      </c>
      <c r="Z68">
        <v>1297</v>
      </c>
      <c r="AA68">
        <v>1650</v>
      </c>
      <c r="AB68">
        <v>1176</v>
      </c>
      <c r="AC68">
        <v>1397</v>
      </c>
      <c r="AD68">
        <v>1709</v>
      </c>
      <c r="AE68">
        <v>1257</v>
      </c>
      <c r="AF68">
        <v>1788</v>
      </c>
      <c r="AG68">
        <v>1542</v>
      </c>
      <c r="AH68">
        <v>1530</v>
      </c>
      <c r="AI68">
        <v>1669</v>
      </c>
      <c r="AJ68">
        <v>1543</v>
      </c>
      <c r="AK68">
        <v>1660</v>
      </c>
      <c r="AL68">
        <v>1547</v>
      </c>
      <c r="AM68">
        <v>1461</v>
      </c>
      <c r="AN68">
        <v>1061</v>
      </c>
      <c r="AO68">
        <v>1896</v>
      </c>
      <c r="AP68">
        <v>4521</v>
      </c>
      <c r="AQ68">
        <v>3907</v>
      </c>
      <c r="AR68">
        <v>3938</v>
      </c>
      <c r="AS68">
        <v>3598</v>
      </c>
      <c r="AT68" t="str">
        <f>""</f>
        <v/>
      </c>
      <c r="AU68" t="str">
        <f>""</f>
        <v/>
      </c>
      <c r="AV68" t="str">
        <f>""</f>
        <v/>
      </c>
      <c r="AW68" t="str">
        <f>""</f>
        <v/>
      </c>
      <c r="AX68" t="str">
        <f>""</f>
        <v/>
      </c>
      <c r="AY68" t="str">
        <f>""</f>
        <v/>
      </c>
      <c r="AZ68" t="str">
        <f>""</f>
        <v/>
      </c>
      <c r="BA68" t="str">
        <f>""</f>
        <v/>
      </c>
      <c r="BB68" t="str">
        <f>""</f>
        <v/>
      </c>
      <c r="BC68" t="str">
        <f>""</f>
        <v/>
      </c>
      <c r="BD68" t="str">
        <f>""</f>
        <v/>
      </c>
      <c r="BE68" t="str">
        <f>""</f>
        <v/>
      </c>
      <c r="BF68" t="str">
        <f>""</f>
        <v/>
      </c>
      <c r="BG68" t="str">
        <f>""</f>
        <v/>
      </c>
      <c r="BH68" t="str">
        <f>""</f>
        <v/>
      </c>
      <c r="BI68" t="str">
        <f>""</f>
        <v/>
      </c>
      <c r="BJ68" t="str">
        <f>""</f>
        <v/>
      </c>
      <c r="BK68" t="str">
        <f>""</f>
        <v/>
      </c>
      <c r="BL68" t="str">
        <f>""</f>
        <v/>
      </c>
      <c r="BM68" t="str">
        <f>""</f>
        <v/>
      </c>
      <c r="BN68" t="str">
        <f>""</f>
        <v/>
      </c>
      <c r="BO68" t="str">
        <f>""</f>
        <v/>
      </c>
      <c r="BP68" t="str">
        <f>""</f>
        <v/>
      </c>
      <c r="BQ68" t="str">
        <f>""</f>
        <v/>
      </c>
      <c r="BR68" t="str">
        <f>""</f>
        <v/>
      </c>
      <c r="BS68" t="str">
        <f>""</f>
        <v/>
      </c>
      <c r="BT68" t="str">
        <f>""</f>
        <v/>
      </c>
      <c r="BU68" t="str">
        <f>""</f>
        <v/>
      </c>
      <c r="BV68" t="str">
        <f>""</f>
        <v/>
      </c>
      <c r="BW68" t="str">
        <f>""</f>
        <v/>
      </c>
      <c r="BX68" t="str">
        <f>""</f>
        <v/>
      </c>
      <c r="BY68" t="str">
        <f>""</f>
        <v/>
      </c>
      <c r="BZ68" t="str">
        <f>""</f>
        <v/>
      </c>
      <c r="CA68" t="str">
        <f>""</f>
        <v/>
      </c>
      <c r="CB68" t="str">
        <f>""</f>
        <v/>
      </c>
      <c r="CC68" t="str">
        <f>""</f>
        <v/>
      </c>
      <c r="CD68" t="str">
        <f>""</f>
        <v/>
      </c>
      <c r="CE68" t="str">
        <f>""</f>
        <v/>
      </c>
      <c r="CF68" t="str">
        <f>""</f>
        <v/>
      </c>
      <c r="CG68" t="str">
        <f>""</f>
        <v/>
      </c>
    </row>
    <row r="69" spans="1:85" x14ac:dyDescent="0.25">
      <c r="A69" t="str">
        <f>$A$30</f>
        <v xml:space="preserve">    Scania</v>
      </c>
      <c r="B69" t="str">
        <f>$B$30</f>
        <v>BRTRHSCA Index</v>
      </c>
      <c r="C69" t="str">
        <f>$C$30</f>
        <v>PX385</v>
      </c>
      <c r="D69" t="str">
        <f>$D$30</f>
        <v>INTERVAL_SUM</v>
      </c>
      <c r="E69" t="str">
        <f>$E$30</f>
        <v>Dynamic</v>
      </c>
      <c r="F69" t="e">
        <f ca="1">_xll.BDP($B$30,$C$30,CONCATENATE("PX391=", $F$66), CONCATENATE("PX392=",$F$67), CONCATENATE("DS004=",$B$59), "Fill=B")</f>
        <v>#NAME?</v>
      </c>
      <c r="G69" t="e">
        <f ca="1">_xll.BDP($B$30,$C$30,CONCATENATE("PX391=", $G$66), CONCATENATE("PX392=",$G$67), CONCATENATE("DS004=",$B$59), "Fill=B")</f>
        <v>#NAME?</v>
      </c>
      <c r="H69" t="e">
        <f ca="1">_xll.BDP($B$30,$C$30,CONCATENATE("PX391=", $H$66), CONCATENATE("PX392=",$H$67), CONCATENATE("DS004=",$B$59), "Fill=B")</f>
        <v>#NAME?</v>
      </c>
      <c r="I69" t="e">
        <f ca="1">_xll.BDP($B$30,$C$30,CONCATENATE("PX391=", $I$66), CONCATENATE("PX392=",$I$67), CONCATENATE("DS004=",$B$59), "Fill=B")</f>
        <v>#NAME?</v>
      </c>
      <c r="J69" t="e">
        <f ca="1">_xll.BDP($B$30,$C$30,CONCATENATE("PX391=", $J$66), CONCATENATE("PX392=",$J$67), CONCATENATE("DS004=",$B$59), "Fill=B")</f>
        <v>#NAME?</v>
      </c>
      <c r="K69" t="e">
        <f ca="1">_xll.BDP($B$30,$C$30,CONCATENATE("PX391=", $K$66), CONCATENATE("PX392=",$K$67), CONCATENATE("DS004=",$B$59), "Fill=B")</f>
        <v>#NAME?</v>
      </c>
      <c r="L69" t="e">
        <f ca="1">_xll.BDP($B$30,$C$30,CONCATENATE("PX391=", $L$66), CONCATENATE("PX392=",$L$67), CONCATENATE("DS004=",$B$59), "Fill=B")</f>
        <v>#NAME?</v>
      </c>
      <c r="M69" t="e">
        <f ca="1">_xll.BDP($B$30,$C$30,CONCATENATE("PX391=", $M$66), CONCATENATE("PX392=",$M$67), CONCATENATE("DS004=",$B$59), "Fill=B")</f>
        <v>#NAME?</v>
      </c>
      <c r="N69" t="e">
        <f ca="1">_xll.BDP($B$30,$C$30,CONCATENATE("PX391=", $N$66), CONCATENATE("PX392=",$N$67), CONCATENATE("DS004=",$B$59), "Fill=B")</f>
        <v>#NAME?</v>
      </c>
      <c r="O69" t="e">
        <f ca="1">_xll.BDP($B$30,$C$30,CONCATENATE("PX391=", $O$66), CONCATENATE("PX392=",$O$67), CONCATENATE("DS004=",$B$59), "Fill=B")</f>
        <v>#NAME?</v>
      </c>
      <c r="P69" t="e">
        <f ca="1">_xll.BDP($B$30,$C$30,CONCATENATE("PX391=", $P$66), CONCATENATE("PX392=",$P$67), CONCATENATE("DS004=",$B$59), "Fill=B")</f>
        <v>#NAME?</v>
      </c>
      <c r="Q69" t="e">
        <f ca="1">_xll.BDP($B$30,$C$30,CONCATENATE("PX391=", $Q$66), CONCATENATE("PX392=",$Q$67), CONCATENATE("DS004=",$B$59), "Fill=B")</f>
        <v>#NAME?</v>
      </c>
      <c r="R69" t="e">
        <f ca="1">_xll.BDP($B$30,$C$30,CONCATENATE("PX391=", $R$66), CONCATENATE("PX392=",$R$67), CONCATENATE("DS004=",$B$59), "Fill=B")</f>
        <v>#NAME?</v>
      </c>
      <c r="S69" t="e">
        <f ca="1">_xll.BDP($B$30,$C$30,CONCATENATE("PX391=", $S$66), CONCATENATE("PX392=",$S$67), CONCATENATE("DS004=",$B$59), "Fill=B")</f>
        <v>#NAME?</v>
      </c>
      <c r="T69" t="e">
        <f ca="1">_xll.BDP($B$30,$C$30,CONCATENATE("PX391=", $T$66), CONCATENATE("PX392=",$T$67), CONCATENATE("DS004=",$B$59), "Fill=B")</f>
        <v>#NAME?</v>
      </c>
      <c r="U69" t="e">
        <f ca="1">_xll.BDP($B$30,$C$30,CONCATENATE("PX391=", $U$66), CONCATENATE("PX392=",$U$67), CONCATENATE("DS004=",$B$59), "Fill=B")</f>
        <v>#NAME?</v>
      </c>
      <c r="V69" t="e">
        <f ca="1">_xll.BDP($B$30,$C$30,CONCATENATE("PX391=", $V$66), CONCATENATE("PX392=",$V$67), CONCATENATE("DS004=",$B$59), "Fill=B")</f>
        <v>#NAME?</v>
      </c>
      <c r="W69" t="e">
        <f ca="1">_xll.BDP($B$30,$C$30,CONCATENATE("PX391=", $W$66), CONCATENATE("PX392=",$W$67), CONCATENATE("DS004=",$B$59), "Fill=B")</f>
        <v>#NAME?</v>
      </c>
      <c r="X69" t="e">
        <f ca="1">_xll.BDP($B$30,$C$30,CONCATENATE("PX391=", $X$66), CONCATENATE("PX392=",$X$67), CONCATENATE("DS004=",$B$59), "Fill=B")</f>
        <v>#NAME?</v>
      </c>
      <c r="Y69" t="e">
        <f ca="1">_xll.BDP($B$30,$C$30,CONCATENATE("PX391=", $Y$66), CONCATENATE("PX392=",$Y$67), CONCATENATE("DS004=",$B$59), "Fill=B")</f>
        <v>#NAME?</v>
      </c>
      <c r="Z69" t="e">
        <f ca="1">_xll.BDP($B$30,$C$30,CONCATENATE("PX391=", $Z$66), CONCATENATE("PX392=",$Z$67), CONCATENATE("DS004=",$B$59), "Fill=B")</f>
        <v>#NAME?</v>
      </c>
      <c r="AA69" t="e">
        <f ca="1">_xll.BDP($B$30,$C$30,CONCATENATE("PX391=", $AA$66), CONCATENATE("PX392=",$AA$67), CONCATENATE("DS004=",$B$59), "Fill=B")</f>
        <v>#NAME?</v>
      </c>
      <c r="AB69" t="e">
        <f ca="1">_xll.BDP($B$30,$C$30,CONCATENATE("PX391=", $AB$66), CONCATENATE("PX392=",$AB$67), CONCATENATE("DS004=",$B$59), "Fill=B")</f>
        <v>#NAME?</v>
      </c>
      <c r="AC69" t="e">
        <f ca="1">_xll.BDP($B$30,$C$30,CONCATENATE("PX391=", $AC$66), CONCATENATE("PX392=",$AC$67), CONCATENATE("DS004=",$B$59), "Fill=B")</f>
        <v>#NAME?</v>
      </c>
      <c r="AD69" t="e">
        <f ca="1">_xll.BDP($B$30,$C$30,CONCATENATE("PX391=", $AD$66), CONCATENATE("PX392=",$AD$67), CONCATENATE("DS004=",$B$59), "Fill=B")</f>
        <v>#NAME?</v>
      </c>
      <c r="AE69" t="e">
        <f ca="1">_xll.BDP($B$30,$C$30,CONCATENATE("PX391=", $AE$66), CONCATENATE("PX392=",$AE$67), CONCATENATE("DS004=",$B$59), "Fill=B")</f>
        <v>#NAME?</v>
      </c>
      <c r="AF69" t="e">
        <f ca="1">_xll.BDP($B$30,$C$30,CONCATENATE("PX391=", $AF$66), CONCATENATE("PX392=",$AF$67), CONCATENATE("DS004=",$B$59), "Fill=B")</f>
        <v>#NAME?</v>
      </c>
      <c r="AG69" t="e">
        <f ca="1">_xll.BDP($B$30,$C$30,CONCATENATE("PX391=", $AG$66), CONCATENATE("PX392=",$AG$67), CONCATENATE("DS004=",$B$59), "Fill=B")</f>
        <v>#NAME?</v>
      </c>
      <c r="AH69" t="e">
        <f ca="1">_xll.BDP($B$30,$C$30,CONCATENATE("PX391=", $AH$66), CONCATENATE("PX392=",$AH$67), CONCATENATE("DS004=",$B$59), "Fill=B")</f>
        <v>#NAME?</v>
      </c>
      <c r="AI69" t="e">
        <f ca="1">_xll.BDP($B$30,$C$30,CONCATENATE("PX391=", $AI$66), CONCATENATE("PX392=",$AI$67), CONCATENATE("DS004=",$B$59), "Fill=B")</f>
        <v>#NAME?</v>
      </c>
      <c r="AJ69" t="e">
        <f ca="1">_xll.BDP($B$30,$C$30,CONCATENATE("PX391=", $AJ$66), CONCATENATE("PX392=",$AJ$67), CONCATENATE("DS004=",$B$59), "Fill=B")</f>
        <v>#NAME?</v>
      </c>
      <c r="AK69" t="e">
        <f ca="1">_xll.BDP($B$30,$C$30,CONCATENATE("PX391=", $AK$66), CONCATENATE("PX392=",$AK$67), CONCATENATE("DS004=",$B$59), "Fill=B")</f>
        <v>#NAME?</v>
      </c>
      <c r="AL69" t="e">
        <f ca="1">_xll.BDP($B$30,$C$30,CONCATENATE("PX391=", $AL$66), CONCATENATE("PX392=",$AL$67), CONCATENATE("DS004=",$B$59), "Fill=B")</f>
        <v>#NAME?</v>
      </c>
      <c r="AM69" t="e">
        <f ca="1">_xll.BDP($B$30,$C$30,CONCATENATE("PX391=", $AM$66), CONCATENATE("PX392=",$AM$67), CONCATENATE("DS004=",$B$59), "Fill=B")</f>
        <v>#NAME?</v>
      </c>
      <c r="AN69" t="e">
        <f ca="1">_xll.BDP($B$30,$C$30,CONCATENATE("PX391=", $AN$66), CONCATENATE("PX392=",$AN$67), CONCATENATE("DS004=",$B$59), "Fill=B")</f>
        <v>#NAME?</v>
      </c>
      <c r="AO69" t="e">
        <f ca="1">_xll.BDP($B$30,$C$30,CONCATENATE("PX391=", $AO$66), CONCATENATE("PX392=",$AO$67), CONCATENATE("DS004=",$B$59), "Fill=B")</f>
        <v>#NAME?</v>
      </c>
      <c r="AP69" t="e">
        <f ca="1">_xll.BDP($B$30,$C$30,CONCATENATE("PX391=", $AP$66), CONCATENATE("PX392=",$AP$67), CONCATENATE("DS004=",$B$59), "Fill=B")</f>
        <v>#NAME?</v>
      </c>
      <c r="AQ69" t="e">
        <f ca="1">_xll.BDP($B$30,$C$30,CONCATENATE("PX391=", $AQ$66), CONCATENATE("PX392=",$AQ$67), CONCATENATE("DS004=",$B$59), "Fill=B")</f>
        <v>#NAME?</v>
      </c>
      <c r="AR69" t="e">
        <f ca="1">_xll.BDP($B$30,$C$30,CONCATENATE("PX391=", $AR$66), CONCATENATE("PX392=",$AR$67), CONCATENATE("DS004=",$B$59), "Fill=B")</f>
        <v>#NAME?</v>
      </c>
      <c r="AS69" t="e">
        <f ca="1">_xll.BDP($B$30,$C$30,CONCATENATE("PX391=", $AS$66), CONCATENATE("PX392=",$AS$67), CONCATENATE("DS004=",$B$59), "Fill=B")</f>
        <v>#NAME?</v>
      </c>
      <c r="AT69" t="str">
        <f>""</f>
        <v/>
      </c>
      <c r="AU69" t="str">
        <f>""</f>
        <v/>
      </c>
      <c r="AV69" t="str">
        <f>""</f>
        <v/>
      </c>
      <c r="AW69" t="str">
        <f>""</f>
        <v/>
      </c>
      <c r="AX69" t="str">
        <f>""</f>
        <v/>
      </c>
      <c r="AY69" t="str">
        <f>""</f>
        <v/>
      </c>
      <c r="AZ69" t="str">
        <f>""</f>
        <v/>
      </c>
      <c r="BA69" t="str">
        <f>""</f>
        <v/>
      </c>
      <c r="BB69" t="str">
        <f>""</f>
        <v/>
      </c>
      <c r="BC69" t="str">
        <f>""</f>
        <v/>
      </c>
      <c r="BD69" t="str">
        <f>""</f>
        <v/>
      </c>
      <c r="BE69" t="str">
        <f>""</f>
        <v/>
      </c>
      <c r="BF69" t="str">
        <f>""</f>
        <v/>
      </c>
      <c r="BG69" t="str">
        <f>""</f>
        <v/>
      </c>
      <c r="BH69" t="str">
        <f>""</f>
        <v/>
      </c>
      <c r="BI69" t="str">
        <f>""</f>
        <v/>
      </c>
      <c r="BJ69" t="str">
        <f>""</f>
        <v/>
      </c>
      <c r="BK69" t="str">
        <f>""</f>
        <v/>
      </c>
      <c r="BL69" t="str">
        <f>""</f>
        <v/>
      </c>
      <c r="BM69" t="str">
        <f>""</f>
        <v/>
      </c>
      <c r="BN69" t="str">
        <f>""</f>
        <v/>
      </c>
      <c r="BO69" t="str">
        <f>""</f>
        <v/>
      </c>
      <c r="BP69" t="str">
        <f>""</f>
        <v/>
      </c>
      <c r="BQ69" t="str">
        <f>""</f>
        <v/>
      </c>
      <c r="BR69" t="str">
        <f>""</f>
        <v/>
      </c>
      <c r="BS69" t="str">
        <f>""</f>
        <v/>
      </c>
      <c r="BT69" t="str">
        <f>""</f>
        <v/>
      </c>
      <c r="BU69" t="str">
        <f>""</f>
        <v/>
      </c>
      <c r="BV69" t="str">
        <f>""</f>
        <v/>
      </c>
      <c r="BW69" t="str">
        <f>""</f>
        <v/>
      </c>
      <c r="BX69" t="str">
        <f>""</f>
        <v/>
      </c>
      <c r="BY69" t="str">
        <f>""</f>
        <v/>
      </c>
      <c r="BZ69" t="str">
        <f>""</f>
        <v/>
      </c>
      <c r="CA69" t="str">
        <f>""</f>
        <v/>
      </c>
      <c r="CB69" t="str">
        <f>""</f>
        <v/>
      </c>
      <c r="CC69" t="str">
        <f>""</f>
        <v/>
      </c>
      <c r="CD69" t="str">
        <f>""</f>
        <v/>
      </c>
      <c r="CE69" t="str">
        <f>""</f>
        <v/>
      </c>
      <c r="CF69" t="str">
        <f>""</f>
        <v/>
      </c>
      <c r="CG69" t="str">
        <f>""</f>
        <v/>
      </c>
    </row>
    <row r="70" spans="1:85" x14ac:dyDescent="0.25">
      <c r="A70" t="str">
        <f>$A$31</f>
        <v xml:space="preserve">    Volvo</v>
      </c>
      <c r="B70" t="str">
        <f>$B$31</f>
        <v>BRTRHVOL Index</v>
      </c>
      <c r="C70" t="str">
        <f>$C$31</f>
        <v>PX385</v>
      </c>
      <c r="D70" t="str">
        <f>$D$31</f>
        <v>INTERVAL_SUM</v>
      </c>
      <c r="E70" t="str">
        <f>$E$31</f>
        <v>Dynamic</v>
      </c>
      <c r="F70" t="e">
        <f ca="1">_xll.BDP($B$31,$C$31,CONCATENATE("PX391=", $F$66), CONCATENATE("PX392=",$F$67), CONCATENATE("DS004=",$B$59), "Fill=B")</f>
        <v>#NAME?</v>
      </c>
      <c r="G70" t="e">
        <f ca="1">_xll.BDP($B$31,$C$31,CONCATENATE("PX391=", $G$66), CONCATENATE("PX392=",$G$67), CONCATENATE("DS004=",$B$59), "Fill=B")</f>
        <v>#NAME?</v>
      </c>
      <c r="H70" t="e">
        <f ca="1">_xll.BDP($B$31,$C$31,CONCATENATE("PX391=", $H$66), CONCATENATE("PX392=",$H$67), CONCATENATE("DS004=",$B$59), "Fill=B")</f>
        <v>#NAME?</v>
      </c>
      <c r="I70" t="e">
        <f ca="1">_xll.BDP($B$31,$C$31,CONCATENATE("PX391=", $I$66), CONCATENATE("PX392=",$I$67), CONCATENATE("DS004=",$B$59), "Fill=B")</f>
        <v>#NAME?</v>
      </c>
      <c r="J70" t="e">
        <f ca="1">_xll.BDP($B$31,$C$31,CONCATENATE("PX391=", $J$66), CONCATENATE("PX392=",$J$67), CONCATENATE("DS004=",$B$59), "Fill=B")</f>
        <v>#NAME?</v>
      </c>
      <c r="K70" t="e">
        <f ca="1">_xll.BDP($B$31,$C$31,CONCATENATE("PX391=", $K$66), CONCATENATE("PX392=",$K$67), CONCATENATE("DS004=",$B$59), "Fill=B")</f>
        <v>#NAME?</v>
      </c>
      <c r="L70" t="e">
        <f ca="1">_xll.BDP($B$31,$C$31,CONCATENATE("PX391=", $L$66), CONCATENATE("PX392=",$L$67), CONCATENATE("DS004=",$B$59), "Fill=B")</f>
        <v>#NAME?</v>
      </c>
      <c r="M70" t="e">
        <f ca="1">_xll.BDP($B$31,$C$31,CONCATENATE("PX391=", $M$66), CONCATENATE("PX392=",$M$67), CONCATENATE("DS004=",$B$59), "Fill=B")</f>
        <v>#NAME?</v>
      </c>
      <c r="N70" t="e">
        <f ca="1">_xll.BDP($B$31,$C$31,CONCATENATE("PX391=", $N$66), CONCATENATE("PX392=",$N$67), CONCATENATE("DS004=",$B$59), "Fill=B")</f>
        <v>#NAME?</v>
      </c>
      <c r="O70" t="e">
        <f ca="1">_xll.BDP($B$31,$C$31,CONCATENATE("PX391=", $O$66), CONCATENATE("PX392=",$O$67), CONCATENATE("DS004=",$B$59), "Fill=B")</f>
        <v>#NAME?</v>
      </c>
      <c r="P70" t="e">
        <f ca="1">_xll.BDP($B$31,$C$31,CONCATENATE("PX391=", $P$66), CONCATENATE("PX392=",$P$67), CONCATENATE("DS004=",$B$59), "Fill=B")</f>
        <v>#NAME?</v>
      </c>
      <c r="Q70" t="e">
        <f ca="1">_xll.BDP($B$31,$C$31,CONCATENATE("PX391=", $Q$66), CONCATENATE("PX392=",$Q$67), CONCATENATE("DS004=",$B$59), "Fill=B")</f>
        <v>#NAME?</v>
      </c>
      <c r="R70" t="e">
        <f ca="1">_xll.BDP($B$31,$C$31,CONCATENATE("PX391=", $R$66), CONCATENATE("PX392=",$R$67), CONCATENATE("DS004=",$B$59), "Fill=B")</f>
        <v>#NAME?</v>
      </c>
      <c r="S70" t="e">
        <f ca="1">_xll.BDP($B$31,$C$31,CONCATENATE("PX391=", $S$66), CONCATENATE("PX392=",$S$67), CONCATENATE("DS004=",$B$59), "Fill=B")</f>
        <v>#NAME?</v>
      </c>
      <c r="T70" t="e">
        <f ca="1">_xll.BDP($B$31,$C$31,CONCATENATE("PX391=", $T$66), CONCATENATE("PX392=",$T$67), CONCATENATE("DS004=",$B$59), "Fill=B")</f>
        <v>#NAME?</v>
      </c>
      <c r="U70" t="e">
        <f ca="1">_xll.BDP($B$31,$C$31,CONCATENATE("PX391=", $U$66), CONCATENATE("PX392=",$U$67), CONCATENATE("DS004=",$B$59), "Fill=B")</f>
        <v>#NAME?</v>
      </c>
      <c r="V70" t="e">
        <f ca="1">_xll.BDP($B$31,$C$31,CONCATENATE("PX391=", $V$66), CONCATENATE("PX392=",$V$67), CONCATENATE("DS004=",$B$59), "Fill=B")</f>
        <v>#NAME?</v>
      </c>
      <c r="W70" t="e">
        <f ca="1">_xll.BDP($B$31,$C$31,CONCATENATE("PX391=", $W$66), CONCATENATE("PX392=",$W$67), CONCATENATE("DS004=",$B$59), "Fill=B")</f>
        <v>#NAME?</v>
      </c>
      <c r="X70" t="e">
        <f ca="1">_xll.BDP($B$31,$C$31,CONCATENATE("PX391=", $X$66), CONCATENATE("PX392=",$X$67), CONCATENATE("DS004=",$B$59), "Fill=B")</f>
        <v>#NAME?</v>
      </c>
      <c r="Y70" t="e">
        <f ca="1">_xll.BDP($B$31,$C$31,CONCATENATE("PX391=", $Y$66), CONCATENATE("PX392=",$Y$67), CONCATENATE("DS004=",$B$59), "Fill=B")</f>
        <v>#NAME?</v>
      </c>
      <c r="Z70" t="e">
        <f ca="1">_xll.BDP($B$31,$C$31,CONCATENATE("PX391=", $Z$66), CONCATENATE("PX392=",$Z$67), CONCATENATE("DS004=",$B$59), "Fill=B")</f>
        <v>#NAME?</v>
      </c>
      <c r="AA70" t="e">
        <f ca="1">_xll.BDP($B$31,$C$31,CONCATENATE("PX391=", $AA$66), CONCATENATE("PX392=",$AA$67), CONCATENATE("DS004=",$B$59), "Fill=B")</f>
        <v>#NAME?</v>
      </c>
      <c r="AB70" t="e">
        <f ca="1">_xll.BDP($B$31,$C$31,CONCATENATE("PX391=", $AB$66), CONCATENATE("PX392=",$AB$67), CONCATENATE("DS004=",$B$59), "Fill=B")</f>
        <v>#NAME?</v>
      </c>
      <c r="AC70" t="e">
        <f ca="1">_xll.BDP($B$31,$C$31,CONCATENATE("PX391=", $AC$66), CONCATENATE("PX392=",$AC$67), CONCATENATE("DS004=",$B$59), "Fill=B")</f>
        <v>#NAME?</v>
      </c>
      <c r="AD70" t="e">
        <f ca="1">_xll.BDP($B$31,$C$31,CONCATENATE("PX391=", $AD$66), CONCATENATE("PX392=",$AD$67), CONCATENATE("DS004=",$B$59), "Fill=B")</f>
        <v>#NAME?</v>
      </c>
      <c r="AE70" t="e">
        <f ca="1">_xll.BDP($B$31,$C$31,CONCATENATE("PX391=", $AE$66), CONCATENATE("PX392=",$AE$67), CONCATENATE("DS004=",$B$59), "Fill=B")</f>
        <v>#NAME?</v>
      </c>
      <c r="AF70" t="e">
        <f ca="1">_xll.BDP($B$31,$C$31,CONCATENATE("PX391=", $AF$66), CONCATENATE("PX392=",$AF$67), CONCATENATE("DS004=",$B$59), "Fill=B")</f>
        <v>#NAME?</v>
      </c>
      <c r="AG70" t="e">
        <f ca="1">_xll.BDP($B$31,$C$31,CONCATENATE("PX391=", $AG$66), CONCATENATE("PX392=",$AG$67), CONCATENATE("DS004=",$B$59), "Fill=B")</f>
        <v>#NAME?</v>
      </c>
      <c r="AH70" t="e">
        <f ca="1">_xll.BDP($B$31,$C$31,CONCATENATE("PX391=", $AH$66), CONCATENATE("PX392=",$AH$67), CONCATENATE("DS004=",$B$59), "Fill=B")</f>
        <v>#NAME?</v>
      </c>
      <c r="AI70" t="e">
        <f ca="1">_xll.BDP($B$31,$C$31,CONCATENATE("PX391=", $AI$66), CONCATENATE("PX392=",$AI$67), CONCATENATE("DS004=",$B$59), "Fill=B")</f>
        <v>#NAME?</v>
      </c>
      <c r="AJ70" t="e">
        <f ca="1">_xll.BDP($B$31,$C$31,CONCATENATE("PX391=", $AJ$66), CONCATENATE("PX392=",$AJ$67), CONCATENATE("DS004=",$B$59), "Fill=B")</f>
        <v>#NAME?</v>
      </c>
      <c r="AK70" t="e">
        <f ca="1">_xll.BDP($B$31,$C$31,CONCATENATE("PX391=", $AK$66), CONCATENATE("PX392=",$AK$67), CONCATENATE("DS004=",$B$59), "Fill=B")</f>
        <v>#NAME?</v>
      </c>
      <c r="AL70" t="e">
        <f ca="1">_xll.BDP($B$31,$C$31,CONCATENATE("PX391=", $AL$66), CONCATENATE("PX392=",$AL$67), CONCATENATE("DS004=",$B$59), "Fill=B")</f>
        <v>#NAME?</v>
      </c>
      <c r="AM70" t="e">
        <f ca="1">_xll.BDP($B$31,$C$31,CONCATENATE("PX391=", $AM$66), CONCATENATE("PX392=",$AM$67), CONCATENATE("DS004=",$B$59), "Fill=B")</f>
        <v>#NAME?</v>
      </c>
      <c r="AN70" t="e">
        <f ca="1">_xll.BDP($B$31,$C$31,CONCATENATE("PX391=", $AN$66), CONCATENATE("PX392=",$AN$67), CONCATENATE("DS004=",$B$59), "Fill=B")</f>
        <v>#NAME?</v>
      </c>
      <c r="AO70" t="e">
        <f ca="1">_xll.BDP($B$31,$C$31,CONCATENATE("PX391=", $AO$66), CONCATENATE("PX392=",$AO$67), CONCATENATE("DS004=",$B$59), "Fill=B")</f>
        <v>#NAME?</v>
      </c>
      <c r="AP70" t="e">
        <f ca="1">_xll.BDP($B$31,$C$31,CONCATENATE("PX391=", $AP$66), CONCATENATE("PX392=",$AP$67), CONCATENATE("DS004=",$B$59), "Fill=B")</f>
        <v>#NAME?</v>
      </c>
      <c r="AQ70" t="e">
        <f ca="1">_xll.BDP($B$31,$C$31,CONCATENATE("PX391=", $AQ$66), CONCATENATE("PX392=",$AQ$67), CONCATENATE("DS004=",$B$59), "Fill=B")</f>
        <v>#NAME?</v>
      </c>
      <c r="AR70" t="e">
        <f ca="1">_xll.BDP($B$31,$C$31,CONCATENATE("PX391=", $AR$66), CONCATENATE("PX392=",$AR$67), CONCATENATE("DS004=",$B$59), "Fill=B")</f>
        <v>#NAME?</v>
      </c>
      <c r="AS70" t="e">
        <f ca="1">_xll.BDP($B$31,$C$31,CONCATENATE("PX391=", $AS$66), CONCATENATE("PX392=",$AS$67), CONCATENATE("DS004=",$B$59), "Fill=B")</f>
        <v>#NAME?</v>
      </c>
      <c r="AT70" t="str">
        <f>""</f>
        <v/>
      </c>
      <c r="AU70" t="str">
        <f>""</f>
        <v/>
      </c>
      <c r="AV70" t="str">
        <f>""</f>
        <v/>
      </c>
      <c r="AW70" t="str">
        <f>""</f>
        <v/>
      </c>
      <c r="AX70" t="str">
        <f>""</f>
        <v/>
      </c>
      <c r="AY70" t="str">
        <f>""</f>
        <v/>
      </c>
      <c r="AZ70" t="str">
        <f>""</f>
        <v/>
      </c>
      <c r="BA70" t="str">
        <f>""</f>
        <v/>
      </c>
      <c r="BB70" t="str">
        <f>""</f>
        <v/>
      </c>
      <c r="BC70" t="str">
        <f>""</f>
        <v/>
      </c>
      <c r="BD70" t="str">
        <f>""</f>
        <v/>
      </c>
      <c r="BE70" t="str">
        <f>""</f>
        <v/>
      </c>
      <c r="BF70" t="str">
        <f>""</f>
        <v/>
      </c>
      <c r="BG70" t="str">
        <f>""</f>
        <v/>
      </c>
      <c r="BH70" t="str">
        <f>""</f>
        <v/>
      </c>
      <c r="BI70" t="str">
        <f>""</f>
        <v/>
      </c>
      <c r="BJ70" t="str">
        <f>""</f>
        <v/>
      </c>
      <c r="BK70" t="str">
        <f>""</f>
        <v/>
      </c>
      <c r="BL70" t="str">
        <f>""</f>
        <v/>
      </c>
      <c r="BM70" t="str">
        <f>""</f>
        <v/>
      </c>
      <c r="BN70" t="str">
        <f>""</f>
        <v/>
      </c>
      <c r="BO70" t="str">
        <f>""</f>
        <v/>
      </c>
      <c r="BP70" t="str">
        <f>""</f>
        <v/>
      </c>
      <c r="BQ70" t="str">
        <f>""</f>
        <v/>
      </c>
      <c r="BR70" t="str">
        <f>""</f>
        <v/>
      </c>
      <c r="BS70" t="str">
        <f>""</f>
        <v/>
      </c>
      <c r="BT70" t="str">
        <f>""</f>
        <v/>
      </c>
      <c r="BU70" t="str">
        <f>""</f>
        <v/>
      </c>
      <c r="BV70" t="str">
        <f>""</f>
        <v/>
      </c>
      <c r="BW70" t="str">
        <f>""</f>
        <v/>
      </c>
      <c r="BX70" t="str">
        <f>""</f>
        <v/>
      </c>
      <c r="BY70" t="str">
        <f>""</f>
        <v/>
      </c>
      <c r="BZ70" t="str">
        <f>""</f>
        <v/>
      </c>
      <c r="CA70" t="str">
        <f>""</f>
        <v/>
      </c>
      <c r="CB70" t="str">
        <f>""</f>
        <v/>
      </c>
      <c r="CC70" t="str">
        <f>""</f>
        <v/>
      </c>
      <c r="CD70" t="str">
        <f>""</f>
        <v/>
      </c>
      <c r="CE70" t="str">
        <f>""</f>
        <v/>
      </c>
      <c r="CF70" t="str">
        <f>""</f>
        <v/>
      </c>
      <c r="CG70" t="str">
        <f>""</f>
        <v/>
      </c>
    </row>
    <row r="71" spans="1:85" x14ac:dyDescent="0.25">
      <c r="A71" t="str">
        <f>$A$32</f>
        <v xml:space="preserve">    Mercedes-Benz</v>
      </c>
      <c r="B71" t="str">
        <f>$B$32</f>
        <v>BRTRHMER Index</v>
      </c>
      <c r="C71" t="str">
        <f>$C$32</f>
        <v>PX385</v>
      </c>
      <c r="D71" t="str">
        <f>$D$32</f>
        <v>INTERVAL_SUM</v>
      </c>
      <c r="E71" t="str">
        <f>$E$32</f>
        <v>Dynamic</v>
      </c>
      <c r="F71" t="e">
        <f ca="1">_xll.BDP($B$32,$C$32,CONCATENATE("PX391=", $F$66), CONCATENATE("PX392=",$F$67), CONCATENATE("DS004=",$B$59), "Fill=B")</f>
        <v>#NAME?</v>
      </c>
      <c r="G71" t="e">
        <f ca="1">_xll.BDP($B$32,$C$32,CONCATENATE("PX391=", $G$66), CONCATENATE("PX392=",$G$67), CONCATENATE("DS004=",$B$59), "Fill=B")</f>
        <v>#NAME?</v>
      </c>
      <c r="H71" t="e">
        <f ca="1">_xll.BDP($B$32,$C$32,CONCATENATE("PX391=", $H$66), CONCATENATE("PX392=",$H$67), CONCATENATE("DS004=",$B$59), "Fill=B")</f>
        <v>#NAME?</v>
      </c>
      <c r="I71" t="e">
        <f ca="1">_xll.BDP($B$32,$C$32,CONCATENATE("PX391=", $I$66), CONCATENATE("PX392=",$I$67), CONCATENATE("DS004=",$B$59), "Fill=B")</f>
        <v>#NAME?</v>
      </c>
      <c r="J71" t="e">
        <f ca="1">_xll.BDP($B$32,$C$32,CONCATENATE("PX391=", $J$66), CONCATENATE("PX392=",$J$67), CONCATENATE("DS004=",$B$59), "Fill=B")</f>
        <v>#NAME?</v>
      </c>
      <c r="K71" t="e">
        <f ca="1">_xll.BDP($B$32,$C$32,CONCATENATE("PX391=", $K$66), CONCATENATE("PX392=",$K$67), CONCATENATE("DS004=",$B$59), "Fill=B")</f>
        <v>#NAME?</v>
      </c>
      <c r="L71" t="e">
        <f ca="1">_xll.BDP($B$32,$C$32,CONCATENATE("PX391=", $L$66), CONCATENATE("PX392=",$L$67), CONCATENATE("DS004=",$B$59), "Fill=B")</f>
        <v>#NAME?</v>
      </c>
      <c r="M71" t="e">
        <f ca="1">_xll.BDP($B$32,$C$32,CONCATENATE("PX391=", $M$66), CONCATENATE("PX392=",$M$67), CONCATENATE("DS004=",$B$59), "Fill=B")</f>
        <v>#NAME?</v>
      </c>
      <c r="N71" t="e">
        <f ca="1">_xll.BDP($B$32,$C$32,CONCATENATE("PX391=", $N$66), CONCATENATE("PX392=",$N$67), CONCATENATE("DS004=",$B$59), "Fill=B")</f>
        <v>#NAME?</v>
      </c>
      <c r="O71" t="e">
        <f ca="1">_xll.BDP($B$32,$C$32,CONCATENATE("PX391=", $O$66), CONCATENATE("PX392=",$O$67), CONCATENATE("DS004=",$B$59), "Fill=B")</f>
        <v>#NAME?</v>
      </c>
      <c r="P71" t="e">
        <f ca="1">_xll.BDP($B$32,$C$32,CONCATENATE("PX391=", $P$66), CONCATENATE("PX392=",$P$67), CONCATENATE("DS004=",$B$59), "Fill=B")</f>
        <v>#NAME?</v>
      </c>
      <c r="Q71" t="e">
        <f ca="1">_xll.BDP($B$32,$C$32,CONCATENATE("PX391=", $Q$66), CONCATENATE("PX392=",$Q$67), CONCATENATE("DS004=",$B$59), "Fill=B")</f>
        <v>#NAME?</v>
      </c>
      <c r="R71" t="e">
        <f ca="1">_xll.BDP($B$32,$C$32,CONCATENATE("PX391=", $R$66), CONCATENATE("PX392=",$R$67), CONCATENATE("DS004=",$B$59), "Fill=B")</f>
        <v>#NAME?</v>
      </c>
      <c r="S71" t="e">
        <f ca="1">_xll.BDP($B$32,$C$32,CONCATENATE("PX391=", $S$66), CONCATENATE("PX392=",$S$67), CONCATENATE("DS004=",$B$59), "Fill=B")</f>
        <v>#NAME?</v>
      </c>
      <c r="T71" t="e">
        <f ca="1">_xll.BDP($B$32,$C$32,CONCATENATE("PX391=", $T$66), CONCATENATE("PX392=",$T$67), CONCATENATE("DS004=",$B$59), "Fill=B")</f>
        <v>#NAME?</v>
      </c>
      <c r="U71" t="e">
        <f ca="1">_xll.BDP($B$32,$C$32,CONCATENATE("PX391=", $U$66), CONCATENATE("PX392=",$U$67), CONCATENATE("DS004=",$B$59), "Fill=B")</f>
        <v>#NAME?</v>
      </c>
      <c r="V71" t="e">
        <f ca="1">_xll.BDP($B$32,$C$32,CONCATENATE("PX391=", $V$66), CONCATENATE("PX392=",$V$67), CONCATENATE("DS004=",$B$59), "Fill=B")</f>
        <v>#NAME?</v>
      </c>
      <c r="W71" t="e">
        <f ca="1">_xll.BDP($B$32,$C$32,CONCATENATE("PX391=", $W$66), CONCATENATE("PX392=",$W$67), CONCATENATE("DS004=",$B$59), "Fill=B")</f>
        <v>#NAME?</v>
      </c>
      <c r="X71" t="e">
        <f ca="1">_xll.BDP($B$32,$C$32,CONCATENATE("PX391=", $X$66), CONCATENATE("PX392=",$X$67), CONCATENATE("DS004=",$B$59), "Fill=B")</f>
        <v>#NAME?</v>
      </c>
      <c r="Y71" t="e">
        <f ca="1">_xll.BDP($B$32,$C$32,CONCATENATE("PX391=", $Y$66), CONCATENATE("PX392=",$Y$67), CONCATENATE("DS004=",$B$59), "Fill=B")</f>
        <v>#NAME?</v>
      </c>
      <c r="Z71" t="e">
        <f ca="1">_xll.BDP($B$32,$C$32,CONCATENATE("PX391=", $Z$66), CONCATENATE("PX392=",$Z$67), CONCATENATE("DS004=",$B$59), "Fill=B")</f>
        <v>#NAME?</v>
      </c>
      <c r="AA71" t="e">
        <f ca="1">_xll.BDP($B$32,$C$32,CONCATENATE("PX391=", $AA$66), CONCATENATE("PX392=",$AA$67), CONCATENATE("DS004=",$B$59), "Fill=B")</f>
        <v>#NAME?</v>
      </c>
      <c r="AB71" t="e">
        <f ca="1">_xll.BDP($B$32,$C$32,CONCATENATE("PX391=", $AB$66), CONCATENATE("PX392=",$AB$67), CONCATENATE("DS004=",$B$59), "Fill=B")</f>
        <v>#NAME?</v>
      </c>
      <c r="AC71" t="e">
        <f ca="1">_xll.BDP($B$32,$C$32,CONCATENATE("PX391=", $AC$66), CONCATENATE("PX392=",$AC$67), CONCATENATE("DS004=",$B$59), "Fill=B")</f>
        <v>#NAME?</v>
      </c>
      <c r="AD71" t="e">
        <f ca="1">_xll.BDP($B$32,$C$32,CONCATENATE("PX391=", $AD$66), CONCATENATE("PX392=",$AD$67), CONCATENATE("DS004=",$B$59), "Fill=B")</f>
        <v>#NAME?</v>
      </c>
      <c r="AE71" t="e">
        <f ca="1">_xll.BDP($B$32,$C$32,CONCATENATE("PX391=", $AE$66), CONCATENATE("PX392=",$AE$67), CONCATENATE("DS004=",$B$59), "Fill=B")</f>
        <v>#NAME?</v>
      </c>
      <c r="AF71" t="e">
        <f ca="1">_xll.BDP($B$32,$C$32,CONCATENATE("PX391=", $AF$66), CONCATENATE("PX392=",$AF$67), CONCATENATE("DS004=",$B$59), "Fill=B")</f>
        <v>#NAME?</v>
      </c>
      <c r="AG71" t="e">
        <f ca="1">_xll.BDP($B$32,$C$32,CONCATENATE("PX391=", $AG$66), CONCATENATE("PX392=",$AG$67), CONCATENATE("DS004=",$B$59), "Fill=B")</f>
        <v>#NAME?</v>
      </c>
      <c r="AH71" t="e">
        <f ca="1">_xll.BDP($B$32,$C$32,CONCATENATE("PX391=", $AH$66), CONCATENATE("PX392=",$AH$67), CONCATENATE("DS004=",$B$59), "Fill=B")</f>
        <v>#NAME?</v>
      </c>
      <c r="AI71" t="e">
        <f ca="1">_xll.BDP($B$32,$C$32,CONCATENATE("PX391=", $AI$66), CONCATENATE("PX392=",$AI$67), CONCATENATE("DS004=",$B$59), "Fill=B")</f>
        <v>#NAME?</v>
      </c>
      <c r="AJ71" t="e">
        <f ca="1">_xll.BDP($B$32,$C$32,CONCATENATE("PX391=", $AJ$66), CONCATENATE("PX392=",$AJ$67), CONCATENATE("DS004=",$B$59), "Fill=B")</f>
        <v>#NAME?</v>
      </c>
      <c r="AK71" t="e">
        <f ca="1">_xll.BDP($B$32,$C$32,CONCATENATE("PX391=", $AK$66), CONCATENATE("PX392=",$AK$67), CONCATENATE("DS004=",$B$59), "Fill=B")</f>
        <v>#NAME?</v>
      </c>
      <c r="AL71" t="e">
        <f ca="1">_xll.BDP($B$32,$C$32,CONCATENATE("PX391=", $AL$66), CONCATENATE("PX392=",$AL$67), CONCATENATE("DS004=",$B$59), "Fill=B")</f>
        <v>#NAME?</v>
      </c>
      <c r="AM71" t="e">
        <f ca="1">_xll.BDP($B$32,$C$32,CONCATENATE("PX391=", $AM$66), CONCATENATE("PX392=",$AM$67), CONCATENATE("DS004=",$B$59), "Fill=B")</f>
        <v>#NAME?</v>
      </c>
      <c r="AN71" t="e">
        <f ca="1">_xll.BDP($B$32,$C$32,CONCATENATE("PX391=", $AN$66), CONCATENATE("PX392=",$AN$67), CONCATENATE("DS004=",$B$59), "Fill=B")</f>
        <v>#NAME?</v>
      </c>
      <c r="AO71" t="e">
        <f ca="1">_xll.BDP($B$32,$C$32,CONCATENATE("PX391=", $AO$66), CONCATENATE("PX392=",$AO$67), CONCATENATE("DS004=",$B$59), "Fill=B")</f>
        <v>#NAME?</v>
      </c>
      <c r="AP71" t="e">
        <f ca="1">_xll.BDP($B$32,$C$32,CONCATENATE("PX391=", $AP$66), CONCATENATE("PX392=",$AP$67), CONCATENATE("DS004=",$B$59), "Fill=B")</f>
        <v>#NAME?</v>
      </c>
      <c r="AQ71" t="e">
        <f ca="1">_xll.BDP($B$32,$C$32,CONCATENATE("PX391=", $AQ$66), CONCATENATE("PX392=",$AQ$67), CONCATENATE("DS004=",$B$59), "Fill=B")</f>
        <v>#NAME?</v>
      </c>
      <c r="AR71" t="e">
        <f ca="1">_xll.BDP($B$32,$C$32,CONCATENATE("PX391=", $AR$66), CONCATENATE("PX392=",$AR$67), CONCATENATE("DS004=",$B$59), "Fill=B")</f>
        <v>#NAME?</v>
      </c>
      <c r="AS71" t="e">
        <f ca="1">_xll.BDP($B$32,$C$32,CONCATENATE("PX391=", $AS$66), CONCATENATE("PX392=",$AS$67), CONCATENATE("DS004=",$B$59), "Fill=B")</f>
        <v>#NAME?</v>
      </c>
      <c r="AT71" t="str">
        <f>""</f>
        <v/>
      </c>
      <c r="AU71" t="str">
        <f>""</f>
        <v/>
      </c>
      <c r="AV71" t="str">
        <f>""</f>
        <v/>
      </c>
      <c r="AW71" t="str">
        <f>""</f>
        <v/>
      </c>
      <c r="AX71" t="str">
        <f>""</f>
        <v/>
      </c>
      <c r="AY71" t="str">
        <f>""</f>
        <v/>
      </c>
      <c r="AZ71" t="str">
        <f>""</f>
        <v/>
      </c>
      <c r="BA71" t="str">
        <f>""</f>
        <v/>
      </c>
      <c r="BB71" t="str">
        <f>""</f>
        <v/>
      </c>
      <c r="BC71" t="str">
        <f>""</f>
        <v/>
      </c>
      <c r="BD71" t="str">
        <f>""</f>
        <v/>
      </c>
      <c r="BE71" t="str">
        <f>""</f>
        <v/>
      </c>
      <c r="BF71" t="str">
        <f>""</f>
        <v/>
      </c>
      <c r="BG71" t="str">
        <f>""</f>
        <v/>
      </c>
      <c r="BH71" t="str">
        <f>""</f>
        <v/>
      </c>
      <c r="BI71" t="str">
        <f>""</f>
        <v/>
      </c>
      <c r="BJ71" t="str">
        <f>""</f>
        <v/>
      </c>
      <c r="BK71" t="str">
        <f>""</f>
        <v/>
      </c>
      <c r="BL71" t="str">
        <f>""</f>
        <v/>
      </c>
      <c r="BM71" t="str">
        <f>""</f>
        <v/>
      </c>
      <c r="BN71" t="str">
        <f>""</f>
        <v/>
      </c>
      <c r="BO71" t="str">
        <f>""</f>
        <v/>
      </c>
      <c r="BP71" t="str">
        <f>""</f>
        <v/>
      </c>
      <c r="BQ71" t="str">
        <f>""</f>
        <v/>
      </c>
      <c r="BR71" t="str">
        <f>""</f>
        <v/>
      </c>
      <c r="BS71" t="str">
        <f>""</f>
        <v/>
      </c>
      <c r="BT71" t="str">
        <f>""</f>
        <v/>
      </c>
      <c r="BU71" t="str">
        <f>""</f>
        <v/>
      </c>
      <c r="BV71" t="str">
        <f>""</f>
        <v/>
      </c>
      <c r="BW71" t="str">
        <f>""</f>
        <v/>
      </c>
      <c r="BX71" t="str">
        <f>""</f>
        <v/>
      </c>
      <c r="BY71" t="str">
        <f>""</f>
        <v/>
      </c>
      <c r="BZ71" t="str">
        <f>""</f>
        <v/>
      </c>
      <c r="CA71" t="str">
        <f>""</f>
        <v/>
      </c>
      <c r="CB71" t="str">
        <f>""</f>
        <v/>
      </c>
      <c r="CC71" t="str">
        <f>""</f>
        <v/>
      </c>
      <c r="CD71" t="str">
        <f>""</f>
        <v/>
      </c>
      <c r="CE71" t="str">
        <f>""</f>
        <v/>
      </c>
      <c r="CF71" t="str">
        <f>""</f>
        <v/>
      </c>
      <c r="CG71" t="str">
        <f>""</f>
        <v/>
      </c>
    </row>
    <row r="72" spans="1:85" x14ac:dyDescent="0.25">
      <c r="A72" t="str">
        <f>$A$33</f>
        <v xml:space="preserve">    MAN</v>
      </c>
      <c r="B72" t="str">
        <f>$B$33</f>
        <v>BRTRHMAN Index</v>
      </c>
      <c r="C72" t="str">
        <f>$C$33</f>
        <v>PX385</v>
      </c>
      <c r="D72" t="str">
        <f>$D$33</f>
        <v>INTERVAL_SUM</v>
      </c>
      <c r="E72" t="str">
        <f>$E$33</f>
        <v>Dynamic</v>
      </c>
      <c r="F72" t="e">
        <f ca="1">_xll.BDP($B$33,$C$33,CONCATENATE("PX391=", $F$66), CONCATENATE("PX392=",$F$67), CONCATENATE("DS004=",$B$59), "Fill=B")</f>
        <v>#NAME?</v>
      </c>
      <c r="G72" t="e">
        <f ca="1">_xll.BDP($B$33,$C$33,CONCATENATE("PX391=", $G$66), CONCATENATE("PX392=",$G$67), CONCATENATE("DS004=",$B$59), "Fill=B")</f>
        <v>#NAME?</v>
      </c>
      <c r="H72" t="e">
        <f ca="1">_xll.BDP($B$33,$C$33,CONCATENATE("PX391=", $H$66), CONCATENATE("PX392=",$H$67), CONCATENATE("DS004=",$B$59), "Fill=B")</f>
        <v>#NAME?</v>
      </c>
      <c r="I72" t="e">
        <f ca="1">_xll.BDP($B$33,$C$33,CONCATENATE("PX391=", $I$66), CONCATENATE("PX392=",$I$67), CONCATENATE("DS004=",$B$59), "Fill=B")</f>
        <v>#NAME?</v>
      </c>
      <c r="J72" t="e">
        <f ca="1">_xll.BDP($B$33,$C$33,CONCATENATE("PX391=", $J$66), CONCATENATE("PX392=",$J$67), CONCATENATE("DS004=",$B$59), "Fill=B")</f>
        <v>#NAME?</v>
      </c>
      <c r="K72" t="e">
        <f ca="1">_xll.BDP($B$33,$C$33,CONCATENATE("PX391=", $K$66), CONCATENATE("PX392=",$K$67), CONCATENATE("DS004=",$B$59), "Fill=B")</f>
        <v>#NAME?</v>
      </c>
      <c r="L72" t="e">
        <f ca="1">_xll.BDP($B$33,$C$33,CONCATENATE("PX391=", $L$66), CONCATENATE("PX392=",$L$67), CONCATENATE("DS004=",$B$59), "Fill=B")</f>
        <v>#NAME?</v>
      </c>
      <c r="M72" t="e">
        <f ca="1">_xll.BDP($B$33,$C$33,CONCATENATE("PX391=", $M$66), CONCATENATE("PX392=",$M$67), CONCATENATE("DS004=",$B$59), "Fill=B")</f>
        <v>#NAME?</v>
      </c>
      <c r="N72" t="e">
        <f ca="1">_xll.BDP($B$33,$C$33,CONCATENATE("PX391=", $N$66), CONCATENATE("PX392=",$N$67), CONCATENATE("DS004=",$B$59), "Fill=B")</f>
        <v>#NAME?</v>
      </c>
      <c r="O72" t="e">
        <f ca="1">_xll.BDP($B$33,$C$33,CONCATENATE("PX391=", $O$66), CONCATENATE("PX392=",$O$67), CONCATENATE("DS004=",$B$59), "Fill=B")</f>
        <v>#NAME?</v>
      </c>
      <c r="P72" t="e">
        <f ca="1">_xll.BDP($B$33,$C$33,CONCATENATE("PX391=", $P$66), CONCATENATE("PX392=",$P$67), CONCATENATE("DS004=",$B$59), "Fill=B")</f>
        <v>#NAME?</v>
      </c>
      <c r="Q72" t="e">
        <f ca="1">_xll.BDP($B$33,$C$33,CONCATENATE("PX391=", $Q$66), CONCATENATE("PX392=",$Q$67), CONCATENATE("DS004=",$B$59), "Fill=B")</f>
        <v>#NAME?</v>
      </c>
      <c r="R72" t="e">
        <f ca="1">_xll.BDP($B$33,$C$33,CONCATENATE("PX391=", $R$66), CONCATENATE("PX392=",$R$67), CONCATENATE("DS004=",$B$59), "Fill=B")</f>
        <v>#NAME?</v>
      </c>
      <c r="S72" t="e">
        <f ca="1">_xll.BDP($B$33,$C$33,CONCATENATE("PX391=", $S$66), CONCATENATE("PX392=",$S$67), CONCATENATE("DS004=",$B$59), "Fill=B")</f>
        <v>#NAME?</v>
      </c>
      <c r="T72" t="e">
        <f ca="1">_xll.BDP($B$33,$C$33,CONCATENATE("PX391=", $T$66), CONCATENATE("PX392=",$T$67), CONCATENATE("DS004=",$B$59), "Fill=B")</f>
        <v>#NAME?</v>
      </c>
      <c r="U72" t="e">
        <f ca="1">_xll.BDP($B$33,$C$33,CONCATENATE("PX391=", $U$66), CONCATENATE("PX392=",$U$67), CONCATENATE("DS004=",$B$59), "Fill=B")</f>
        <v>#NAME?</v>
      </c>
      <c r="V72" t="e">
        <f ca="1">_xll.BDP($B$33,$C$33,CONCATENATE("PX391=", $V$66), CONCATENATE("PX392=",$V$67), CONCATENATE("DS004=",$B$59), "Fill=B")</f>
        <v>#NAME?</v>
      </c>
      <c r="W72" t="e">
        <f ca="1">_xll.BDP($B$33,$C$33,CONCATENATE("PX391=", $W$66), CONCATENATE("PX392=",$W$67), CONCATENATE("DS004=",$B$59), "Fill=B")</f>
        <v>#NAME?</v>
      </c>
      <c r="X72" t="e">
        <f ca="1">_xll.BDP($B$33,$C$33,CONCATENATE("PX391=", $X$66), CONCATENATE("PX392=",$X$67), CONCATENATE("DS004=",$B$59), "Fill=B")</f>
        <v>#NAME?</v>
      </c>
      <c r="Y72" t="e">
        <f ca="1">_xll.BDP($B$33,$C$33,CONCATENATE("PX391=", $Y$66), CONCATENATE("PX392=",$Y$67), CONCATENATE("DS004=",$B$59), "Fill=B")</f>
        <v>#NAME?</v>
      </c>
      <c r="Z72" t="e">
        <f ca="1">_xll.BDP($B$33,$C$33,CONCATENATE("PX391=", $Z$66), CONCATENATE("PX392=",$Z$67), CONCATENATE("DS004=",$B$59), "Fill=B")</f>
        <v>#NAME?</v>
      </c>
      <c r="AA72" t="e">
        <f ca="1">_xll.BDP($B$33,$C$33,CONCATENATE("PX391=", $AA$66), CONCATENATE("PX392=",$AA$67), CONCATENATE("DS004=",$B$59), "Fill=B")</f>
        <v>#NAME?</v>
      </c>
      <c r="AB72" t="e">
        <f ca="1">_xll.BDP($B$33,$C$33,CONCATENATE("PX391=", $AB$66), CONCATENATE("PX392=",$AB$67), CONCATENATE("DS004=",$B$59), "Fill=B")</f>
        <v>#NAME?</v>
      </c>
      <c r="AC72" t="e">
        <f ca="1">_xll.BDP($B$33,$C$33,CONCATENATE("PX391=", $AC$66), CONCATENATE("PX392=",$AC$67), CONCATENATE("DS004=",$B$59), "Fill=B")</f>
        <v>#NAME?</v>
      </c>
      <c r="AD72" t="e">
        <f ca="1">_xll.BDP($B$33,$C$33,CONCATENATE("PX391=", $AD$66), CONCATENATE("PX392=",$AD$67), CONCATENATE("DS004=",$B$59), "Fill=B")</f>
        <v>#NAME?</v>
      </c>
      <c r="AE72" t="e">
        <f ca="1">_xll.BDP($B$33,$C$33,CONCATENATE("PX391=", $AE$66), CONCATENATE("PX392=",$AE$67), CONCATENATE("DS004=",$B$59), "Fill=B")</f>
        <v>#NAME?</v>
      </c>
      <c r="AF72" t="e">
        <f ca="1">_xll.BDP($B$33,$C$33,CONCATENATE("PX391=", $AF$66), CONCATENATE("PX392=",$AF$67), CONCATENATE("DS004=",$B$59), "Fill=B")</f>
        <v>#NAME?</v>
      </c>
      <c r="AG72" t="e">
        <f ca="1">_xll.BDP($B$33,$C$33,CONCATENATE("PX391=", $AG$66), CONCATENATE("PX392=",$AG$67), CONCATENATE("DS004=",$B$59), "Fill=B")</f>
        <v>#NAME?</v>
      </c>
      <c r="AH72" t="e">
        <f ca="1">_xll.BDP($B$33,$C$33,CONCATENATE("PX391=", $AH$66), CONCATENATE("PX392=",$AH$67), CONCATENATE("DS004=",$B$59), "Fill=B")</f>
        <v>#NAME?</v>
      </c>
      <c r="AI72" t="e">
        <f ca="1">_xll.BDP($B$33,$C$33,CONCATENATE("PX391=", $AI$66), CONCATENATE("PX392=",$AI$67), CONCATENATE("DS004=",$B$59), "Fill=B")</f>
        <v>#NAME?</v>
      </c>
      <c r="AJ72" t="e">
        <f ca="1">_xll.BDP($B$33,$C$33,CONCATENATE("PX391=", $AJ$66), CONCATENATE("PX392=",$AJ$67), CONCATENATE("DS004=",$B$59), "Fill=B")</f>
        <v>#NAME?</v>
      </c>
      <c r="AK72" t="e">
        <f ca="1">_xll.BDP($B$33,$C$33,CONCATENATE("PX391=", $AK$66), CONCATENATE("PX392=",$AK$67), CONCATENATE("DS004=",$B$59), "Fill=B")</f>
        <v>#NAME?</v>
      </c>
      <c r="AL72" t="e">
        <f ca="1">_xll.BDP($B$33,$C$33,CONCATENATE("PX391=", $AL$66), CONCATENATE("PX392=",$AL$67), CONCATENATE("DS004=",$B$59), "Fill=B")</f>
        <v>#NAME?</v>
      </c>
      <c r="AM72" t="e">
        <f ca="1">_xll.BDP($B$33,$C$33,CONCATENATE("PX391=", $AM$66), CONCATENATE("PX392=",$AM$67), CONCATENATE("DS004=",$B$59), "Fill=B")</f>
        <v>#NAME?</v>
      </c>
      <c r="AN72" t="e">
        <f ca="1">_xll.BDP($B$33,$C$33,CONCATENATE("PX391=", $AN$66), CONCATENATE("PX392=",$AN$67), CONCATENATE("DS004=",$B$59), "Fill=B")</f>
        <v>#NAME?</v>
      </c>
      <c r="AO72" t="e">
        <f ca="1">_xll.BDP($B$33,$C$33,CONCATENATE("PX391=", $AO$66), CONCATENATE("PX392=",$AO$67), CONCATENATE("DS004=",$B$59), "Fill=B")</f>
        <v>#NAME?</v>
      </c>
      <c r="AP72" t="e">
        <f ca="1">_xll.BDP($B$33,$C$33,CONCATENATE("PX391=", $AP$66), CONCATENATE("PX392=",$AP$67), CONCATENATE("DS004=",$B$59), "Fill=B")</f>
        <v>#NAME?</v>
      </c>
      <c r="AQ72" t="e">
        <f ca="1">_xll.BDP($B$33,$C$33,CONCATENATE("PX391=", $AQ$66), CONCATENATE("PX392=",$AQ$67), CONCATENATE("DS004=",$B$59), "Fill=B")</f>
        <v>#NAME?</v>
      </c>
      <c r="AR72" t="e">
        <f ca="1">_xll.BDP($B$33,$C$33,CONCATENATE("PX391=", $AR$66), CONCATENATE("PX392=",$AR$67), CONCATENATE("DS004=",$B$59), "Fill=B")</f>
        <v>#NAME?</v>
      </c>
      <c r="AS72" t="e">
        <f ca="1">_xll.BDP($B$33,$C$33,CONCATENATE("PX391=", $AS$66), CONCATENATE("PX392=",$AS$67), CONCATENATE("DS004=",$B$59), "Fill=B")</f>
        <v>#NAME?</v>
      </c>
      <c r="AT72" t="str">
        <f>""</f>
        <v/>
      </c>
      <c r="AU72" t="str">
        <f>""</f>
        <v/>
      </c>
      <c r="AV72" t="str">
        <f>""</f>
        <v/>
      </c>
      <c r="AW72" t="str">
        <f>""</f>
        <v/>
      </c>
      <c r="AX72" t="str">
        <f>""</f>
        <v/>
      </c>
      <c r="AY72" t="str">
        <f>""</f>
        <v/>
      </c>
      <c r="AZ72" t="str">
        <f>""</f>
        <v/>
      </c>
      <c r="BA72" t="str">
        <f>""</f>
        <v/>
      </c>
      <c r="BB72" t="str">
        <f>""</f>
        <v/>
      </c>
      <c r="BC72" t="str">
        <f>""</f>
        <v/>
      </c>
      <c r="BD72" t="str">
        <f>""</f>
        <v/>
      </c>
      <c r="BE72" t="str">
        <f>""</f>
        <v/>
      </c>
      <c r="BF72" t="str">
        <f>""</f>
        <v/>
      </c>
      <c r="BG72" t="str">
        <f>""</f>
        <v/>
      </c>
      <c r="BH72" t="str">
        <f>""</f>
        <v/>
      </c>
      <c r="BI72" t="str">
        <f>""</f>
        <v/>
      </c>
      <c r="BJ72" t="str">
        <f>""</f>
        <v/>
      </c>
      <c r="BK72" t="str">
        <f>""</f>
        <v/>
      </c>
      <c r="BL72" t="str">
        <f>""</f>
        <v/>
      </c>
      <c r="BM72" t="str">
        <f>""</f>
        <v/>
      </c>
      <c r="BN72" t="str">
        <f>""</f>
        <v/>
      </c>
      <c r="BO72" t="str">
        <f>""</f>
        <v/>
      </c>
      <c r="BP72" t="str">
        <f>""</f>
        <v/>
      </c>
      <c r="BQ72" t="str">
        <f>""</f>
        <v/>
      </c>
      <c r="BR72" t="str">
        <f>""</f>
        <v/>
      </c>
      <c r="BS72" t="str">
        <f>""</f>
        <v/>
      </c>
      <c r="BT72" t="str">
        <f>""</f>
        <v/>
      </c>
      <c r="BU72" t="str">
        <f>""</f>
        <v/>
      </c>
      <c r="BV72" t="str">
        <f>""</f>
        <v/>
      </c>
      <c r="BW72" t="str">
        <f>""</f>
        <v/>
      </c>
      <c r="BX72" t="str">
        <f>""</f>
        <v/>
      </c>
      <c r="BY72" t="str">
        <f>""</f>
        <v/>
      </c>
      <c r="BZ72" t="str">
        <f>""</f>
        <v/>
      </c>
      <c r="CA72" t="str">
        <f>""</f>
        <v/>
      </c>
      <c r="CB72" t="str">
        <f>""</f>
        <v/>
      </c>
      <c r="CC72" t="str">
        <f>""</f>
        <v/>
      </c>
      <c r="CD72" t="str">
        <f>""</f>
        <v/>
      </c>
      <c r="CE72" t="str">
        <f>""</f>
        <v/>
      </c>
      <c r="CF72" t="str">
        <f>""</f>
        <v/>
      </c>
      <c r="CG72" t="str">
        <f>""</f>
        <v/>
      </c>
    </row>
    <row r="73" spans="1:85" x14ac:dyDescent="0.25">
      <c r="A73" t="str">
        <f>$A$34</f>
        <v xml:space="preserve">    Iveco</v>
      </c>
      <c r="B73" t="str">
        <f>$B$34</f>
        <v>BRTRHIVE Index</v>
      </c>
      <c r="C73" t="str">
        <f>$C$34</f>
        <v>PX385</v>
      </c>
      <c r="D73" t="str">
        <f>$D$34</f>
        <v>INTERVAL_SUM</v>
      </c>
      <c r="E73" t="str">
        <f>$E$34</f>
        <v>Dynamic</v>
      </c>
      <c r="F73" t="e">
        <f ca="1">_xll.BDP($B$34,$C$34,CONCATENATE("PX391=", $F$66), CONCATENATE("PX392=",$F$67), CONCATENATE("DS004=",$B$59), "Fill=B")</f>
        <v>#NAME?</v>
      </c>
      <c r="G73" t="e">
        <f ca="1">_xll.BDP($B$34,$C$34,CONCATENATE("PX391=", $G$66), CONCATENATE("PX392=",$G$67), CONCATENATE("DS004=",$B$59), "Fill=B")</f>
        <v>#NAME?</v>
      </c>
      <c r="H73" t="e">
        <f ca="1">_xll.BDP($B$34,$C$34,CONCATENATE("PX391=", $H$66), CONCATENATE("PX392=",$H$67), CONCATENATE("DS004=",$B$59), "Fill=B")</f>
        <v>#NAME?</v>
      </c>
      <c r="I73" t="e">
        <f ca="1">_xll.BDP($B$34,$C$34,CONCATENATE("PX391=", $I$66), CONCATENATE("PX392=",$I$67), CONCATENATE("DS004=",$B$59), "Fill=B")</f>
        <v>#NAME?</v>
      </c>
      <c r="J73" t="e">
        <f ca="1">_xll.BDP($B$34,$C$34,CONCATENATE("PX391=", $J$66), CONCATENATE("PX392=",$J$67), CONCATENATE("DS004=",$B$59), "Fill=B")</f>
        <v>#NAME?</v>
      </c>
      <c r="K73" t="e">
        <f ca="1">_xll.BDP($B$34,$C$34,CONCATENATE("PX391=", $K$66), CONCATENATE("PX392=",$K$67), CONCATENATE("DS004=",$B$59), "Fill=B")</f>
        <v>#NAME?</v>
      </c>
      <c r="L73" t="e">
        <f ca="1">_xll.BDP($B$34,$C$34,CONCATENATE("PX391=", $L$66), CONCATENATE("PX392=",$L$67), CONCATENATE("DS004=",$B$59), "Fill=B")</f>
        <v>#NAME?</v>
      </c>
      <c r="M73" t="e">
        <f ca="1">_xll.BDP($B$34,$C$34,CONCATENATE("PX391=", $M$66), CONCATENATE("PX392=",$M$67), CONCATENATE("DS004=",$B$59), "Fill=B")</f>
        <v>#NAME?</v>
      </c>
      <c r="N73" t="e">
        <f ca="1">_xll.BDP($B$34,$C$34,CONCATENATE("PX391=", $N$66), CONCATENATE("PX392=",$N$67), CONCATENATE("DS004=",$B$59), "Fill=B")</f>
        <v>#NAME?</v>
      </c>
      <c r="O73" t="e">
        <f ca="1">_xll.BDP($B$34,$C$34,CONCATENATE("PX391=", $O$66), CONCATENATE("PX392=",$O$67), CONCATENATE("DS004=",$B$59), "Fill=B")</f>
        <v>#NAME?</v>
      </c>
      <c r="P73" t="e">
        <f ca="1">_xll.BDP($B$34,$C$34,CONCATENATE("PX391=", $P$66), CONCATENATE("PX392=",$P$67), CONCATENATE("DS004=",$B$59), "Fill=B")</f>
        <v>#NAME?</v>
      </c>
      <c r="Q73" t="e">
        <f ca="1">_xll.BDP($B$34,$C$34,CONCATENATE("PX391=", $Q$66), CONCATENATE("PX392=",$Q$67), CONCATENATE("DS004=",$B$59), "Fill=B")</f>
        <v>#NAME?</v>
      </c>
      <c r="R73" t="e">
        <f ca="1">_xll.BDP($B$34,$C$34,CONCATENATE("PX391=", $R$66), CONCATENATE("PX392=",$R$67), CONCATENATE("DS004=",$B$59), "Fill=B")</f>
        <v>#NAME?</v>
      </c>
      <c r="S73" t="e">
        <f ca="1">_xll.BDP($B$34,$C$34,CONCATENATE("PX391=", $S$66), CONCATENATE("PX392=",$S$67), CONCATENATE("DS004=",$B$59), "Fill=B")</f>
        <v>#NAME?</v>
      </c>
      <c r="T73" t="e">
        <f ca="1">_xll.BDP($B$34,$C$34,CONCATENATE("PX391=", $T$66), CONCATENATE("PX392=",$T$67), CONCATENATE("DS004=",$B$59), "Fill=B")</f>
        <v>#NAME?</v>
      </c>
      <c r="U73" t="e">
        <f ca="1">_xll.BDP($B$34,$C$34,CONCATENATE("PX391=", $U$66), CONCATENATE("PX392=",$U$67), CONCATENATE("DS004=",$B$59), "Fill=B")</f>
        <v>#NAME?</v>
      </c>
      <c r="V73" t="e">
        <f ca="1">_xll.BDP($B$34,$C$34,CONCATENATE("PX391=", $V$66), CONCATENATE("PX392=",$V$67), CONCATENATE("DS004=",$B$59), "Fill=B")</f>
        <v>#NAME?</v>
      </c>
      <c r="W73" t="e">
        <f ca="1">_xll.BDP($B$34,$C$34,CONCATENATE("PX391=", $W$66), CONCATENATE("PX392=",$W$67), CONCATENATE("DS004=",$B$59), "Fill=B")</f>
        <v>#NAME?</v>
      </c>
      <c r="X73" t="e">
        <f ca="1">_xll.BDP($B$34,$C$34,CONCATENATE("PX391=", $X$66), CONCATENATE("PX392=",$X$67), CONCATENATE("DS004=",$B$59), "Fill=B")</f>
        <v>#NAME?</v>
      </c>
      <c r="Y73" t="e">
        <f ca="1">_xll.BDP($B$34,$C$34,CONCATENATE("PX391=", $Y$66), CONCATENATE("PX392=",$Y$67), CONCATENATE("DS004=",$B$59), "Fill=B")</f>
        <v>#NAME?</v>
      </c>
      <c r="Z73" t="e">
        <f ca="1">_xll.BDP($B$34,$C$34,CONCATENATE("PX391=", $Z$66), CONCATENATE("PX392=",$Z$67), CONCATENATE("DS004=",$B$59), "Fill=B")</f>
        <v>#NAME?</v>
      </c>
      <c r="AA73" t="e">
        <f ca="1">_xll.BDP($B$34,$C$34,CONCATENATE("PX391=", $AA$66), CONCATENATE("PX392=",$AA$67), CONCATENATE("DS004=",$B$59), "Fill=B")</f>
        <v>#NAME?</v>
      </c>
      <c r="AB73" t="e">
        <f ca="1">_xll.BDP($B$34,$C$34,CONCATENATE("PX391=", $AB$66), CONCATENATE("PX392=",$AB$67), CONCATENATE("DS004=",$B$59), "Fill=B")</f>
        <v>#NAME?</v>
      </c>
      <c r="AC73" t="e">
        <f ca="1">_xll.BDP($B$34,$C$34,CONCATENATE("PX391=", $AC$66), CONCATENATE("PX392=",$AC$67), CONCATENATE("DS004=",$B$59), "Fill=B")</f>
        <v>#NAME?</v>
      </c>
      <c r="AD73" t="e">
        <f ca="1">_xll.BDP($B$34,$C$34,CONCATENATE("PX391=", $AD$66), CONCATENATE("PX392=",$AD$67), CONCATENATE("DS004=",$B$59), "Fill=B")</f>
        <v>#NAME?</v>
      </c>
      <c r="AE73" t="e">
        <f ca="1">_xll.BDP($B$34,$C$34,CONCATENATE("PX391=", $AE$66), CONCATENATE("PX392=",$AE$67), CONCATENATE("DS004=",$B$59), "Fill=B")</f>
        <v>#NAME?</v>
      </c>
      <c r="AF73" t="e">
        <f ca="1">_xll.BDP($B$34,$C$34,CONCATENATE("PX391=", $AF$66), CONCATENATE("PX392=",$AF$67), CONCATENATE("DS004=",$B$59), "Fill=B")</f>
        <v>#NAME?</v>
      </c>
      <c r="AG73" t="e">
        <f ca="1">_xll.BDP($B$34,$C$34,CONCATENATE("PX391=", $AG$66), CONCATENATE("PX392=",$AG$67), CONCATENATE("DS004=",$B$59), "Fill=B")</f>
        <v>#NAME?</v>
      </c>
      <c r="AH73" t="e">
        <f ca="1">_xll.BDP($B$34,$C$34,CONCATENATE("PX391=", $AH$66), CONCATENATE("PX392=",$AH$67), CONCATENATE("DS004=",$B$59), "Fill=B")</f>
        <v>#NAME?</v>
      </c>
      <c r="AI73" t="e">
        <f ca="1">_xll.BDP($B$34,$C$34,CONCATENATE("PX391=", $AI$66), CONCATENATE("PX392=",$AI$67), CONCATENATE("DS004=",$B$59), "Fill=B")</f>
        <v>#NAME?</v>
      </c>
      <c r="AJ73" t="e">
        <f ca="1">_xll.BDP($B$34,$C$34,CONCATENATE("PX391=", $AJ$66), CONCATENATE("PX392=",$AJ$67), CONCATENATE("DS004=",$B$59), "Fill=B")</f>
        <v>#NAME?</v>
      </c>
      <c r="AK73" t="e">
        <f ca="1">_xll.BDP($B$34,$C$34,CONCATENATE("PX391=", $AK$66), CONCATENATE("PX392=",$AK$67), CONCATENATE("DS004=",$B$59), "Fill=B")</f>
        <v>#NAME?</v>
      </c>
      <c r="AL73" t="e">
        <f ca="1">_xll.BDP($B$34,$C$34,CONCATENATE("PX391=", $AL$66), CONCATENATE("PX392=",$AL$67), CONCATENATE("DS004=",$B$59), "Fill=B")</f>
        <v>#NAME?</v>
      </c>
      <c r="AM73" t="e">
        <f ca="1">_xll.BDP($B$34,$C$34,CONCATENATE("PX391=", $AM$66), CONCATENATE("PX392=",$AM$67), CONCATENATE("DS004=",$B$59), "Fill=B")</f>
        <v>#NAME?</v>
      </c>
      <c r="AN73" t="e">
        <f ca="1">_xll.BDP($B$34,$C$34,CONCATENATE("PX391=", $AN$66), CONCATENATE("PX392=",$AN$67), CONCATENATE("DS004=",$B$59), "Fill=B")</f>
        <v>#NAME?</v>
      </c>
      <c r="AO73" t="e">
        <f ca="1">_xll.BDP($B$34,$C$34,CONCATENATE("PX391=", $AO$66), CONCATENATE("PX392=",$AO$67), CONCATENATE("DS004=",$B$59), "Fill=B")</f>
        <v>#NAME?</v>
      </c>
      <c r="AP73" t="e">
        <f ca="1">_xll.BDP($B$34,$C$34,CONCATENATE("PX391=", $AP$66), CONCATENATE("PX392=",$AP$67), CONCATENATE("DS004=",$B$59), "Fill=B")</f>
        <v>#NAME?</v>
      </c>
      <c r="AQ73" t="e">
        <f ca="1">_xll.BDP($B$34,$C$34,CONCATENATE("PX391=", $AQ$66), CONCATENATE("PX392=",$AQ$67), CONCATENATE("DS004=",$B$59), "Fill=B")</f>
        <v>#NAME?</v>
      </c>
      <c r="AR73" t="e">
        <f ca="1">_xll.BDP($B$34,$C$34,CONCATENATE("PX391=", $AR$66), CONCATENATE("PX392=",$AR$67), CONCATENATE("DS004=",$B$59), "Fill=B")</f>
        <v>#NAME?</v>
      </c>
      <c r="AS73" t="e">
        <f ca="1">_xll.BDP($B$34,$C$34,CONCATENATE("PX391=", $AS$66), CONCATENATE("PX392=",$AS$67), CONCATENATE("DS004=",$B$59), "Fill=B")</f>
        <v>#NAME?</v>
      </c>
      <c r="AT73" t="str">
        <f>""</f>
        <v/>
      </c>
      <c r="AU73" t="str">
        <f>""</f>
        <v/>
      </c>
      <c r="AV73" t="str">
        <f>""</f>
        <v/>
      </c>
      <c r="AW73" t="str">
        <f>""</f>
        <v/>
      </c>
      <c r="AX73" t="str">
        <f>""</f>
        <v/>
      </c>
      <c r="AY73" t="str">
        <f>""</f>
        <v/>
      </c>
      <c r="AZ73" t="str">
        <f>""</f>
        <v/>
      </c>
      <c r="BA73" t="str">
        <f>""</f>
        <v/>
      </c>
      <c r="BB73" t="str">
        <f>""</f>
        <v/>
      </c>
      <c r="BC73" t="str">
        <f>""</f>
        <v/>
      </c>
      <c r="BD73" t="str">
        <f>""</f>
        <v/>
      </c>
      <c r="BE73" t="str">
        <f>""</f>
        <v/>
      </c>
      <c r="BF73" t="str">
        <f>""</f>
        <v/>
      </c>
      <c r="BG73" t="str">
        <f>""</f>
        <v/>
      </c>
      <c r="BH73" t="str">
        <f>""</f>
        <v/>
      </c>
      <c r="BI73" t="str">
        <f>""</f>
        <v/>
      </c>
      <c r="BJ73" t="str">
        <f>""</f>
        <v/>
      </c>
      <c r="BK73" t="str">
        <f>""</f>
        <v/>
      </c>
      <c r="BL73" t="str">
        <f>""</f>
        <v/>
      </c>
      <c r="BM73" t="str">
        <f>""</f>
        <v/>
      </c>
      <c r="BN73" t="str">
        <f>""</f>
        <v/>
      </c>
      <c r="BO73" t="str">
        <f>""</f>
        <v/>
      </c>
      <c r="BP73" t="str">
        <f>""</f>
        <v/>
      </c>
      <c r="BQ73" t="str">
        <f>""</f>
        <v/>
      </c>
      <c r="BR73" t="str">
        <f>""</f>
        <v/>
      </c>
      <c r="BS73" t="str">
        <f>""</f>
        <v/>
      </c>
      <c r="BT73" t="str">
        <f>""</f>
        <v/>
      </c>
      <c r="BU73" t="str">
        <f>""</f>
        <v/>
      </c>
      <c r="BV73" t="str">
        <f>""</f>
        <v/>
      </c>
      <c r="BW73" t="str">
        <f>""</f>
        <v/>
      </c>
      <c r="BX73" t="str">
        <f>""</f>
        <v/>
      </c>
      <c r="BY73" t="str">
        <f>""</f>
        <v/>
      </c>
      <c r="BZ73" t="str">
        <f>""</f>
        <v/>
      </c>
      <c r="CA73" t="str">
        <f>""</f>
        <v/>
      </c>
      <c r="CB73" t="str">
        <f>""</f>
        <v/>
      </c>
      <c r="CC73" t="str">
        <f>""</f>
        <v/>
      </c>
      <c r="CD73" t="str">
        <f>""</f>
        <v/>
      </c>
      <c r="CE73" t="str">
        <f>""</f>
        <v/>
      </c>
      <c r="CF73" t="str">
        <f>""</f>
        <v/>
      </c>
      <c r="CG73" t="str">
        <f>""</f>
        <v/>
      </c>
    </row>
    <row r="74" spans="1:85" x14ac:dyDescent="0.25">
      <c r="A74" t="str">
        <f>$A$35</f>
        <v xml:space="preserve">    Ford</v>
      </c>
      <c r="B74" t="str">
        <f>$B$35</f>
        <v>BRTRHFOR Index</v>
      </c>
      <c r="C74" t="str">
        <f>$C$35</f>
        <v>PX385</v>
      </c>
      <c r="D74" t="str">
        <f>$D$35</f>
        <v>INTERVAL_SUM</v>
      </c>
      <c r="E74" t="str">
        <f>$E$35</f>
        <v>Dynamic</v>
      </c>
      <c r="F74" t="e">
        <f ca="1">_xll.BDP($B$35,$C$35,CONCATENATE("PX391=", $F$66), CONCATENATE("PX392=",$F$67), CONCATENATE("DS004=",$B$59), "Fill=B")</f>
        <v>#NAME?</v>
      </c>
      <c r="G74" t="e">
        <f ca="1">_xll.BDP($B$35,$C$35,CONCATENATE("PX391=", $G$66), CONCATENATE("PX392=",$G$67), CONCATENATE("DS004=",$B$59), "Fill=B")</f>
        <v>#NAME?</v>
      </c>
      <c r="H74" t="e">
        <f ca="1">_xll.BDP($B$35,$C$35,CONCATENATE("PX391=", $H$66), CONCATENATE("PX392=",$H$67), CONCATENATE("DS004=",$B$59), "Fill=B")</f>
        <v>#NAME?</v>
      </c>
      <c r="I74" t="e">
        <f ca="1">_xll.BDP($B$35,$C$35,CONCATENATE("PX391=", $I$66), CONCATENATE("PX392=",$I$67), CONCATENATE("DS004=",$B$59), "Fill=B")</f>
        <v>#NAME?</v>
      </c>
      <c r="J74" t="e">
        <f ca="1">_xll.BDP($B$35,$C$35,CONCATENATE("PX391=", $J$66), CONCATENATE("PX392=",$J$67), CONCATENATE("DS004=",$B$59), "Fill=B")</f>
        <v>#NAME?</v>
      </c>
      <c r="K74" t="e">
        <f ca="1">_xll.BDP($B$35,$C$35,CONCATENATE("PX391=", $K$66), CONCATENATE("PX392=",$K$67), CONCATENATE("DS004=",$B$59), "Fill=B")</f>
        <v>#NAME?</v>
      </c>
      <c r="L74" t="e">
        <f ca="1">_xll.BDP($B$35,$C$35,CONCATENATE("PX391=", $L$66), CONCATENATE("PX392=",$L$67), CONCATENATE("DS004=",$B$59), "Fill=B")</f>
        <v>#NAME?</v>
      </c>
      <c r="M74" t="e">
        <f ca="1">_xll.BDP($B$35,$C$35,CONCATENATE("PX391=", $M$66), CONCATENATE("PX392=",$M$67), CONCATENATE("DS004=",$B$59), "Fill=B")</f>
        <v>#NAME?</v>
      </c>
      <c r="N74" t="e">
        <f ca="1">_xll.BDP($B$35,$C$35,CONCATENATE("PX391=", $N$66), CONCATENATE("PX392=",$N$67), CONCATENATE("DS004=",$B$59), "Fill=B")</f>
        <v>#NAME?</v>
      </c>
      <c r="O74" t="e">
        <f ca="1">_xll.BDP($B$35,$C$35,CONCATENATE("PX391=", $O$66), CONCATENATE("PX392=",$O$67), CONCATENATE("DS004=",$B$59), "Fill=B")</f>
        <v>#NAME?</v>
      </c>
      <c r="P74" t="e">
        <f ca="1">_xll.BDP($B$35,$C$35,CONCATENATE("PX391=", $P$66), CONCATENATE("PX392=",$P$67), CONCATENATE("DS004=",$B$59), "Fill=B")</f>
        <v>#NAME?</v>
      </c>
      <c r="Q74" t="e">
        <f ca="1">_xll.BDP($B$35,$C$35,CONCATENATE("PX391=", $Q$66), CONCATENATE("PX392=",$Q$67), CONCATENATE("DS004=",$B$59), "Fill=B")</f>
        <v>#NAME?</v>
      </c>
      <c r="R74" t="e">
        <f ca="1">_xll.BDP($B$35,$C$35,CONCATENATE("PX391=", $R$66), CONCATENATE("PX392=",$R$67), CONCATENATE("DS004=",$B$59), "Fill=B")</f>
        <v>#NAME?</v>
      </c>
      <c r="S74" t="e">
        <f ca="1">_xll.BDP($B$35,$C$35,CONCATENATE("PX391=", $S$66), CONCATENATE("PX392=",$S$67), CONCATENATE("DS004=",$B$59), "Fill=B")</f>
        <v>#NAME?</v>
      </c>
      <c r="T74" t="e">
        <f ca="1">_xll.BDP($B$35,$C$35,CONCATENATE("PX391=", $T$66), CONCATENATE("PX392=",$T$67), CONCATENATE("DS004=",$B$59), "Fill=B")</f>
        <v>#NAME?</v>
      </c>
      <c r="U74" t="e">
        <f ca="1">_xll.BDP($B$35,$C$35,CONCATENATE("PX391=", $U$66), CONCATENATE("PX392=",$U$67), CONCATENATE("DS004=",$B$59), "Fill=B")</f>
        <v>#NAME?</v>
      </c>
      <c r="V74" t="e">
        <f ca="1">_xll.BDP($B$35,$C$35,CONCATENATE("PX391=", $V$66), CONCATENATE("PX392=",$V$67), CONCATENATE("DS004=",$B$59), "Fill=B")</f>
        <v>#NAME?</v>
      </c>
      <c r="W74" t="e">
        <f ca="1">_xll.BDP($B$35,$C$35,CONCATENATE("PX391=", $W$66), CONCATENATE("PX392=",$W$67), CONCATENATE("DS004=",$B$59), "Fill=B")</f>
        <v>#NAME?</v>
      </c>
      <c r="X74" t="e">
        <f ca="1">_xll.BDP($B$35,$C$35,CONCATENATE("PX391=", $X$66), CONCATENATE("PX392=",$X$67), CONCATENATE("DS004=",$B$59), "Fill=B")</f>
        <v>#NAME?</v>
      </c>
      <c r="Y74" t="e">
        <f ca="1">_xll.BDP($B$35,$C$35,CONCATENATE("PX391=", $Y$66), CONCATENATE("PX392=",$Y$67), CONCATENATE("DS004=",$B$59), "Fill=B")</f>
        <v>#NAME?</v>
      </c>
      <c r="Z74" t="e">
        <f ca="1">_xll.BDP($B$35,$C$35,CONCATENATE("PX391=", $Z$66), CONCATENATE("PX392=",$Z$67), CONCATENATE("DS004=",$B$59), "Fill=B")</f>
        <v>#NAME?</v>
      </c>
      <c r="AA74" t="e">
        <f ca="1">_xll.BDP($B$35,$C$35,CONCATENATE("PX391=", $AA$66), CONCATENATE("PX392=",$AA$67), CONCATENATE("DS004=",$B$59), "Fill=B")</f>
        <v>#NAME?</v>
      </c>
      <c r="AB74" t="e">
        <f ca="1">_xll.BDP($B$35,$C$35,CONCATENATE("PX391=", $AB$66), CONCATENATE("PX392=",$AB$67), CONCATENATE("DS004=",$B$59), "Fill=B")</f>
        <v>#NAME?</v>
      </c>
      <c r="AC74" t="e">
        <f ca="1">_xll.BDP($B$35,$C$35,CONCATENATE("PX391=", $AC$66), CONCATENATE("PX392=",$AC$67), CONCATENATE("DS004=",$B$59), "Fill=B")</f>
        <v>#NAME?</v>
      </c>
      <c r="AD74" t="e">
        <f ca="1">_xll.BDP($B$35,$C$35,CONCATENATE("PX391=", $AD$66), CONCATENATE("PX392=",$AD$67), CONCATENATE("DS004=",$B$59), "Fill=B")</f>
        <v>#NAME?</v>
      </c>
      <c r="AE74" t="e">
        <f ca="1">_xll.BDP($B$35,$C$35,CONCATENATE("PX391=", $AE$66), CONCATENATE("PX392=",$AE$67), CONCATENATE("DS004=",$B$59), "Fill=B")</f>
        <v>#NAME?</v>
      </c>
      <c r="AF74" t="e">
        <f ca="1">_xll.BDP($B$35,$C$35,CONCATENATE("PX391=", $AF$66), CONCATENATE("PX392=",$AF$67), CONCATENATE("DS004=",$B$59), "Fill=B")</f>
        <v>#NAME?</v>
      </c>
      <c r="AG74" t="e">
        <f ca="1">_xll.BDP($B$35,$C$35,CONCATENATE("PX391=", $AG$66), CONCATENATE("PX392=",$AG$67), CONCATENATE("DS004=",$B$59), "Fill=B")</f>
        <v>#NAME?</v>
      </c>
      <c r="AH74" t="e">
        <f ca="1">_xll.BDP($B$35,$C$35,CONCATENATE("PX391=", $AH$66), CONCATENATE("PX392=",$AH$67), CONCATENATE("DS004=",$B$59), "Fill=B")</f>
        <v>#NAME?</v>
      </c>
      <c r="AI74" t="e">
        <f ca="1">_xll.BDP($B$35,$C$35,CONCATENATE("PX391=", $AI$66), CONCATENATE("PX392=",$AI$67), CONCATENATE("DS004=",$B$59), "Fill=B")</f>
        <v>#NAME?</v>
      </c>
      <c r="AJ74" t="e">
        <f ca="1">_xll.BDP($B$35,$C$35,CONCATENATE("PX391=", $AJ$66), CONCATENATE("PX392=",$AJ$67), CONCATENATE("DS004=",$B$59), "Fill=B")</f>
        <v>#NAME?</v>
      </c>
      <c r="AK74" t="e">
        <f ca="1">_xll.BDP($B$35,$C$35,CONCATENATE("PX391=", $AK$66), CONCATENATE("PX392=",$AK$67), CONCATENATE("DS004=",$B$59), "Fill=B")</f>
        <v>#NAME?</v>
      </c>
      <c r="AL74" t="e">
        <f ca="1">_xll.BDP($B$35,$C$35,CONCATENATE("PX391=", $AL$66), CONCATENATE("PX392=",$AL$67), CONCATENATE("DS004=",$B$59), "Fill=B")</f>
        <v>#NAME?</v>
      </c>
      <c r="AM74" t="e">
        <f ca="1">_xll.BDP($B$35,$C$35,CONCATENATE("PX391=", $AM$66), CONCATENATE("PX392=",$AM$67), CONCATENATE("DS004=",$B$59), "Fill=B")</f>
        <v>#NAME?</v>
      </c>
      <c r="AN74" t="e">
        <f ca="1">_xll.BDP($B$35,$C$35,CONCATENATE("PX391=", $AN$66), CONCATENATE("PX392=",$AN$67), CONCATENATE("DS004=",$B$59), "Fill=B")</f>
        <v>#NAME?</v>
      </c>
      <c r="AO74" t="e">
        <f ca="1">_xll.BDP($B$35,$C$35,CONCATENATE("PX391=", $AO$66), CONCATENATE("PX392=",$AO$67), CONCATENATE("DS004=",$B$59), "Fill=B")</f>
        <v>#NAME?</v>
      </c>
      <c r="AP74" t="e">
        <f ca="1">_xll.BDP($B$35,$C$35,CONCATENATE("PX391=", $AP$66), CONCATENATE("PX392=",$AP$67), CONCATENATE("DS004=",$B$59), "Fill=B")</f>
        <v>#NAME?</v>
      </c>
      <c r="AQ74" t="e">
        <f ca="1">_xll.BDP($B$35,$C$35,CONCATENATE("PX391=", $AQ$66), CONCATENATE("PX392=",$AQ$67), CONCATENATE("DS004=",$B$59), "Fill=B")</f>
        <v>#NAME?</v>
      </c>
      <c r="AR74" t="e">
        <f ca="1">_xll.BDP($B$35,$C$35,CONCATENATE("PX391=", $AR$66), CONCATENATE("PX392=",$AR$67), CONCATENATE("DS004=",$B$59), "Fill=B")</f>
        <v>#NAME?</v>
      </c>
      <c r="AS74" t="e">
        <f ca="1">_xll.BDP($B$35,$C$35,CONCATENATE("PX391=", $AS$66), CONCATENATE("PX392=",$AS$67), CONCATENATE("DS004=",$B$59), "Fill=B")</f>
        <v>#NAME?</v>
      </c>
      <c r="AT74" t="str">
        <f>""</f>
        <v/>
      </c>
      <c r="AU74" t="str">
        <f>""</f>
        <v/>
      </c>
      <c r="AV74" t="str">
        <f>""</f>
        <v/>
      </c>
      <c r="AW74" t="str">
        <f>""</f>
        <v/>
      </c>
      <c r="AX74" t="str">
        <f>""</f>
        <v/>
      </c>
      <c r="AY74" t="str">
        <f>""</f>
        <v/>
      </c>
      <c r="AZ74" t="str">
        <f>""</f>
        <v/>
      </c>
      <c r="BA74" t="str">
        <f>""</f>
        <v/>
      </c>
      <c r="BB74" t="str">
        <f>""</f>
        <v/>
      </c>
      <c r="BC74" t="str">
        <f>""</f>
        <v/>
      </c>
      <c r="BD74" t="str">
        <f>""</f>
        <v/>
      </c>
      <c r="BE74" t="str">
        <f>""</f>
        <v/>
      </c>
      <c r="BF74" t="str">
        <f>""</f>
        <v/>
      </c>
      <c r="BG74" t="str">
        <f>""</f>
        <v/>
      </c>
      <c r="BH74" t="str">
        <f>""</f>
        <v/>
      </c>
      <c r="BI74" t="str">
        <f>""</f>
        <v/>
      </c>
      <c r="BJ74" t="str">
        <f>""</f>
        <v/>
      </c>
      <c r="BK74" t="str">
        <f>""</f>
        <v/>
      </c>
      <c r="BL74" t="str">
        <f>""</f>
        <v/>
      </c>
      <c r="BM74" t="str">
        <f>""</f>
        <v/>
      </c>
      <c r="BN74" t="str">
        <f>""</f>
        <v/>
      </c>
      <c r="BO74" t="str">
        <f>""</f>
        <v/>
      </c>
      <c r="BP74" t="str">
        <f>""</f>
        <v/>
      </c>
      <c r="BQ74" t="str">
        <f>""</f>
        <v/>
      </c>
      <c r="BR74" t="str">
        <f>""</f>
        <v/>
      </c>
      <c r="BS74" t="str">
        <f>""</f>
        <v/>
      </c>
      <c r="BT74" t="str">
        <f>""</f>
        <v/>
      </c>
      <c r="BU74" t="str">
        <f>""</f>
        <v/>
      </c>
      <c r="BV74" t="str">
        <f>""</f>
        <v/>
      </c>
      <c r="BW74" t="str">
        <f>""</f>
        <v/>
      </c>
      <c r="BX74" t="str">
        <f>""</f>
        <v/>
      </c>
      <c r="BY74" t="str">
        <f>""</f>
        <v/>
      </c>
      <c r="BZ74" t="str">
        <f>""</f>
        <v/>
      </c>
      <c r="CA74" t="str">
        <f>""</f>
        <v/>
      </c>
      <c r="CB74" t="str">
        <f>""</f>
        <v/>
      </c>
      <c r="CC74" t="str">
        <f>""</f>
        <v/>
      </c>
      <c r="CD74" t="str">
        <f>""</f>
        <v/>
      </c>
      <c r="CE74" t="str">
        <f>""</f>
        <v/>
      </c>
      <c r="CF74" t="str">
        <f>""</f>
        <v/>
      </c>
      <c r="CG74" t="str">
        <f>""</f>
        <v/>
      </c>
    </row>
    <row r="75" spans="1:85" x14ac:dyDescent="0.25">
      <c r="A75" t="str">
        <f>$A$36</f>
        <v xml:space="preserve">    International</v>
      </c>
      <c r="B75" t="str">
        <f>$B$36</f>
        <v>BRTRHINT Index</v>
      </c>
      <c r="C75" t="str">
        <f>$C$36</f>
        <v>PX385</v>
      </c>
      <c r="D75" t="str">
        <f>$D$36</f>
        <v>INTERVAL_SUM</v>
      </c>
      <c r="E75" t="str">
        <f>$E$36</f>
        <v>Dynamic</v>
      </c>
      <c r="F75" t="e">
        <f ca="1">_xll.BDP($B$36,$C$36,CONCATENATE("PX391=", $F$66), CONCATENATE("PX392=",$F$67), CONCATENATE("DS004=",$B$59), "Fill=B")</f>
        <v>#NAME?</v>
      </c>
      <c r="G75" t="e">
        <f ca="1">_xll.BDP($B$36,$C$36,CONCATENATE("PX391=", $G$66), CONCATENATE("PX392=",$G$67), CONCATENATE("DS004=",$B$59), "Fill=B")</f>
        <v>#NAME?</v>
      </c>
      <c r="H75" t="e">
        <f ca="1">_xll.BDP($B$36,$C$36,CONCATENATE("PX391=", $H$66), CONCATENATE("PX392=",$H$67), CONCATENATE("DS004=",$B$59), "Fill=B")</f>
        <v>#NAME?</v>
      </c>
      <c r="I75" t="e">
        <f ca="1">_xll.BDP($B$36,$C$36,CONCATENATE("PX391=", $I$66), CONCATENATE("PX392=",$I$67), CONCATENATE("DS004=",$B$59), "Fill=B")</f>
        <v>#NAME?</v>
      </c>
      <c r="J75" t="e">
        <f ca="1">_xll.BDP($B$36,$C$36,CONCATENATE("PX391=", $J$66), CONCATENATE("PX392=",$J$67), CONCATENATE("DS004=",$B$59), "Fill=B")</f>
        <v>#NAME?</v>
      </c>
      <c r="K75" t="e">
        <f ca="1">_xll.BDP($B$36,$C$36,CONCATENATE("PX391=", $K$66), CONCATENATE("PX392=",$K$67), CONCATENATE("DS004=",$B$59), "Fill=B")</f>
        <v>#NAME?</v>
      </c>
      <c r="L75" t="e">
        <f ca="1">_xll.BDP($B$36,$C$36,CONCATENATE("PX391=", $L$66), CONCATENATE("PX392=",$L$67), CONCATENATE("DS004=",$B$59), "Fill=B")</f>
        <v>#NAME?</v>
      </c>
      <c r="M75" t="e">
        <f ca="1">_xll.BDP($B$36,$C$36,CONCATENATE("PX391=", $M$66), CONCATENATE("PX392=",$M$67), CONCATENATE("DS004=",$B$59), "Fill=B")</f>
        <v>#NAME?</v>
      </c>
      <c r="N75" t="e">
        <f ca="1">_xll.BDP($B$36,$C$36,CONCATENATE("PX391=", $N$66), CONCATENATE("PX392=",$N$67), CONCATENATE("DS004=",$B$59), "Fill=B")</f>
        <v>#NAME?</v>
      </c>
      <c r="O75" t="e">
        <f ca="1">_xll.BDP($B$36,$C$36,CONCATENATE("PX391=", $O$66), CONCATENATE("PX392=",$O$67), CONCATENATE("DS004=",$B$59), "Fill=B")</f>
        <v>#NAME?</v>
      </c>
      <c r="P75" t="e">
        <f ca="1">_xll.BDP($B$36,$C$36,CONCATENATE("PX391=", $P$66), CONCATENATE("PX392=",$P$67), CONCATENATE("DS004=",$B$59), "Fill=B")</f>
        <v>#NAME?</v>
      </c>
      <c r="Q75" t="e">
        <f ca="1">_xll.BDP($B$36,$C$36,CONCATENATE("PX391=", $Q$66), CONCATENATE("PX392=",$Q$67), CONCATENATE("DS004=",$B$59), "Fill=B")</f>
        <v>#NAME?</v>
      </c>
      <c r="R75" t="e">
        <f ca="1">_xll.BDP($B$36,$C$36,CONCATENATE("PX391=", $R$66), CONCATENATE("PX392=",$R$67), CONCATENATE("DS004=",$B$59), "Fill=B")</f>
        <v>#NAME?</v>
      </c>
      <c r="S75" t="e">
        <f ca="1">_xll.BDP($B$36,$C$36,CONCATENATE("PX391=", $S$66), CONCATENATE("PX392=",$S$67), CONCATENATE("DS004=",$B$59), "Fill=B")</f>
        <v>#NAME?</v>
      </c>
      <c r="T75" t="e">
        <f ca="1">_xll.BDP($B$36,$C$36,CONCATENATE("PX391=", $T$66), CONCATENATE("PX392=",$T$67), CONCATENATE("DS004=",$B$59), "Fill=B")</f>
        <v>#NAME?</v>
      </c>
      <c r="U75" t="e">
        <f ca="1">_xll.BDP($B$36,$C$36,CONCATENATE("PX391=", $U$66), CONCATENATE("PX392=",$U$67), CONCATENATE("DS004=",$B$59), "Fill=B")</f>
        <v>#NAME?</v>
      </c>
      <c r="V75" t="e">
        <f ca="1">_xll.BDP($B$36,$C$36,CONCATENATE("PX391=", $V$66), CONCATENATE("PX392=",$V$67), CONCATENATE("DS004=",$B$59), "Fill=B")</f>
        <v>#NAME?</v>
      </c>
      <c r="W75" t="e">
        <f ca="1">_xll.BDP($B$36,$C$36,CONCATENATE("PX391=", $W$66), CONCATENATE("PX392=",$W$67), CONCATENATE("DS004=",$B$59), "Fill=B")</f>
        <v>#NAME?</v>
      </c>
      <c r="X75" t="e">
        <f ca="1">_xll.BDP($B$36,$C$36,CONCATENATE("PX391=", $X$66), CONCATENATE("PX392=",$X$67), CONCATENATE("DS004=",$B$59), "Fill=B")</f>
        <v>#NAME?</v>
      </c>
      <c r="Y75" t="e">
        <f ca="1">_xll.BDP($B$36,$C$36,CONCATENATE("PX391=", $Y$66), CONCATENATE("PX392=",$Y$67), CONCATENATE("DS004=",$B$59), "Fill=B")</f>
        <v>#NAME?</v>
      </c>
      <c r="Z75" t="e">
        <f ca="1">_xll.BDP($B$36,$C$36,CONCATENATE("PX391=", $Z$66), CONCATENATE("PX392=",$Z$67), CONCATENATE("DS004=",$B$59), "Fill=B")</f>
        <v>#NAME?</v>
      </c>
      <c r="AA75" t="e">
        <f ca="1">_xll.BDP($B$36,$C$36,CONCATENATE("PX391=", $AA$66), CONCATENATE("PX392=",$AA$67), CONCATENATE("DS004=",$B$59), "Fill=B")</f>
        <v>#NAME?</v>
      </c>
      <c r="AB75" t="e">
        <f ca="1">_xll.BDP($B$36,$C$36,CONCATENATE("PX391=", $AB$66), CONCATENATE("PX392=",$AB$67), CONCATENATE("DS004=",$B$59), "Fill=B")</f>
        <v>#NAME?</v>
      </c>
      <c r="AC75" t="e">
        <f ca="1">_xll.BDP($B$36,$C$36,CONCATENATE("PX391=", $AC$66), CONCATENATE("PX392=",$AC$67), CONCATENATE("DS004=",$B$59), "Fill=B")</f>
        <v>#NAME?</v>
      </c>
      <c r="AD75" t="e">
        <f ca="1">_xll.BDP($B$36,$C$36,CONCATENATE("PX391=", $AD$66), CONCATENATE("PX392=",$AD$67), CONCATENATE("DS004=",$B$59), "Fill=B")</f>
        <v>#NAME?</v>
      </c>
      <c r="AE75" t="e">
        <f ca="1">_xll.BDP($B$36,$C$36,CONCATENATE("PX391=", $AE$66), CONCATENATE("PX392=",$AE$67), CONCATENATE("DS004=",$B$59), "Fill=B")</f>
        <v>#NAME?</v>
      </c>
      <c r="AF75" t="e">
        <f ca="1">_xll.BDP($B$36,$C$36,CONCATENATE("PX391=", $AF$66), CONCATENATE("PX392=",$AF$67), CONCATENATE("DS004=",$B$59), "Fill=B")</f>
        <v>#NAME?</v>
      </c>
      <c r="AG75" t="e">
        <f ca="1">_xll.BDP($B$36,$C$36,CONCATENATE("PX391=", $AG$66), CONCATENATE("PX392=",$AG$67), CONCATENATE("DS004=",$B$59), "Fill=B")</f>
        <v>#NAME?</v>
      </c>
      <c r="AH75" t="e">
        <f ca="1">_xll.BDP($B$36,$C$36,CONCATENATE("PX391=", $AH$66), CONCATENATE("PX392=",$AH$67), CONCATENATE("DS004=",$B$59), "Fill=B")</f>
        <v>#NAME?</v>
      </c>
      <c r="AI75" t="e">
        <f ca="1">_xll.BDP($B$36,$C$36,CONCATENATE("PX391=", $AI$66), CONCATENATE("PX392=",$AI$67), CONCATENATE("DS004=",$B$59), "Fill=B")</f>
        <v>#NAME?</v>
      </c>
      <c r="AJ75" t="e">
        <f ca="1">_xll.BDP($B$36,$C$36,CONCATENATE("PX391=", $AJ$66), CONCATENATE("PX392=",$AJ$67), CONCATENATE("DS004=",$B$59), "Fill=B")</f>
        <v>#NAME?</v>
      </c>
      <c r="AK75" t="e">
        <f ca="1">_xll.BDP($B$36,$C$36,CONCATENATE("PX391=", $AK$66), CONCATENATE("PX392=",$AK$67), CONCATENATE("DS004=",$B$59), "Fill=B")</f>
        <v>#NAME?</v>
      </c>
      <c r="AL75" t="e">
        <f ca="1">_xll.BDP($B$36,$C$36,CONCATENATE("PX391=", $AL$66), CONCATENATE("PX392=",$AL$67), CONCATENATE("DS004=",$B$59), "Fill=B")</f>
        <v>#NAME?</v>
      </c>
      <c r="AM75" t="e">
        <f ca="1">_xll.BDP($B$36,$C$36,CONCATENATE("PX391=", $AM$66), CONCATENATE("PX392=",$AM$67), CONCATENATE("DS004=",$B$59), "Fill=B")</f>
        <v>#NAME?</v>
      </c>
      <c r="AN75" t="e">
        <f ca="1">_xll.BDP($B$36,$C$36,CONCATENATE("PX391=", $AN$66), CONCATENATE("PX392=",$AN$67), CONCATENATE("DS004=",$B$59), "Fill=B")</f>
        <v>#NAME?</v>
      </c>
      <c r="AO75" t="e">
        <f ca="1">_xll.BDP($B$36,$C$36,CONCATENATE("PX391=", $AO$66), CONCATENATE("PX392=",$AO$67), CONCATENATE("DS004=",$B$59), "Fill=B")</f>
        <v>#NAME?</v>
      </c>
      <c r="AP75" t="e">
        <f ca="1">_xll.BDP($B$36,$C$36,CONCATENATE("PX391=", $AP$66), CONCATENATE("PX392=",$AP$67), CONCATENATE("DS004=",$B$59), "Fill=B")</f>
        <v>#NAME?</v>
      </c>
      <c r="AQ75" t="e">
        <f ca="1">_xll.BDP($B$36,$C$36,CONCATENATE("PX391=", $AQ$66), CONCATENATE("PX392=",$AQ$67), CONCATENATE("DS004=",$B$59), "Fill=B")</f>
        <v>#NAME?</v>
      </c>
      <c r="AR75" t="e">
        <f ca="1">_xll.BDP($B$36,$C$36,CONCATENATE("PX391=", $AR$66), CONCATENATE("PX392=",$AR$67), CONCATENATE("DS004=",$B$59), "Fill=B")</f>
        <v>#NAME?</v>
      </c>
      <c r="AS75" t="e">
        <f ca="1">_xll.BDP($B$36,$C$36,CONCATENATE("PX391=", $AS$66), CONCATENATE("PX392=",$AS$67), CONCATENATE("DS004=",$B$59), "Fill=B")</f>
        <v>#NAME?</v>
      </c>
      <c r="AT75" t="str">
        <f>""</f>
        <v/>
      </c>
      <c r="AU75" t="str">
        <f>""</f>
        <v/>
      </c>
      <c r="AV75" t="str">
        <f>""</f>
        <v/>
      </c>
      <c r="AW75" t="str">
        <f>""</f>
        <v/>
      </c>
      <c r="AX75" t="str">
        <f>""</f>
        <v/>
      </c>
      <c r="AY75" t="str">
        <f>""</f>
        <v/>
      </c>
      <c r="AZ75" t="str">
        <f>""</f>
        <v/>
      </c>
      <c r="BA75" t="str">
        <f>""</f>
        <v/>
      </c>
      <c r="BB75" t="str">
        <f>""</f>
        <v/>
      </c>
      <c r="BC75" t="str">
        <f>""</f>
        <v/>
      </c>
      <c r="BD75" t="str">
        <f>""</f>
        <v/>
      </c>
      <c r="BE75" t="str">
        <f>""</f>
        <v/>
      </c>
      <c r="BF75" t="str">
        <f>""</f>
        <v/>
      </c>
      <c r="BG75" t="str">
        <f>""</f>
        <v/>
      </c>
      <c r="BH75" t="str">
        <f>""</f>
        <v/>
      </c>
      <c r="BI75" t="str">
        <f>""</f>
        <v/>
      </c>
      <c r="BJ75" t="str">
        <f>""</f>
        <v/>
      </c>
      <c r="BK75" t="str">
        <f>""</f>
        <v/>
      </c>
      <c r="BL75" t="str">
        <f>""</f>
        <v/>
      </c>
      <c r="BM75" t="str">
        <f>""</f>
        <v/>
      </c>
      <c r="BN75" t="str">
        <f>""</f>
        <v/>
      </c>
      <c r="BO75" t="str">
        <f>""</f>
        <v/>
      </c>
      <c r="BP75" t="str">
        <f>""</f>
        <v/>
      </c>
      <c r="BQ75" t="str">
        <f>""</f>
        <v/>
      </c>
      <c r="BR75" t="str">
        <f>""</f>
        <v/>
      </c>
      <c r="BS75" t="str">
        <f>""</f>
        <v/>
      </c>
      <c r="BT75" t="str">
        <f>""</f>
        <v/>
      </c>
      <c r="BU75" t="str">
        <f>""</f>
        <v/>
      </c>
      <c r="BV75" t="str">
        <f>""</f>
        <v/>
      </c>
      <c r="BW75" t="str">
        <f>""</f>
        <v/>
      </c>
      <c r="BX75" t="str">
        <f>""</f>
        <v/>
      </c>
      <c r="BY75" t="str">
        <f>""</f>
        <v/>
      </c>
      <c r="BZ75" t="str">
        <f>""</f>
        <v/>
      </c>
      <c r="CA75" t="str">
        <f>""</f>
        <v/>
      </c>
      <c r="CB75" t="str">
        <f>""</f>
        <v/>
      </c>
      <c r="CC75" t="str">
        <f>""</f>
        <v/>
      </c>
      <c r="CD75" t="str">
        <f>""</f>
        <v/>
      </c>
      <c r="CE75" t="str">
        <f>""</f>
        <v/>
      </c>
      <c r="CF75" t="str">
        <f>""</f>
        <v/>
      </c>
      <c r="CG75" t="str">
        <f>""</f>
        <v/>
      </c>
    </row>
    <row r="76" spans="1:85" x14ac:dyDescent="0.25">
      <c r="A76" t="str">
        <f>$A$37</f>
        <v xml:space="preserve">    DAF</v>
      </c>
      <c r="B76" t="str">
        <f>$B$37</f>
        <v>BRTRHDAF Index</v>
      </c>
      <c r="C76" t="str">
        <f>$C$37</f>
        <v>PX385</v>
      </c>
      <c r="D76" t="str">
        <f>$D$37</f>
        <v>INTERVAL_SUM</v>
      </c>
      <c r="E76" t="str">
        <f>$E$37</f>
        <v>Dynamic</v>
      </c>
      <c r="F76" t="e">
        <f ca="1">_xll.BDP($B$37,$C$37,CONCATENATE("PX391=", $F$66), CONCATENATE("PX392=",$F$67), CONCATENATE("DS004=",$B$59), "Fill=B")</f>
        <v>#NAME?</v>
      </c>
      <c r="G76" t="e">
        <f ca="1">_xll.BDP($B$37,$C$37,CONCATENATE("PX391=", $G$66), CONCATENATE("PX392=",$G$67), CONCATENATE("DS004=",$B$59), "Fill=B")</f>
        <v>#NAME?</v>
      </c>
      <c r="H76" t="e">
        <f ca="1">_xll.BDP($B$37,$C$37,CONCATENATE("PX391=", $H$66), CONCATENATE("PX392=",$H$67), CONCATENATE("DS004=",$B$59), "Fill=B")</f>
        <v>#NAME?</v>
      </c>
      <c r="I76" t="e">
        <f ca="1">_xll.BDP($B$37,$C$37,CONCATENATE("PX391=", $I$66), CONCATENATE("PX392=",$I$67), CONCATENATE("DS004=",$B$59), "Fill=B")</f>
        <v>#NAME?</v>
      </c>
      <c r="J76" t="e">
        <f ca="1">_xll.BDP($B$37,$C$37,CONCATENATE("PX391=", $J$66), CONCATENATE("PX392=",$J$67), CONCATENATE("DS004=",$B$59), "Fill=B")</f>
        <v>#NAME?</v>
      </c>
      <c r="K76" t="e">
        <f ca="1">_xll.BDP($B$37,$C$37,CONCATENATE("PX391=", $K$66), CONCATENATE("PX392=",$K$67), CONCATENATE("DS004=",$B$59), "Fill=B")</f>
        <v>#NAME?</v>
      </c>
      <c r="L76" t="e">
        <f ca="1">_xll.BDP($B$37,$C$37,CONCATENATE("PX391=", $L$66), CONCATENATE("PX392=",$L$67), CONCATENATE("DS004=",$B$59), "Fill=B")</f>
        <v>#NAME?</v>
      </c>
      <c r="M76" t="e">
        <f ca="1">_xll.BDP($B$37,$C$37,CONCATENATE("PX391=", $M$66), CONCATENATE("PX392=",$M$67), CONCATENATE("DS004=",$B$59), "Fill=B")</f>
        <v>#NAME?</v>
      </c>
      <c r="N76" t="e">
        <f ca="1">_xll.BDP($B$37,$C$37,CONCATENATE("PX391=", $N$66), CONCATENATE("PX392=",$N$67), CONCATENATE("DS004=",$B$59), "Fill=B")</f>
        <v>#NAME?</v>
      </c>
      <c r="O76" t="e">
        <f ca="1">_xll.BDP($B$37,$C$37,CONCATENATE("PX391=", $O$66), CONCATENATE("PX392=",$O$67), CONCATENATE("DS004=",$B$59), "Fill=B")</f>
        <v>#NAME?</v>
      </c>
      <c r="P76" t="e">
        <f ca="1">_xll.BDP($B$37,$C$37,CONCATENATE("PX391=", $P$66), CONCATENATE("PX392=",$P$67), CONCATENATE("DS004=",$B$59), "Fill=B")</f>
        <v>#NAME?</v>
      </c>
      <c r="Q76" t="e">
        <f ca="1">_xll.BDP($B$37,$C$37,CONCATENATE("PX391=", $Q$66), CONCATENATE("PX392=",$Q$67), CONCATENATE("DS004=",$B$59), "Fill=B")</f>
        <v>#NAME?</v>
      </c>
      <c r="R76" t="e">
        <f ca="1">_xll.BDP($B$37,$C$37,CONCATENATE("PX391=", $R$66), CONCATENATE("PX392=",$R$67), CONCATENATE("DS004=",$B$59), "Fill=B")</f>
        <v>#NAME?</v>
      </c>
      <c r="S76" t="e">
        <f ca="1">_xll.BDP($B$37,$C$37,CONCATENATE("PX391=", $S$66), CONCATENATE("PX392=",$S$67), CONCATENATE("DS004=",$B$59), "Fill=B")</f>
        <v>#NAME?</v>
      </c>
      <c r="T76" t="e">
        <f ca="1">_xll.BDP($B$37,$C$37,CONCATENATE("PX391=", $T$66), CONCATENATE("PX392=",$T$67), CONCATENATE("DS004=",$B$59), "Fill=B")</f>
        <v>#NAME?</v>
      </c>
      <c r="U76" t="e">
        <f ca="1">_xll.BDP($B$37,$C$37,CONCATENATE("PX391=", $U$66), CONCATENATE("PX392=",$U$67), CONCATENATE("DS004=",$B$59), "Fill=B")</f>
        <v>#NAME?</v>
      </c>
      <c r="V76" t="e">
        <f ca="1">_xll.BDP($B$37,$C$37,CONCATENATE("PX391=", $V$66), CONCATENATE("PX392=",$V$67), CONCATENATE("DS004=",$B$59), "Fill=B")</f>
        <v>#NAME?</v>
      </c>
      <c r="W76" t="e">
        <f ca="1">_xll.BDP($B$37,$C$37,CONCATENATE("PX391=", $W$66), CONCATENATE("PX392=",$W$67), CONCATENATE("DS004=",$B$59), "Fill=B")</f>
        <v>#NAME?</v>
      </c>
      <c r="X76" t="e">
        <f ca="1">_xll.BDP($B$37,$C$37,CONCATENATE("PX391=", $X$66), CONCATENATE("PX392=",$X$67), CONCATENATE("DS004=",$B$59), "Fill=B")</f>
        <v>#NAME?</v>
      </c>
      <c r="Y76" t="e">
        <f ca="1">_xll.BDP($B$37,$C$37,CONCATENATE("PX391=", $Y$66), CONCATENATE("PX392=",$Y$67), CONCATENATE("DS004=",$B$59), "Fill=B")</f>
        <v>#NAME?</v>
      </c>
      <c r="Z76" t="e">
        <f ca="1">_xll.BDP($B$37,$C$37,CONCATENATE("PX391=", $Z$66), CONCATENATE("PX392=",$Z$67), CONCATENATE("DS004=",$B$59), "Fill=B")</f>
        <v>#NAME?</v>
      </c>
      <c r="AA76" t="e">
        <f ca="1">_xll.BDP($B$37,$C$37,CONCATENATE("PX391=", $AA$66), CONCATENATE("PX392=",$AA$67), CONCATENATE("DS004=",$B$59), "Fill=B")</f>
        <v>#NAME?</v>
      </c>
      <c r="AB76" t="e">
        <f ca="1">_xll.BDP($B$37,$C$37,CONCATENATE("PX391=", $AB$66), CONCATENATE("PX392=",$AB$67), CONCATENATE("DS004=",$B$59), "Fill=B")</f>
        <v>#NAME?</v>
      </c>
      <c r="AC76" t="e">
        <f ca="1">_xll.BDP($B$37,$C$37,CONCATENATE("PX391=", $AC$66), CONCATENATE("PX392=",$AC$67), CONCATENATE("DS004=",$B$59), "Fill=B")</f>
        <v>#NAME?</v>
      </c>
      <c r="AD76" t="e">
        <f ca="1">_xll.BDP($B$37,$C$37,CONCATENATE("PX391=", $AD$66), CONCATENATE("PX392=",$AD$67), CONCATENATE("DS004=",$B$59), "Fill=B")</f>
        <v>#NAME?</v>
      </c>
      <c r="AE76" t="e">
        <f ca="1">_xll.BDP($B$37,$C$37,CONCATENATE("PX391=", $AE$66), CONCATENATE("PX392=",$AE$67), CONCATENATE("DS004=",$B$59), "Fill=B")</f>
        <v>#NAME?</v>
      </c>
      <c r="AF76" t="e">
        <f ca="1">_xll.BDP($B$37,$C$37,CONCATENATE("PX391=", $AF$66), CONCATENATE("PX392=",$AF$67), CONCATENATE("DS004=",$B$59), "Fill=B")</f>
        <v>#NAME?</v>
      </c>
      <c r="AG76" t="e">
        <f ca="1">_xll.BDP($B$37,$C$37,CONCATENATE("PX391=", $AG$66), CONCATENATE("PX392=",$AG$67), CONCATENATE("DS004=",$B$59), "Fill=B")</f>
        <v>#NAME?</v>
      </c>
      <c r="AH76" t="e">
        <f ca="1">_xll.BDP($B$37,$C$37,CONCATENATE("PX391=", $AH$66), CONCATENATE("PX392=",$AH$67), CONCATENATE("DS004=",$B$59), "Fill=B")</f>
        <v>#NAME?</v>
      </c>
      <c r="AI76" t="e">
        <f ca="1">_xll.BDP($B$37,$C$37,CONCATENATE("PX391=", $AI$66), CONCATENATE("PX392=",$AI$67), CONCATENATE("DS004=",$B$59), "Fill=B")</f>
        <v>#NAME?</v>
      </c>
      <c r="AJ76" t="e">
        <f ca="1">_xll.BDP($B$37,$C$37,CONCATENATE("PX391=", $AJ$66), CONCATENATE("PX392=",$AJ$67), CONCATENATE("DS004=",$B$59), "Fill=B")</f>
        <v>#NAME?</v>
      </c>
      <c r="AK76" t="e">
        <f ca="1">_xll.BDP($B$37,$C$37,CONCATENATE("PX391=", $AK$66), CONCATENATE("PX392=",$AK$67), CONCATENATE("DS004=",$B$59), "Fill=B")</f>
        <v>#NAME?</v>
      </c>
      <c r="AL76" t="e">
        <f ca="1">_xll.BDP($B$37,$C$37,CONCATENATE("PX391=", $AL$66), CONCATENATE("PX392=",$AL$67), CONCATENATE("DS004=",$B$59), "Fill=B")</f>
        <v>#NAME?</v>
      </c>
      <c r="AM76" t="e">
        <f ca="1">_xll.BDP($B$37,$C$37,CONCATENATE("PX391=", $AM$66), CONCATENATE("PX392=",$AM$67), CONCATENATE("DS004=",$B$59), "Fill=B")</f>
        <v>#NAME?</v>
      </c>
      <c r="AN76" t="e">
        <f ca="1">_xll.BDP($B$37,$C$37,CONCATENATE("PX391=", $AN$66), CONCATENATE("PX392=",$AN$67), CONCATENATE("DS004=",$B$59), "Fill=B")</f>
        <v>#NAME?</v>
      </c>
      <c r="AO76" t="e">
        <f ca="1">_xll.BDP($B$37,$C$37,CONCATENATE("PX391=", $AO$66), CONCATENATE("PX392=",$AO$67), CONCATENATE("DS004=",$B$59), "Fill=B")</f>
        <v>#NAME?</v>
      </c>
      <c r="AP76" t="e">
        <f ca="1">_xll.BDP($B$37,$C$37,CONCATENATE("PX391=", $AP$66), CONCATENATE("PX392=",$AP$67), CONCATENATE("DS004=",$B$59), "Fill=B")</f>
        <v>#NAME?</v>
      </c>
      <c r="AQ76" t="e">
        <f ca="1">_xll.BDP($B$37,$C$37,CONCATENATE("PX391=", $AQ$66), CONCATENATE("PX392=",$AQ$67), CONCATENATE("DS004=",$B$59), "Fill=B")</f>
        <v>#NAME?</v>
      </c>
      <c r="AR76" t="e">
        <f ca="1">_xll.BDP($B$37,$C$37,CONCATENATE("PX391=", $AR$66), CONCATENATE("PX392=",$AR$67), CONCATENATE("DS004=",$B$59), "Fill=B")</f>
        <v>#NAME?</v>
      </c>
      <c r="AS76" t="e">
        <f ca="1">_xll.BDP($B$37,$C$37,CONCATENATE("PX391=", $AS$66), CONCATENATE("PX392=",$AS$67), CONCATENATE("DS004=",$B$59), "Fill=B")</f>
        <v>#NAME?</v>
      </c>
      <c r="AT76" t="str">
        <f>""</f>
        <v/>
      </c>
      <c r="AU76" t="str">
        <f>""</f>
        <v/>
      </c>
      <c r="AV76" t="str">
        <f>""</f>
        <v/>
      </c>
      <c r="AW76" t="str">
        <f>""</f>
        <v/>
      </c>
      <c r="AX76" t="str">
        <f>""</f>
        <v/>
      </c>
      <c r="AY76" t="str">
        <f>""</f>
        <v/>
      </c>
      <c r="AZ76" t="str">
        <f>""</f>
        <v/>
      </c>
      <c r="BA76" t="str">
        <f>""</f>
        <v/>
      </c>
      <c r="BB76" t="str">
        <f>""</f>
        <v/>
      </c>
      <c r="BC76" t="str">
        <f>""</f>
        <v/>
      </c>
      <c r="BD76" t="str">
        <f>""</f>
        <v/>
      </c>
      <c r="BE76" t="str">
        <f>""</f>
        <v/>
      </c>
      <c r="BF76" t="str">
        <f>""</f>
        <v/>
      </c>
      <c r="BG76" t="str">
        <f>""</f>
        <v/>
      </c>
      <c r="BH76" t="str">
        <f>""</f>
        <v/>
      </c>
      <c r="BI76" t="str">
        <f>""</f>
        <v/>
      </c>
      <c r="BJ76" t="str">
        <f>""</f>
        <v/>
      </c>
      <c r="BK76" t="str">
        <f>""</f>
        <v/>
      </c>
      <c r="BL76" t="str">
        <f>""</f>
        <v/>
      </c>
      <c r="BM76" t="str">
        <f>""</f>
        <v/>
      </c>
      <c r="BN76" t="str">
        <f>""</f>
        <v/>
      </c>
      <c r="BO76" t="str">
        <f>""</f>
        <v/>
      </c>
      <c r="BP76" t="str">
        <f>""</f>
        <v/>
      </c>
      <c r="BQ76" t="str">
        <f>""</f>
        <v/>
      </c>
      <c r="BR76" t="str">
        <f>""</f>
        <v/>
      </c>
      <c r="BS76" t="str">
        <f>""</f>
        <v/>
      </c>
      <c r="BT76" t="str">
        <f>""</f>
        <v/>
      </c>
      <c r="BU76" t="str">
        <f>""</f>
        <v/>
      </c>
      <c r="BV76" t="str">
        <f>""</f>
        <v/>
      </c>
      <c r="BW76" t="str">
        <f>""</f>
        <v/>
      </c>
      <c r="BX76" t="str">
        <f>""</f>
        <v/>
      </c>
      <c r="BY76" t="str">
        <f>""</f>
        <v/>
      </c>
      <c r="BZ76" t="str">
        <f>""</f>
        <v/>
      </c>
      <c r="CA76" t="str">
        <f>""</f>
        <v/>
      </c>
      <c r="CB76" t="str">
        <f>""</f>
        <v/>
      </c>
      <c r="CC76" t="str">
        <f>""</f>
        <v/>
      </c>
      <c r="CD76" t="str">
        <f>""</f>
        <v/>
      </c>
      <c r="CE76" t="str">
        <f>""</f>
        <v/>
      </c>
      <c r="CF76" t="str">
        <f>""</f>
        <v/>
      </c>
      <c r="CG76" t="str">
        <f>""</f>
        <v/>
      </c>
    </row>
    <row r="77" spans="1:85" x14ac:dyDescent="0.25">
      <c r="A77" t="str">
        <f>$A$39</f>
        <v>Semi-Heavy (GCV &gt;15t - &lt;45t)</v>
      </c>
      <c r="B77" t="str">
        <f>$B$39</f>
        <v>BZVLMISH Index</v>
      </c>
      <c r="C77" t="str">
        <f>$C$39</f>
        <v>PR005</v>
      </c>
      <c r="D77" t="str">
        <f>$D$39</f>
        <v>PX_LAST</v>
      </c>
      <c r="E77" t="str">
        <f>$E$39</f>
        <v>Dynamic</v>
      </c>
      <c r="F77" t="e">
        <f ca="1">_xll.BDH($B$39,$C$39,$B$62,$B$63,CONCATENATE("Per=",$B$60),"Dts=H","Dir=H",CONCATENATE("Points=",$B$61),"Sort=R","Days=A","Fill=B",CONCATENATE("FX=", $B$59),"cols=40;rows=1")</f>
        <v>#NAME?</v>
      </c>
      <c r="H77">
        <v>1251</v>
      </c>
      <c r="I77">
        <v>1234</v>
      </c>
      <c r="J77">
        <v>1395</v>
      </c>
      <c r="K77">
        <v>1139</v>
      </c>
      <c r="L77">
        <v>1122</v>
      </c>
      <c r="M77">
        <v>1056</v>
      </c>
      <c r="N77">
        <v>795</v>
      </c>
      <c r="O77">
        <v>1010</v>
      </c>
      <c r="P77">
        <v>651</v>
      </c>
      <c r="Q77">
        <v>887</v>
      </c>
      <c r="R77">
        <v>1310</v>
      </c>
      <c r="S77">
        <v>1065</v>
      </c>
      <c r="T77">
        <v>1093</v>
      </c>
      <c r="U77">
        <v>1302</v>
      </c>
      <c r="V77">
        <v>1202</v>
      </c>
      <c r="W77">
        <v>1281</v>
      </c>
      <c r="X77">
        <v>1224</v>
      </c>
      <c r="Y77">
        <v>1114</v>
      </c>
      <c r="Z77">
        <v>1151</v>
      </c>
      <c r="AA77">
        <v>1385</v>
      </c>
      <c r="AB77">
        <v>1110</v>
      </c>
      <c r="AC77">
        <v>1225</v>
      </c>
      <c r="AD77">
        <v>1656</v>
      </c>
      <c r="AE77">
        <v>1396</v>
      </c>
      <c r="AF77">
        <v>1777</v>
      </c>
      <c r="AG77">
        <v>1927</v>
      </c>
      <c r="AH77">
        <v>1765</v>
      </c>
      <c r="AI77">
        <v>2132</v>
      </c>
      <c r="AJ77">
        <v>2113</v>
      </c>
      <c r="AK77">
        <v>1902</v>
      </c>
      <c r="AL77">
        <v>1780</v>
      </c>
      <c r="AM77">
        <v>2177</v>
      </c>
      <c r="AN77">
        <v>1835</v>
      </c>
      <c r="AO77">
        <v>2480</v>
      </c>
      <c r="AP77">
        <v>4135</v>
      </c>
      <c r="AQ77">
        <v>4037</v>
      </c>
      <c r="AR77">
        <v>4133</v>
      </c>
      <c r="AS77">
        <v>3689</v>
      </c>
      <c r="AT77" t="str">
        <f>""</f>
        <v/>
      </c>
      <c r="AU77" t="str">
        <f>""</f>
        <v/>
      </c>
      <c r="AV77" t="str">
        <f>""</f>
        <v/>
      </c>
      <c r="AW77" t="str">
        <f>""</f>
        <v/>
      </c>
      <c r="AX77" t="str">
        <f>""</f>
        <v/>
      </c>
      <c r="AY77" t="str">
        <f>""</f>
        <v/>
      </c>
      <c r="AZ77" t="str">
        <f>""</f>
        <v/>
      </c>
      <c r="BA77" t="str">
        <f>""</f>
        <v/>
      </c>
      <c r="BB77" t="str">
        <f>""</f>
        <v/>
      </c>
      <c r="BC77" t="str">
        <f>""</f>
        <v/>
      </c>
      <c r="BD77" t="str">
        <f>""</f>
        <v/>
      </c>
      <c r="BE77" t="str">
        <f>""</f>
        <v/>
      </c>
      <c r="BF77" t="str">
        <f>""</f>
        <v/>
      </c>
      <c r="BG77" t="str">
        <f>""</f>
        <v/>
      </c>
      <c r="BH77" t="str">
        <f>""</f>
        <v/>
      </c>
      <c r="BI77" t="str">
        <f>""</f>
        <v/>
      </c>
      <c r="BJ77" t="str">
        <f>""</f>
        <v/>
      </c>
      <c r="BK77" t="str">
        <f>""</f>
        <v/>
      </c>
      <c r="BL77" t="str">
        <f>""</f>
        <v/>
      </c>
      <c r="BM77" t="str">
        <f>""</f>
        <v/>
      </c>
      <c r="BN77" t="str">
        <f>""</f>
        <v/>
      </c>
      <c r="BO77" t="str">
        <f>""</f>
        <v/>
      </c>
      <c r="BP77" t="str">
        <f>""</f>
        <v/>
      </c>
      <c r="BQ77" t="str">
        <f>""</f>
        <v/>
      </c>
      <c r="BR77" t="str">
        <f>""</f>
        <v/>
      </c>
      <c r="BS77" t="str">
        <f>""</f>
        <v/>
      </c>
      <c r="BT77" t="str">
        <f>""</f>
        <v/>
      </c>
      <c r="BU77" t="str">
        <f>""</f>
        <v/>
      </c>
      <c r="BV77" t="str">
        <f>""</f>
        <v/>
      </c>
      <c r="BW77" t="str">
        <f>""</f>
        <v/>
      </c>
      <c r="BX77" t="str">
        <f>""</f>
        <v/>
      </c>
      <c r="BY77" t="str">
        <f>""</f>
        <v/>
      </c>
      <c r="BZ77" t="str">
        <f>""</f>
        <v/>
      </c>
      <c r="CA77" t="str">
        <f>""</f>
        <v/>
      </c>
      <c r="CB77" t="str">
        <f>""</f>
        <v/>
      </c>
      <c r="CC77" t="str">
        <f>""</f>
        <v/>
      </c>
      <c r="CD77" t="str">
        <f>""</f>
        <v/>
      </c>
      <c r="CE77" t="str">
        <f>""</f>
        <v/>
      </c>
      <c r="CF77" t="str">
        <f>""</f>
        <v/>
      </c>
      <c r="CG77" t="str">
        <f>""</f>
        <v/>
      </c>
    </row>
    <row r="78" spans="1:85" x14ac:dyDescent="0.25">
      <c r="A78" t="str">
        <f>$A$40</f>
        <v xml:space="preserve">    MAN</v>
      </c>
      <c r="B78" t="str">
        <f>$B$40</f>
        <v>BRTRSHMA Index</v>
      </c>
      <c r="C78" t="str">
        <f>$C$40</f>
        <v>PX385</v>
      </c>
      <c r="D78" t="str">
        <f>$D$40</f>
        <v>INTERVAL_SUM</v>
      </c>
      <c r="E78" t="str">
        <f>$E$40</f>
        <v>Dynamic</v>
      </c>
      <c r="F78" t="e">
        <f ca="1">_xll.BDP($B$40,$C$40,CONCATENATE("PX391=", $F$66), CONCATENATE("PX392=",$F$67), CONCATENATE("DS004=",$B$59), "Fill=B")</f>
        <v>#NAME?</v>
      </c>
      <c r="G78" t="e">
        <f ca="1">_xll.BDP($B$40,$C$40,CONCATENATE("PX391=", $G$66), CONCATENATE("PX392=",$G$67), CONCATENATE("DS004=",$B$59), "Fill=B")</f>
        <v>#NAME?</v>
      </c>
      <c r="H78" t="e">
        <f ca="1">_xll.BDP($B$40,$C$40,CONCATENATE("PX391=", $H$66), CONCATENATE("PX392=",$H$67), CONCATENATE("DS004=",$B$59), "Fill=B")</f>
        <v>#NAME?</v>
      </c>
      <c r="I78" t="e">
        <f ca="1">_xll.BDP($B$40,$C$40,CONCATENATE("PX391=", $I$66), CONCATENATE("PX392=",$I$67), CONCATENATE("DS004=",$B$59), "Fill=B")</f>
        <v>#NAME?</v>
      </c>
      <c r="J78" t="e">
        <f ca="1">_xll.BDP($B$40,$C$40,CONCATENATE("PX391=", $J$66), CONCATENATE("PX392=",$J$67), CONCATENATE("DS004=",$B$59), "Fill=B")</f>
        <v>#NAME?</v>
      </c>
      <c r="K78" t="e">
        <f ca="1">_xll.BDP($B$40,$C$40,CONCATENATE("PX391=", $K$66), CONCATENATE("PX392=",$K$67), CONCATENATE("DS004=",$B$59), "Fill=B")</f>
        <v>#NAME?</v>
      </c>
      <c r="L78" t="e">
        <f ca="1">_xll.BDP($B$40,$C$40,CONCATENATE("PX391=", $L$66), CONCATENATE("PX392=",$L$67), CONCATENATE("DS004=",$B$59), "Fill=B")</f>
        <v>#NAME?</v>
      </c>
      <c r="M78" t="e">
        <f ca="1">_xll.BDP($B$40,$C$40,CONCATENATE("PX391=", $M$66), CONCATENATE("PX392=",$M$67), CONCATENATE("DS004=",$B$59), "Fill=B")</f>
        <v>#NAME?</v>
      </c>
      <c r="N78" t="e">
        <f ca="1">_xll.BDP($B$40,$C$40,CONCATENATE("PX391=", $N$66), CONCATENATE("PX392=",$N$67), CONCATENATE("DS004=",$B$59), "Fill=B")</f>
        <v>#NAME?</v>
      </c>
      <c r="O78" t="e">
        <f ca="1">_xll.BDP($B$40,$C$40,CONCATENATE("PX391=", $O$66), CONCATENATE("PX392=",$O$67), CONCATENATE("DS004=",$B$59), "Fill=B")</f>
        <v>#NAME?</v>
      </c>
      <c r="P78" t="e">
        <f ca="1">_xll.BDP($B$40,$C$40,CONCATENATE("PX391=", $P$66), CONCATENATE("PX392=",$P$67), CONCATENATE("DS004=",$B$59), "Fill=B")</f>
        <v>#NAME?</v>
      </c>
      <c r="Q78" t="e">
        <f ca="1">_xll.BDP($B$40,$C$40,CONCATENATE("PX391=", $Q$66), CONCATENATE("PX392=",$Q$67), CONCATENATE("DS004=",$B$59), "Fill=B")</f>
        <v>#NAME?</v>
      </c>
      <c r="R78" t="e">
        <f ca="1">_xll.BDP($B$40,$C$40,CONCATENATE("PX391=", $R$66), CONCATENATE("PX392=",$R$67), CONCATENATE("DS004=",$B$59), "Fill=B")</f>
        <v>#NAME?</v>
      </c>
      <c r="S78" t="e">
        <f ca="1">_xll.BDP($B$40,$C$40,CONCATENATE("PX391=", $S$66), CONCATENATE("PX392=",$S$67), CONCATENATE("DS004=",$B$59), "Fill=B")</f>
        <v>#NAME?</v>
      </c>
      <c r="T78" t="e">
        <f ca="1">_xll.BDP($B$40,$C$40,CONCATENATE("PX391=", $T$66), CONCATENATE("PX392=",$T$67), CONCATENATE("DS004=",$B$59), "Fill=B")</f>
        <v>#NAME?</v>
      </c>
      <c r="U78" t="e">
        <f ca="1">_xll.BDP($B$40,$C$40,CONCATENATE("PX391=", $U$66), CONCATENATE("PX392=",$U$67), CONCATENATE("DS004=",$B$59), "Fill=B")</f>
        <v>#NAME?</v>
      </c>
      <c r="V78" t="e">
        <f ca="1">_xll.BDP($B$40,$C$40,CONCATENATE("PX391=", $V$66), CONCATENATE("PX392=",$V$67), CONCATENATE("DS004=",$B$59), "Fill=B")</f>
        <v>#NAME?</v>
      </c>
      <c r="W78" t="e">
        <f ca="1">_xll.BDP($B$40,$C$40,CONCATENATE("PX391=", $W$66), CONCATENATE("PX392=",$W$67), CONCATENATE("DS004=",$B$59), "Fill=B")</f>
        <v>#NAME?</v>
      </c>
      <c r="X78" t="e">
        <f ca="1">_xll.BDP($B$40,$C$40,CONCATENATE("PX391=", $X$66), CONCATENATE("PX392=",$X$67), CONCATENATE("DS004=",$B$59), "Fill=B")</f>
        <v>#NAME?</v>
      </c>
      <c r="Y78" t="e">
        <f ca="1">_xll.BDP($B$40,$C$40,CONCATENATE("PX391=", $Y$66), CONCATENATE("PX392=",$Y$67), CONCATENATE("DS004=",$B$59), "Fill=B")</f>
        <v>#NAME?</v>
      </c>
      <c r="Z78" t="e">
        <f ca="1">_xll.BDP($B$40,$C$40,CONCATENATE("PX391=", $Z$66), CONCATENATE("PX392=",$Z$67), CONCATENATE("DS004=",$B$59), "Fill=B")</f>
        <v>#NAME?</v>
      </c>
      <c r="AA78" t="e">
        <f ca="1">_xll.BDP($B$40,$C$40,CONCATENATE("PX391=", $AA$66), CONCATENATE("PX392=",$AA$67), CONCATENATE("DS004=",$B$59), "Fill=B")</f>
        <v>#NAME?</v>
      </c>
      <c r="AB78" t="e">
        <f ca="1">_xll.BDP($B$40,$C$40,CONCATENATE("PX391=", $AB$66), CONCATENATE("PX392=",$AB$67), CONCATENATE("DS004=",$B$59), "Fill=B")</f>
        <v>#NAME?</v>
      </c>
      <c r="AC78" t="e">
        <f ca="1">_xll.BDP($B$40,$C$40,CONCATENATE("PX391=", $AC$66), CONCATENATE("PX392=",$AC$67), CONCATENATE("DS004=",$B$59), "Fill=B")</f>
        <v>#NAME?</v>
      </c>
      <c r="AD78" t="e">
        <f ca="1">_xll.BDP($B$40,$C$40,CONCATENATE("PX391=", $AD$66), CONCATENATE("PX392=",$AD$67), CONCATENATE("DS004=",$B$59), "Fill=B")</f>
        <v>#NAME?</v>
      </c>
      <c r="AE78" t="e">
        <f ca="1">_xll.BDP($B$40,$C$40,CONCATENATE("PX391=", $AE$66), CONCATENATE("PX392=",$AE$67), CONCATENATE("DS004=",$B$59), "Fill=B")</f>
        <v>#NAME?</v>
      </c>
      <c r="AF78" t="e">
        <f ca="1">_xll.BDP($B$40,$C$40,CONCATENATE("PX391=", $AF$66), CONCATENATE("PX392=",$AF$67), CONCATENATE("DS004=",$B$59), "Fill=B")</f>
        <v>#NAME?</v>
      </c>
      <c r="AG78" t="e">
        <f ca="1">_xll.BDP($B$40,$C$40,CONCATENATE("PX391=", $AG$66), CONCATENATE("PX392=",$AG$67), CONCATENATE("DS004=",$B$59), "Fill=B")</f>
        <v>#NAME?</v>
      </c>
      <c r="AH78" t="e">
        <f ca="1">_xll.BDP($B$40,$C$40,CONCATENATE("PX391=", $AH$66), CONCATENATE("PX392=",$AH$67), CONCATENATE("DS004=",$B$59), "Fill=B")</f>
        <v>#NAME?</v>
      </c>
      <c r="AI78" t="e">
        <f ca="1">_xll.BDP($B$40,$C$40,CONCATENATE("PX391=", $AI$66), CONCATENATE("PX392=",$AI$67), CONCATENATE("DS004=",$B$59), "Fill=B")</f>
        <v>#NAME?</v>
      </c>
      <c r="AJ78" t="e">
        <f ca="1">_xll.BDP($B$40,$C$40,CONCATENATE("PX391=", $AJ$66), CONCATENATE("PX392=",$AJ$67), CONCATENATE("DS004=",$B$59), "Fill=B")</f>
        <v>#NAME?</v>
      </c>
      <c r="AK78" t="e">
        <f ca="1">_xll.BDP($B$40,$C$40,CONCATENATE("PX391=", $AK$66), CONCATENATE("PX392=",$AK$67), CONCATENATE("DS004=",$B$59), "Fill=B")</f>
        <v>#NAME?</v>
      </c>
      <c r="AL78" t="e">
        <f ca="1">_xll.BDP($B$40,$C$40,CONCATENATE("PX391=", $AL$66), CONCATENATE("PX392=",$AL$67), CONCATENATE("DS004=",$B$59), "Fill=B")</f>
        <v>#NAME?</v>
      </c>
      <c r="AM78" t="e">
        <f ca="1">_xll.BDP($B$40,$C$40,CONCATENATE("PX391=", $AM$66), CONCATENATE("PX392=",$AM$67), CONCATENATE("DS004=",$B$59), "Fill=B")</f>
        <v>#NAME?</v>
      </c>
      <c r="AN78" t="e">
        <f ca="1">_xll.BDP($B$40,$C$40,CONCATENATE("PX391=", $AN$66), CONCATENATE("PX392=",$AN$67), CONCATENATE("DS004=",$B$59), "Fill=B")</f>
        <v>#NAME?</v>
      </c>
      <c r="AO78" t="e">
        <f ca="1">_xll.BDP($B$40,$C$40,CONCATENATE("PX391=", $AO$66), CONCATENATE("PX392=",$AO$67), CONCATENATE("DS004=",$B$59), "Fill=B")</f>
        <v>#NAME?</v>
      </c>
      <c r="AP78" t="e">
        <f ca="1">_xll.BDP($B$40,$C$40,CONCATENATE("PX391=", $AP$66), CONCATENATE("PX392=",$AP$67), CONCATENATE("DS004=",$B$59), "Fill=B")</f>
        <v>#NAME?</v>
      </c>
      <c r="AQ78" t="e">
        <f ca="1">_xll.BDP($B$40,$C$40,CONCATENATE("PX391=", $AQ$66), CONCATENATE("PX392=",$AQ$67), CONCATENATE("DS004=",$B$59), "Fill=B")</f>
        <v>#NAME?</v>
      </c>
      <c r="AR78" t="e">
        <f ca="1">_xll.BDP($B$40,$C$40,CONCATENATE("PX391=", $AR$66), CONCATENATE("PX392=",$AR$67), CONCATENATE("DS004=",$B$59), "Fill=B")</f>
        <v>#NAME?</v>
      </c>
      <c r="AS78" t="e">
        <f ca="1">_xll.BDP($B$40,$C$40,CONCATENATE("PX391=", $AS$66), CONCATENATE("PX392=",$AS$67), CONCATENATE("DS004=",$B$59), "Fill=B")</f>
        <v>#NAME?</v>
      </c>
      <c r="AT78" t="str">
        <f>""</f>
        <v/>
      </c>
      <c r="AU78" t="str">
        <f>""</f>
        <v/>
      </c>
      <c r="AV78" t="str">
        <f>""</f>
        <v/>
      </c>
      <c r="AW78" t="str">
        <f>""</f>
        <v/>
      </c>
      <c r="AX78" t="str">
        <f>""</f>
        <v/>
      </c>
      <c r="AY78" t="str">
        <f>""</f>
        <v/>
      </c>
      <c r="AZ78" t="str">
        <f>""</f>
        <v/>
      </c>
      <c r="BA78" t="str">
        <f>""</f>
        <v/>
      </c>
      <c r="BB78" t="str">
        <f>""</f>
        <v/>
      </c>
      <c r="BC78" t="str">
        <f>""</f>
        <v/>
      </c>
      <c r="BD78" t="str">
        <f>""</f>
        <v/>
      </c>
      <c r="BE78" t="str">
        <f>""</f>
        <v/>
      </c>
      <c r="BF78" t="str">
        <f>""</f>
        <v/>
      </c>
      <c r="BG78" t="str">
        <f>""</f>
        <v/>
      </c>
      <c r="BH78" t="str">
        <f>""</f>
        <v/>
      </c>
      <c r="BI78" t="str">
        <f>""</f>
        <v/>
      </c>
      <c r="BJ78" t="str">
        <f>""</f>
        <v/>
      </c>
      <c r="BK78" t="str">
        <f>""</f>
        <v/>
      </c>
      <c r="BL78" t="str">
        <f>""</f>
        <v/>
      </c>
      <c r="BM78" t="str">
        <f>""</f>
        <v/>
      </c>
      <c r="BN78" t="str">
        <f>""</f>
        <v/>
      </c>
      <c r="BO78" t="str">
        <f>""</f>
        <v/>
      </c>
      <c r="BP78" t="str">
        <f>""</f>
        <v/>
      </c>
      <c r="BQ78" t="str">
        <f>""</f>
        <v/>
      </c>
      <c r="BR78" t="str">
        <f>""</f>
        <v/>
      </c>
      <c r="BS78" t="str">
        <f>""</f>
        <v/>
      </c>
      <c r="BT78" t="str">
        <f>""</f>
        <v/>
      </c>
      <c r="BU78" t="str">
        <f>""</f>
        <v/>
      </c>
      <c r="BV78" t="str">
        <f>""</f>
        <v/>
      </c>
      <c r="BW78" t="str">
        <f>""</f>
        <v/>
      </c>
      <c r="BX78" t="str">
        <f>""</f>
        <v/>
      </c>
      <c r="BY78" t="str">
        <f>""</f>
        <v/>
      </c>
      <c r="BZ78" t="str">
        <f>""</f>
        <v/>
      </c>
      <c r="CA78" t="str">
        <f>""</f>
        <v/>
      </c>
      <c r="CB78" t="str">
        <f>""</f>
        <v/>
      </c>
      <c r="CC78" t="str">
        <f>""</f>
        <v/>
      </c>
      <c r="CD78" t="str">
        <f>""</f>
        <v/>
      </c>
      <c r="CE78" t="str">
        <f>""</f>
        <v/>
      </c>
      <c r="CF78" t="str">
        <f>""</f>
        <v/>
      </c>
      <c r="CG78" t="str">
        <f>""</f>
        <v/>
      </c>
    </row>
    <row r="79" spans="1:85" x14ac:dyDescent="0.25">
      <c r="A79" t="str">
        <f>$A$41</f>
        <v xml:space="preserve">    Mercedes-Benz</v>
      </c>
      <c r="B79" t="str">
        <f>$B$41</f>
        <v>BRTRSHME Index</v>
      </c>
      <c r="C79" t="str">
        <f>$C$41</f>
        <v>PX385</v>
      </c>
      <c r="D79" t="str">
        <f>$D$41</f>
        <v>INTERVAL_SUM</v>
      </c>
      <c r="E79" t="str">
        <f>$E$41</f>
        <v>Dynamic</v>
      </c>
      <c r="F79" t="e">
        <f ca="1">_xll.BDP($B$41,$C$41,CONCATENATE("PX391=", $F$66), CONCATENATE("PX392=",$F$67), CONCATENATE("DS004=",$B$59), "Fill=B")</f>
        <v>#NAME?</v>
      </c>
      <c r="G79" t="e">
        <f ca="1">_xll.BDP($B$41,$C$41,CONCATENATE("PX391=", $G$66), CONCATENATE("PX392=",$G$67), CONCATENATE("DS004=",$B$59), "Fill=B")</f>
        <v>#NAME?</v>
      </c>
      <c r="H79" t="e">
        <f ca="1">_xll.BDP($B$41,$C$41,CONCATENATE("PX391=", $H$66), CONCATENATE("PX392=",$H$67), CONCATENATE("DS004=",$B$59), "Fill=B")</f>
        <v>#NAME?</v>
      </c>
      <c r="I79" t="e">
        <f ca="1">_xll.BDP($B$41,$C$41,CONCATENATE("PX391=", $I$66), CONCATENATE("PX392=",$I$67), CONCATENATE("DS004=",$B$59), "Fill=B")</f>
        <v>#NAME?</v>
      </c>
      <c r="J79" t="e">
        <f ca="1">_xll.BDP($B$41,$C$41,CONCATENATE("PX391=", $J$66), CONCATENATE("PX392=",$J$67), CONCATENATE("DS004=",$B$59), "Fill=B")</f>
        <v>#NAME?</v>
      </c>
      <c r="K79" t="e">
        <f ca="1">_xll.BDP($B$41,$C$41,CONCATENATE("PX391=", $K$66), CONCATENATE("PX392=",$K$67), CONCATENATE("DS004=",$B$59), "Fill=B")</f>
        <v>#NAME?</v>
      </c>
      <c r="L79" t="e">
        <f ca="1">_xll.BDP($B$41,$C$41,CONCATENATE("PX391=", $L$66), CONCATENATE("PX392=",$L$67), CONCATENATE("DS004=",$B$59), "Fill=B")</f>
        <v>#NAME?</v>
      </c>
      <c r="M79" t="e">
        <f ca="1">_xll.BDP($B$41,$C$41,CONCATENATE("PX391=", $M$66), CONCATENATE("PX392=",$M$67), CONCATENATE("DS004=",$B$59), "Fill=B")</f>
        <v>#NAME?</v>
      </c>
      <c r="N79" t="e">
        <f ca="1">_xll.BDP($B$41,$C$41,CONCATENATE("PX391=", $N$66), CONCATENATE("PX392=",$N$67), CONCATENATE("DS004=",$B$59), "Fill=B")</f>
        <v>#NAME?</v>
      </c>
      <c r="O79" t="e">
        <f ca="1">_xll.BDP($B$41,$C$41,CONCATENATE("PX391=", $O$66), CONCATENATE("PX392=",$O$67), CONCATENATE("DS004=",$B$59), "Fill=B")</f>
        <v>#NAME?</v>
      </c>
      <c r="P79" t="e">
        <f ca="1">_xll.BDP($B$41,$C$41,CONCATENATE("PX391=", $P$66), CONCATENATE("PX392=",$P$67), CONCATENATE("DS004=",$B$59), "Fill=B")</f>
        <v>#NAME?</v>
      </c>
      <c r="Q79" t="e">
        <f ca="1">_xll.BDP($B$41,$C$41,CONCATENATE("PX391=", $Q$66), CONCATENATE("PX392=",$Q$67), CONCATENATE("DS004=",$B$59), "Fill=B")</f>
        <v>#NAME?</v>
      </c>
      <c r="R79" t="e">
        <f ca="1">_xll.BDP($B$41,$C$41,CONCATENATE("PX391=", $R$66), CONCATENATE("PX392=",$R$67), CONCATENATE("DS004=",$B$59), "Fill=B")</f>
        <v>#NAME?</v>
      </c>
      <c r="S79" t="e">
        <f ca="1">_xll.BDP($B$41,$C$41,CONCATENATE("PX391=", $S$66), CONCATENATE("PX392=",$S$67), CONCATENATE("DS004=",$B$59), "Fill=B")</f>
        <v>#NAME?</v>
      </c>
      <c r="T79" t="e">
        <f ca="1">_xll.BDP($B$41,$C$41,CONCATENATE("PX391=", $T$66), CONCATENATE("PX392=",$T$67), CONCATENATE("DS004=",$B$59), "Fill=B")</f>
        <v>#NAME?</v>
      </c>
      <c r="U79" t="e">
        <f ca="1">_xll.BDP($B$41,$C$41,CONCATENATE("PX391=", $U$66), CONCATENATE("PX392=",$U$67), CONCATENATE("DS004=",$B$59), "Fill=B")</f>
        <v>#NAME?</v>
      </c>
      <c r="V79" t="e">
        <f ca="1">_xll.BDP($B$41,$C$41,CONCATENATE("PX391=", $V$66), CONCATENATE("PX392=",$V$67), CONCATENATE("DS004=",$B$59), "Fill=B")</f>
        <v>#NAME?</v>
      </c>
      <c r="W79" t="e">
        <f ca="1">_xll.BDP($B$41,$C$41,CONCATENATE("PX391=", $W$66), CONCATENATE("PX392=",$W$67), CONCATENATE("DS004=",$B$59), "Fill=B")</f>
        <v>#NAME?</v>
      </c>
      <c r="X79" t="e">
        <f ca="1">_xll.BDP($B$41,$C$41,CONCATENATE("PX391=", $X$66), CONCATENATE("PX392=",$X$67), CONCATENATE("DS004=",$B$59), "Fill=B")</f>
        <v>#NAME?</v>
      </c>
      <c r="Y79" t="e">
        <f ca="1">_xll.BDP($B$41,$C$41,CONCATENATE("PX391=", $Y$66), CONCATENATE("PX392=",$Y$67), CONCATENATE("DS004=",$B$59), "Fill=B")</f>
        <v>#NAME?</v>
      </c>
      <c r="Z79" t="e">
        <f ca="1">_xll.BDP($B$41,$C$41,CONCATENATE("PX391=", $Z$66), CONCATENATE("PX392=",$Z$67), CONCATENATE("DS004=",$B$59), "Fill=B")</f>
        <v>#NAME?</v>
      </c>
      <c r="AA79" t="e">
        <f ca="1">_xll.BDP($B$41,$C$41,CONCATENATE("PX391=", $AA$66), CONCATENATE("PX392=",$AA$67), CONCATENATE("DS004=",$B$59), "Fill=B")</f>
        <v>#NAME?</v>
      </c>
      <c r="AB79" t="e">
        <f ca="1">_xll.BDP($B$41,$C$41,CONCATENATE("PX391=", $AB$66), CONCATENATE("PX392=",$AB$67), CONCATENATE("DS004=",$B$59), "Fill=B")</f>
        <v>#NAME?</v>
      </c>
      <c r="AC79" t="e">
        <f ca="1">_xll.BDP($B$41,$C$41,CONCATENATE("PX391=", $AC$66), CONCATENATE("PX392=",$AC$67), CONCATENATE("DS004=",$B$59), "Fill=B")</f>
        <v>#NAME?</v>
      </c>
      <c r="AD79" t="e">
        <f ca="1">_xll.BDP($B$41,$C$41,CONCATENATE("PX391=", $AD$66), CONCATENATE("PX392=",$AD$67), CONCATENATE("DS004=",$B$59), "Fill=B")</f>
        <v>#NAME?</v>
      </c>
      <c r="AE79" t="e">
        <f ca="1">_xll.BDP($B$41,$C$41,CONCATENATE("PX391=", $AE$66), CONCATENATE("PX392=",$AE$67), CONCATENATE("DS004=",$B$59), "Fill=B")</f>
        <v>#NAME?</v>
      </c>
      <c r="AF79" t="e">
        <f ca="1">_xll.BDP($B$41,$C$41,CONCATENATE("PX391=", $AF$66), CONCATENATE("PX392=",$AF$67), CONCATENATE("DS004=",$B$59), "Fill=B")</f>
        <v>#NAME?</v>
      </c>
      <c r="AG79" t="e">
        <f ca="1">_xll.BDP($B$41,$C$41,CONCATENATE("PX391=", $AG$66), CONCATENATE("PX392=",$AG$67), CONCATENATE("DS004=",$B$59), "Fill=B")</f>
        <v>#NAME?</v>
      </c>
      <c r="AH79" t="e">
        <f ca="1">_xll.BDP($B$41,$C$41,CONCATENATE("PX391=", $AH$66), CONCATENATE("PX392=",$AH$67), CONCATENATE("DS004=",$B$59), "Fill=B")</f>
        <v>#NAME?</v>
      </c>
      <c r="AI79" t="e">
        <f ca="1">_xll.BDP($B$41,$C$41,CONCATENATE("PX391=", $AI$66), CONCATENATE("PX392=",$AI$67), CONCATENATE("DS004=",$B$59), "Fill=B")</f>
        <v>#NAME?</v>
      </c>
      <c r="AJ79" t="e">
        <f ca="1">_xll.BDP($B$41,$C$41,CONCATENATE("PX391=", $AJ$66), CONCATENATE("PX392=",$AJ$67), CONCATENATE("DS004=",$B$59), "Fill=B")</f>
        <v>#NAME?</v>
      </c>
      <c r="AK79" t="e">
        <f ca="1">_xll.BDP($B$41,$C$41,CONCATENATE("PX391=", $AK$66), CONCATENATE("PX392=",$AK$67), CONCATENATE("DS004=",$B$59), "Fill=B")</f>
        <v>#NAME?</v>
      </c>
      <c r="AL79" t="e">
        <f ca="1">_xll.BDP($B$41,$C$41,CONCATENATE("PX391=", $AL$66), CONCATENATE("PX392=",$AL$67), CONCATENATE("DS004=",$B$59), "Fill=B")</f>
        <v>#NAME?</v>
      </c>
      <c r="AM79" t="e">
        <f ca="1">_xll.BDP($B$41,$C$41,CONCATENATE("PX391=", $AM$66), CONCATENATE("PX392=",$AM$67), CONCATENATE("DS004=",$B$59), "Fill=B")</f>
        <v>#NAME?</v>
      </c>
      <c r="AN79" t="e">
        <f ca="1">_xll.BDP($B$41,$C$41,CONCATENATE("PX391=", $AN$66), CONCATENATE("PX392=",$AN$67), CONCATENATE("DS004=",$B$59), "Fill=B")</f>
        <v>#NAME?</v>
      </c>
      <c r="AO79" t="e">
        <f ca="1">_xll.BDP($B$41,$C$41,CONCATENATE("PX391=", $AO$66), CONCATENATE("PX392=",$AO$67), CONCATENATE("DS004=",$B$59), "Fill=B")</f>
        <v>#NAME?</v>
      </c>
      <c r="AP79" t="e">
        <f ca="1">_xll.BDP($B$41,$C$41,CONCATENATE("PX391=", $AP$66), CONCATENATE("PX392=",$AP$67), CONCATENATE("DS004=",$B$59), "Fill=B")</f>
        <v>#NAME?</v>
      </c>
      <c r="AQ79" t="e">
        <f ca="1">_xll.BDP($B$41,$C$41,CONCATENATE("PX391=", $AQ$66), CONCATENATE("PX392=",$AQ$67), CONCATENATE("DS004=",$B$59), "Fill=B")</f>
        <v>#NAME?</v>
      </c>
      <c r="AR79" t="e">
        <f ca="1">_xll.BDP($B$41,$C$41,CONCATENATE("PX391=", $AR$66), CONCATENATE("PX392=",$AR$67), CONCATENATE("DS004=",$B$59), "Fill=B")</f>
        <v>#NAME?</v>
      </c>
      <c r="AS79" t="e">
        <f ca="1">_xll.BDP($B$41,$C$41,CONCATENATE("PX391=", $AS$66), CONCATENATE("PX392=",$AS$67), CONCATENATE("DS004=",$B$59), "Fill=B")</f>
        <v>#NAME?</v>
      </c>
      <c r="AT79" t="str">
        <f>""</f>
        <v/>
      </c>
      <c r="AU79" t="str">
        <f>""</f>
        <v/>
      </c>
      <c r="AV79" t="str">
        <f>""</f>
        <v/>
      </c>
      <c r="AW79" t="str">
        <f>""</f>
        <v/>
      </c>
      <c r="AX79" t="str">
        <f>""</f>
        <v/>
      </c>
      <c r="AY79" t="str">
        <f>""</f>
        <v/>
      </c>
      <c r="AZ79" t="str">
        <f>""</f>
        <v/>
      </c>
      <c r="BA79" t="str">
        <f>""</f>
        <v/>
      </c>
      <c r="BB79" t="str">
        <f>""</f>
        <v/>
      </c>
      <c r="BC79" t="str">
        <f>""</f>
        <v/>
      </c>
      <c r="BD79" t="str">
        <f>""</f>
        <v/>
      </c>
      <c r="BE79" t="str">
        <f>""</f>
        <v/>
      </c>
      <c r="BF79" t="str">
        <f>""</f>
        <v/>
      </c>
      <c r="BG79" t="str">
        <f>""</f>
        <v/>
      </c>
      <c r="BH79" t="str">
        <f>""</f>
        <v/>
      </c>
      <c r="BI79" t="str">
        <f>""</f>
        <v/>
      </c>
      <c r="BJ79" t="str">
        <f>""</f>
        <v/>
      </c>
      <c r="BK79" t="str">
        <f>""</f>
        <v/>
      </c>
      <c r="BL79" t="str">
        <f>""</f>
        <v/>
      </c>
      <c r="BM79" t="str">
        <f>""</f>
        <v/>
      </c>
      <c r="BN79" t="str">
        <f>""</f>
        <v/>
      </c>
      <c r="BO79" t="str">
        <f>""</f>
        <v/>
      </c>
      <c r="BP79" t="str">
        <f>""</f>
        <v/>
      </c>
      <c r="BQ79" t="str">
        <f>""</f>
        <v/>
      </c>
      <c r="BR79" t="str">
        <f>""</f>
        <v/>
      </c>
      <c r="BS79" t="str">
        <f>""</f>
        <v/>
      </c>
      <c r="BT79" t="str">
        <f>""</f>
        <v/>
      </c>
      <c r="BU79" t="str">
        <f>""</f>
        <v/>
      </c>
      <c r="BV79" t="str">
        <f>""</f>
        <v/>
      </c>
      <c r="BW79" t="str">
        <f>""</f>
        <v/>
      </c>
      <c r="BX79" t="str">
        <f>""</f>
        <v/>
      </c>
      <c r="BY79" t="str">
        <f>""</f>
        <v/>
      </c>
      <c r="BZ79" t="str">
        <f>""</f>
        <v/>
      </c>
      <c r="CA79" t="str">
        <f>""</f>
        <v/>
      </c>
      <c r="CB79" t="str">
        <f>""</f>
        <v/>
      </c>
      <c r="CC79" t="str">
        <f>""</f>
        <v/>
      </c>
      <c r="CD79" t="str">
        <f>""</f>
        <v/>
      </c>
      <c r="CE79" t="str">
        <f>""</f>
        <v/>
      </c>
      <c r="CF79" t="str">
        <f>""</f>
        <v/>
      </c>
      <c r="CG79" t="str">
        <f>""</f>
        <v/>
      </c>
    </row>
    <row r="80" spans="1:85" x14ac:dyDescent="0.25">
      <c r="A80" t="str">
        <f>$A$42</f>
        <v xml:space="preserve">    Ford</v>
      </c>
      <c r="B80" t="str">
        <f>$B$42</f>
        <v>BRTRSHFO Index</v>
      </c>
      <c r="C80" t="str">
        <f>$C$42</f>
        <v>PX385</v>
      </c>
      <c r="D80" t="str">
        <f>$D$42</f>
        <v>INTERVAL_SUM</v>
      </c>
      <c r="E80" t="str">
        <f>$E$42</f>
        <v>Dynamic</v>
      </c>
      <c r="F80" t="e">
        <f ca="1">_xll.BDP($B$42,$C$42,CONCATENATE("PX391=", $F$66), CONCATENATE("PX392=",$F$67), CONCATENATE("DS004=",$B$59), "Fill=B")</f>
        <v>#NAME?</v>
      </c>
      <c r="G80" t="e">
        <f ca="1">_xll.BDP($B$42,$C$42,CONCATENATE("PX391=", $G$66), CONCATENATE("PX392=",$G$67), CONCATENATE("DS004=",$B$59), "Fill=B")</f>
        <v>#NAME?</v>
      </c>
      <c r="H80" t="e">
        <f ca="1">_xll.BDP($B$42,$C$42,CONCATENATE("PX391=", $H$66), CONCATENATE("PX392=",$H$67), CONCATENATE("DS004=",$B$59), "Fill=B")</f>
        <v>#NAME?</v>
      </c>
      <c r="I80" t="e">
        <f ca="1">_xll.BDP($B$42,$C$42,CONCATENATE("PX391=", $I$66), CONCATENATE("PX392=",$I$67), CONCATENATE("DS004=",$B$59), "Fill=B")</f>
        <v>#NAME?</v>
      </c>
      <c r="J80" t="e">
        <f ca="1">_xll.BDP($B$42,$C$42,CONCATENATE("PX391=", $J$66), CONCATENATE("PX392=",$J$67), CONCATENATE("DS004=",$B$59), "Fill=B")</f>
        <v>#NAME?</v>
      </c>
      <c r="K80" t="e">
        <f ca="1">_xll.BDP($B$42,$C$42,CONCATENATE("PX391=", $K$66), CONCATENATE("PX392=",$K$67), CONCATENATE("DS004=",$B$59), "Fill=B")</f>
        <v>#NAME?</v>
      </c>
      <c r="L80" t="e">
        <f ca="1">_xll.BDP($B$42,$C$42,CONCATENATE("PX391=", $L$66), CONCATENATE("PX392=",$L$67), CONCATENATE("DS004=",$B$59), "Fill=B")</f>
        <v>#NAME?</v>
      </c>
      <c r="M80" t="e">
        <f ca="1">_xll.BDP($B$42,$C$42,CONCATENATE("PX391=", $M$66), CONCATENATE("PX392=",$M$67), CONCATENATE("DS004=",$B$59), "Fill=B")</f>
        <v>#NAME?</v>
      </c>
      <c r="N80" t="e">
        <f ca="1">_xll.BDP($B$42,$C$42,CONCATENATE("PX391=", $N$66), CONCATENATE("PX392=",$N$67), CONCATENATE("DS004=",$B$59), "Fill=B")</f>
        <v>#NAME?</v>
      </c>
      <c r="O80" t="e">
        <f ca="1">_xll.BDP($B$42,$C$42,CONCATENATE("PX391=", $O$66), CONCATENATE("PX392=",$O$67), CONCATENATE("DS004=",$B$59), "Fill=B")</f>
        <v>#NAME?</v>
      </c>
      <c r="P80" t="e">
        <f ca="1">_xll.BDP($B$42,$C$42,CONCATENATE("PX391=", $P$66), CONCATENATE("PX392=",$P$67), CONCATENATE("DS004=",$B$59), "Fill=B")</f>
        <v>#NAME?</v>
      </c>
      <c r="Q80" t="e">
        <f ca="1">_xll.BDP($B$42,$C$42,CONCATENATE("PX391=", $Q$66), CONCATENATE("PX392=",$Q$67), CONCATENATE("DS004=",$B$59), "Fill=B")</f>
        <v>#NAME?</v>
      </c>
      <c r="R80" t="e">
        <f ca="1">_xll.BDP($B$42,$C$42,CONCATENATE("PX391=", $R$66), CONCATENATE("PX392=",$R$67), CONCATENATE("DS004=",$B$59), "Fill=B")</f>
        <v>#NAME?</v>
      </c>
      <c r="S80" t="e">
        <f ca="1">_xll.BDP($B$42,$C$42,CONCATENATE("PX391=", $S$66), CONCATENATE("PX392=",$S$67), CONCATENATE("DS004=",$B$59), "Fill=B")</f>
        <v>#NAME?</v>
      </c>
      <c r="T80" t="e">
        <f ca="1">_xll.BDP($B$42,$C$42,CONCATENATE("PX391=", $T$66), CONCATENATE("PX392=",$T$67), CONCATENATE("DS004=",$B$59), "Fill=B")</f>
        <v>#NAME?</v>
      </c>
      <c r="U80" t="e">
        <f ca="1">_xll.BDP($B$42,$C$42,CONCATENATE("PX391=", $U$66), CONCATENATE("PX392=",$U$67), CONCATENATE("DS004=",$B$59), "Fill=B")</f>
        <v>#NAME?</v>
      </c>
      <c r="V80" t="e">
        <f ca="1">_xll.BDP($B$42,$C$42,CONCATENATE("PX391=", $V$66), CONCATENATE("PX392=",$V$67), CONCATENATE("DS004=",$B$59), "Fill=B")</f>
        <v>#NAME?</v>
      </c>
      <c r="W80" t="e">
        <f ca="1">_xll.BDP($B$42,$C$42,CONCATENATE("PX391=", $W$66), CONCATENATE("PX392=",$W$67), CONCATENATE("DS004=",$B$59), "Fill=B")</f>
        <v>#NAME?</v>
      </c>
      <c r="X80" t="e">
        <f ca="1">_xll.BDP($B$42,$C$42,CONCATENATE("PX391=", $X$66), CONCATENATE("PX392=",$X$67), CONCATENATE("DS004=",$B$59), "Fill=B")</f>
        <v>#NAME?</v>
      </c>
      <c r="Y80" t="e">
        <f ca="1">_xll.BDP($B$42,$C$42,CONCATENATE("PX391=", $Y$66), CONCATENATE("PX392=",$Y$67), CONCATENATE("DS004=",$B$59), "Fill=B")</f>
        <v>#NAME?</v>
      </c>
      <c r="Z80" t="e">
        <f ca="1">_xll.BDP($B$42,$C$42,CONCATENATE("PX391=", $Z$66), CONCATENATE("PX392=",$Z$67), CONCATENATE("DS004=",$B$59), "Fill=B")</f>
        <v>#NAME?</v>
      </c>
      <c r="AA80" t="e">
        <f ca="1">_xll.BDP($B$42,$C$42,CONCATENATE("PX391=", $AA$66), CONCATENATE("PX392=",$AA$67), CONCATENATE("DS004=",$B$59), "Fill=B")</f>
        <v>#NAME?</v>
      </c>
      <c r="AB80" t="e">
        <f ca="1">_xll.BDP($B$42,$C$42,CONCATENATE("PX391=", $AB$66), CONCATENATE("PX392=",$AB$67), CONCATENATE("DS004=",$B$59), "Fill=B")</f>
        <v>#NAME?</v>
      </c>
      <c r="AC80" t="e">
        <f ca="1">_xll.BDP($B$42,$C$42,CONCATENATE("PX391=", $AC$66), CONCATENATE("PX392=",$AC$67), CONCATENATE("DS004=",$B$59), "Fill=B")</f>
        <v>#NAME?</v>
      </c>
      <c r="AD80" t="e">
        <f ca="1">_xll.BDP($B$42,$C$42,CONCATENATE("PX391=", $AD$66), CONCATENATE("PX392=",$AD$67), CONCATENATE("DS004=",$B$59), "Fill=B")</f>
        <v>#NAME?</v>
      </c>
      <c r="AE80" t="e">
        <f ca="1">_xll.BDP($B$42,$C$42,CONCATENATE("PX391=", $AE$66), CONCATENATE("PX392=",$AE$67), CONCATENATE("DS004=",$B$59), "Fill=B")</f>
        <v>#NAME?</v>
      </c>
      <c r="AF80" t="e">
        <f ca="1">_xll.BDP($B$42,$C$42,CONCATENATE("PX391=", $AF$66), CONCATENATE("PX392=",$AF$67), CONCATENATE("DS004=",$B$59), "Fill=B")</f>
        <v>#NAME?</v>
      </c>
      <c r="AG80" t="e">
        <f ca="1">_xll.BDP($B$42,$C$42,CONCATENATE("PX391=", $AG$66), CONCATENATE("PX392=",$AG$67), CONCATENATE("DS004=",$B$59), "Fill=B")</f>
        <v>#NAME?</v>
      </c>
      <c r="AH80" t="e">
        <f ca="1">_xll.BDP($B$42,$C$42,CONCATENATE("PX391=", $AH$66), CONCATENATE("PX392=",$AH$67), CONCATENATE("DS004=",$B$59), "Fill=B")</f>
        <v>#NAME?</v>
      </c>
      <c r="AI80" t="e">
        <f ca="1">_xll.BDP($B$42,$C$42,CONCATENATE("PX391=", $AI$66), CONCATENATE("PX392=",$AI$67), CONCATENATE("DS004=",$B$59), "Fill=B")</f>
        <v>#NAME?</v>
      </c>
      <c r="AJ80" t="e">
        <f ca="1">_xll.BDP($B$42,$C$42,CONCATENATE("PX391=", $AJ$66), CONCATENATE("PX392=",$AJ$67), CONCATENATE("DS004=",$B$59), "Fill=B")</f>
        <v>#NAME?</v>
      </c>
      <c r="AK80" t="e">
        <f ca="1">_xll.BDP($B$42,$C$42,CONCATENATE("PX391=", $AK$66), CONCATENATE("PX392=",$AK$67), CONCATENATE("DS004=",$B$59), "Fill=B")</f>
        <v>#NAME?</v>
      </c>
      <c r="AL80" t="e">
        <f ca="1">_xll.BDP($B$42,$C$42,CONCATENATE("PX391=", $AL$66), CONCATENATE("PX392=",$AL$67), CONCATENATE("DS004=",$B$59), "Fill=B")</f>
        <v>#NAME?</v>
      </c>
      <c r="AM80" t="e">
        <f ca="1">_xll.BDP($B$42,$C$42,CONCATENATE("PX391=", $AM$66), CONCATENATE("PX392=",$AM$67), CONCATENATE("DS004=",$B$59), "Fill=B")</f>
        <v>#NAME?</v>
      </c>
      <c r="AN80" t="e">
        <f ca="1">_xll.BDP($B$42,$C$42,CONCATENATE("PX391=", $AN$66), CONCATENATE("PX392=",$AN$67), CONCATENATE("DS004=",$B$59), "Fill=B")</f>
        <v>#NAME?</v>
      </c>
      <c r="AO80" t="e">
        <f ca="1">_xll.BDP($B$42,$C$42,CONCATENATE("PX391=", $AO$66), CONCATENATE("PX392=",$AO$67), CONCATENATE("DS004=",$B$59), "Fill=B")</f>
        <v>#NAME?</v>
      </c>
      <c r="AP80" t="e">
        <f ca="1">_xll.BDP($B$42,$C$42,CONCATENATE("PX391=", $AP$66), CONCATENATE("PX392=",$AP$67), CONCATENATE("DS004=",$B$59), "Fill=B")</f>
        <v>#NAME?</v>
      </c>
      <c r="AQ80" t="e">
        <f ca="1">_xll.BDP($B$42,$C$42,CONCATENATE("PX391=", $AQ$66), CONCATENATE("PX392=",$AQ$67), CONCATENATE("DS004=",$B$59), "Fill=B")</f>
        <v>#NAME?</v>
      </c>
      <c r="AR80" t="e">
        <f ca="1">_xll.BDP($B$42,$C$42,CONCATENATE("PX391=", $AR$66), CONCATENATE("PX392=",$AR$67), CONCATENATE("DS004=",$B$59), "Fill=B")</f>
        <v>#NAME?</v>
      </c>
      <c r="AS80" t="e">
        <f ca="1">_xll.BDP($B$42,$C$42,CONCATENATE("PX391=", $AS$66), CONCATENATE("PX392=",$AS$67), CONCATENATE("DS004=",$B$59), "Fill=B")</f>
        <v>#NAME?</v>
      </c>
      <c r="AT80" t="str">
        <f>""</f>
        <v/>
      </c>
      <c r="AU80" t="str">
        <f>""</f>
        <v/>
      </c>
      <c r="AV80" t="str">
        <f>""</f>
        <v/>
      </c>
      <c r="AW80" t="str">
        <f>""</f>
        <v/>
      </c>
      <c r="AX80" t="str">
        <f>""</f>
        <v/>
      </c>
      <c r="AY80" t="str">
        <f>""</f>
        <v/>
      </c>
      <c r="AZ80" t="str">
        <f>""</f>
        <v/>
      </c>
      <c r="BA80" t="str">
        <f>""</f>
        <v/>
      </c>
      <c r="BB80" t="str">
        <f>""</f>
        <v/>
      </c>
      <c r="BC80" t="str">
        <f>""</f>
        <v/>
      </c>
      <c r="BD80" t="str">
        <f>""</f>
        <v/>
      </c>
      <c r="BE80" t="str">
        <f>""</f>
        <v/>
      </c>
      <c r="BF80" t="str">
        <f>""</f>
        <v/>
      </c>
      <c r="BG80" t="str">
        <f>""</f>
        <v/>
      </c>
      <c r="BH80" t="str">
        <f>""</f>
        <v/>
      </c>
      <c r="BI80" t="str">
        <f>""</f>
        <v/>
      </c>
      <c r="BJ80" t="str">
        <f>""</f>
        <v/>
      </c>
      <c r="BK80" t="str">
        <f>""</f>
        <v/>
      </c>
      <c r="BL80" t="str">
        <f>""</f>
        <v/>
      </c>
      <c r="BM80" t="str">
        <f>""</f>
        <v/>
      </c>
      <c r="BN80" t="str">
        <f>""</f>
        <v/>
      </c>
      <c r="BO80" t="str">
        <f>""</f>
        <v/>
      </c>
      <c r="BP80" t="str">
        <f>""</f>
        <v/>
      </c>
      <c r="BQ80" t="str">
        <f>""</f>
        <v/>
      </c>
      <c r="BR80" t="str">
        <f>""</f>
        <v/>
      </c>
      <c r="BS80" t="str">
        <f>""</f>
        <v/>
      </c>
      <c r="BT80" t="str">
        <f>""</f>
        <v/>
      </c>
      <c r="BU80" t="str">
        <f>""</f>
        <v/>
      </c>
      <c r="BV80" t="str">
        <f>""</f>
        <v/>
      </c>
      <c r="BW80" t="str">
        <f>""</f>
        <v/>
      </c>
      <c r="BX80" t="str">
        <f>""</f>
        <v/>
      </c>
      <c r="BY80" t="str">
        <f>""</f>
        <v/>
      </c>
      <c r="BZ80" t="str">
        <f>""</f>
        <v/>
      </c>
      <c r="CA80" t="str">
        <f>""</f>
        <v/>
      </c>
      <c r="CB80" t="str">
        <f>""</f>
        <v/>
      </c>
      <c r="CC80" t="str">
        <f>""</f>
        <v/>
      </c>
      <c r="CD80" t="str">
        <f>""</f>
        <v/>
      </c>
      <c r="CE80" t="str">
        <f>""</f>
        <v/>
      </c>
      <c r="CF80" t="str">
        <f>""</f>
        <v/>
      </c>
      <c r="CG80" t="str">
        <f>""</f>
        <v/>
      </c>
    </row>
    <row r="81" spans="1:85" x14ac:dyDescent="0.25">
      <c r="A81" t="str">
        <f>$A$43</f>
        <v xml:space="preserve">    Volvo</v>
      </c>
      <c r="B81" t="str">
        <f>$B$43</f>
        <v>BRTRSHVO Index</v>
      </c>
      <c r="C81" t="str">
        <f>$C$43</f>
        <v>PX385</v>
      </c>
      <c r="D81" t="str">
        <f>$D$43</f>
        <v>INTERVAL_SUM</v>
      </c>
      <c r="E81" t="str">
        <f>$E$43</f>
        <v>Dynamic</v>
      </c>
      <c r="F81" t="e">
        <f ca="1">_xll.BDP($B$43,$C$43,CONCATENATE("PX391=", $F$66), CONCATENATE("PX392=",$F$67), CONCATENATE("DS004=",$B$59), "Fill=B")</f>
        <v>#NAME?</v>
      </c>
      <c r="G81" t="e">
        <f ca="1">_xll.BDP($B$43,$C$43,CONCATENATE("PX391=", $G$66), CONCATENATE("PX392=",$G$67), CONCATENATE("DS004=",$B$59), "Fill=B")</f>
        <v>#NAME?</v>
      </c>
      <c r="H81" t="e">
        <f ca="1">_xll.BDP($B$43,$C$43,CONCATENATE("PX391=", $H$66), CONCATENATE("PX392=",$H$67), CONCATENATE("DS004=",$B$59), "Fill=B")</f>
        <v>#NAME?</v>
      </c>
      <c r="I81" t="e">
        <f ca="1">_xll.BDP($B$43,$C$43,CONCATENATE("PX391=", $I$66), CONCATENATE("PX392=",$I$67), CONCATENATE("DS004=",$B$59), "Fill=B")</f>
        <v>#NAME?</v>
      </c>
      <c r="J81" t="e">
        <f ca="1">_xll.BDP($B$43,$C$43,CONCATENATE("PX391=", $J$66), CONCATENATE("PX392=",$J$67), CONCATENATE("DS004=",$B$59), "Fill=B")</f>
        <v>#NAME?</v>
      </c>
      <c r="K81" t="e">
        <f ca="1">_xll.BDP($B$43,$C$43,CONCATENATE("PX391=", $K$66), CONCATENATE("PX392=",$K$67), CONCATENATE("DS004=",$B$59), "Fill=B")</f>
        <v>#NAME?</v>
      </c>
      <c r="L81" t="e">
        <f ca="1">_xll.BDP($B$43,$C$43,CONCATENATE("PX391=", $L$66), CONCATENATE("PX392=",$L$67), CONCATENATE("DS004=",$B$59), "Fill=B")</f>
        <v>#NAME?</v>
      </c>
      <c r="M81" t="e">
        <f ca="1">_xll.BDP($B$43,$C$43,CONCATENATE("PX391=", $M$66), CONCATENATE("PX392=",$M$67), CONCATENATE("DS004=",$B$59), "Fill=B")</f>
        <v>#NAME?</v>
      </c>
      <c r="N81" t="e">
        <f ca="1">_xll.BDP($B$43,$C$43,CONCATENATE("PX391=", $N$66), CONCATENATE("PX392=",$N$67), CONCATENATE("DS004=",$B$59), "Fill=B")</f>
        <v>#NAME?</v>
      </c>
      <c r="O81" t="e">
        <f ca="1">_xll.BDP($B$43,$C$43,CONCATENATE("PX391=", $O$66), CONCATENATE("PX392=",$O$67), CONCATENATE("DS004=",$B$59), "Fill=B")</f>
        <v>#NAME?</v>
      </c>
      <c r="P81" t="e">
        <f ca="1">_xll.BDP($B$43,$C$43,CONCATENATE("PX391=", $P$66), CONCATENATE("PX392=",$P$67), CONCATENATE("DS004=",$B$59), "Fill=B")</f>
        <v>#NAME?</v>
      </c>
      <c r="Q81" t="e">
        <f ca="1">_xll.BDP($B$43,$C$43,CONCATENATE("PX391=", $Q$66), CONCATENATE("PX392=",$Q$67), CONCATENATE("DS004=",$B$59), "Fill=B")</f>
        <v>#NAME?</v>
      </c>
      <c r="R81" t="e">
        <f ca="1">_xll.BDP($B$43,$C$43,CONCATENATE("PX391=", $R$66), CONCATENATE("PX392=",$R$67), CONCATENATE("DS004=",$B$59), "Fill=B")</f>
        <v>#NAME?</v>
      </c>
      <c r="S81" t="e">
        <f ca="1">_xll.BDP($B$43,$C$43,CONCATENATE("PX391=", $S$66), CONCATENATE("PX392=",$S$67), CONCATENATE("DS004=",$B$59), "Fill=B")</f>
        <v>#NAME?</v>
      </c>
      <c r="T81" t="e">
        <f ca="1">_xll.BDP($B$43,$C$43,CONCATENATE("PX391=", $T$66), CONCATENATE("PX392=",$T$67), CONCATENATE("DS004=",$B$59), "Fill=B")</f>
        <v>#NAME?</v>
      </c>
      <c r="U81" t="e">
        <f ca="1">_xll.BDP($B$43,$C$43,CONCATENATE("PX391=", $U$66), CONCATENATE("PX392=",$U$67), CONCATENATE("DS004=",$B$59), "Fill=B")</f>
        <v>#NAME?</v>
      </c>
      <c r="V81" t="e">
        <f ca="1">_xll.BDP($B$43,$C$43,CONCATENATE("PX391=", $V$66), CONCATENATE("PX392=",$V$67), CONCATENATE("DS004=",$B$59), "Fill=B")</f>
        <v>#NAME?</v>
      </c>
      <c r="W81" t="e">
        <f ca="1">_xll.BDP($B$43,$C$43,CONCATENATE("PX391=", $W$66), CONCATENATE("PX392=",$W$67), CONCATENATE("DS004=",$B$59), "Fill=B")</f>
        <v>#NAME?</v>
      </c>
      <c r="X81" t="e">
        <f ca="1">_xll.BDP($B$43,$C$43,CONCATENATE("PX391=", $X$66), CONCATENATE("PX392=",$X$67), CONCATENATE("DS004=",$B$59), "Fill=B")</f>
        <v>#NAME?</v>
      </c>
      <c r="Y81" t="e">
        <f ca="1">_xll.BDP($B$43,$C$43,CONCATENATE("PX391=", $Y$66), CONCATENATE("PX392=",$Y$67), CONCATENATE("DS004=",$B$59), "Fill=B")</f>
        <v>#NAME?</v>
      </c>
      <c r="Z81" t="e">
        <f ca="1">_xll.BDP($B$43,$C$43,CONCATENATE("PX391=", $Z$66), CONCATENATE("PX392=",$Z$67), CONCATENATE("DS004=",$B$59), "Fill=B")</f>
        <v>#NAME?</v>
      </c>
      <c r="AA81" t="e">
        <f ca="1">_xll.BDP($B$43,$C$43,CONCATENATE("PX391=", $AA$66), CONCATENATE("PX392=",$AA$67), CONCATENATE("DS004=",$B$59), "Fill=B")</f>
        <v>#NAME?</v>
      </c>
      <c r="AB81" t="e">
        <f ca="1">_xll.BDP($B$43,$C$43,CONCATENATE("PX391=", $AB$66), CONCATENATE("PX392=",$AB$67), CONCATENATE("DS004=",$B$59), "Fill=B")</f>
        <v>#NAME?</v>
      </c>
      <c r="AC81" t="e">
        <f ca="1">_xll.BDP($B$43,$C$43,CONCATENATE("PX391=", $AC$66), CONCATENATE("PX392=",$AC$67), CONCATENATE("DS004=",$B$59), "Fill=B")</f>
        <v>#NAME?</v>
      </c>
      <c r="AD81" t="e">
        <f ca="1">_xll.BDP($B$43,$C$43,CONCATENATE("PX391=", $AD$66), CONCATENATE("PX392=",$AD$67), CONCATENATE("DS004=",$B$59), "Fill=B")</f>
        <v>#NAME?</v>
      </c>
      <c r="AE81" t="e">
        <f ca="1">_xll.BDP($B$43,$C$43,CONCATENATE("PX391=", $AE$66), CONCATENATE("PX392=",$AE$67), CONCATENATE("DS004=",$B$59), "Fill=B")</f>
        <v>#NAME?</v>
      </c>
      <c r="AF81" t="e">
        <f ca="1">_xll.BDP($B$43,$C$43,CONCATENATE("PX391=", $AF$66), CONCATENATE("PX392=",$AF$67), CONCATENATE("DS004=",$B$59), "Fill=B")</f>
        <v>#NAME?</v>
      </c>
      <c r="AG81" t="e">
        <f ca="1">_xll.BDP($B$43,$C$43,CONCATENATE("PX391=", $AG$66), CONCATENATE("PX392=",$AG$67), CONCATENATE("DS004=",$B$59), "Fill=B")</f>
        <v>#NAME?</v>
      </c>
      <c r="AH81" t="e">
        <f ca="1">_xll.BDP($B$43,$C$43,CONCATENATE("PX391=", $AH$66), CONCATENATE("PX392=",$AH$67), CONCATENATE("DS004=",$B$59), "Fill=B")</f>
        <v>#NAME?</v>
      </c>
      <c r="AI81" t="e">
        <f ca="1">_xll.BDP($B$43,$C$43,CONCATENATE("PX391=", $AI$66), CONCATENATE("PX392=",$AI$67), CONCATENATE("DS004=",$B$59), "Fill=B")</f>
        <v>#NAME?</v>
      </c>
      <c r="AJ81" t="e">
        <f ca="1">_xll.BDP($B$43,$C$43,CONCATENATE("PX391=", $AJ$66), CONCATENATE("PX392=",$AJ$67), CONCATENATE("DS004=",$B$59), "Fill=B")</f>
        <v>#NAME?</v>
      </c>
      <c r="AK81" t="e">
        <f ca="1">_xll.BDP($B$43,$C$43,CONCATENATE("PX391=", $AK$66), CONCATENATE("PX392=",$AK$67), CONCATENATE("DS004=",$B$59), "Fill=B")</f>
        <v>#NAME?</v>
      </c>
      <c r="AL81" t="e">
        <f ca="1">_xll.BDP($B$43,$C$43,CONCATENATE("PX391=", $AL$66), CONCATENATE("PX392=",$AL$67), CONCATENATE("DS004=",$B$59), "Fill=B")</f>
        <v>#NAME?</v>
      </c>
      <c r="AM81" t="e">
        <f ca="1">_xll.BDP($B$43,$C$43,CONCATENATE("PX391=", $AM$66), CONCATENATE("PX392=",$AM$67), CONCATENATE("DS004=",$B$59), "Fill=B")</f>
        <v>#NAME?</v>
      </c>
      <c r="AN81" t="e">
        <f ca="1">_xll.BDP($B$43,$C$43,CONCATENATE("PX391=", $AN$66), CONCATENATE("PX392=",$AN$67), CONCATENATE("DS004=",$B$59), "Fill=B")</f>
        <v>#NAME?</v>
      </c>
      <c r="AO81" t="e">
        <f ca="1">_xll.BDP($B$43,$C$43,CONCATENATE("PX391=", $AO$66), CONCATENATE("PX392=",$AO$67), CONCATENATE("DS004=",$B$59), "Fill=B")</f>
        <v>#NAME?</v>
      </c>
      <c r="AP81" t="e">
        <f ca="1">_xll.BDP($B$43,$C$43,CONCATENATE("PX391=", $AP$66), CONCATENATE("PX392=",$AP$67), CONCATENATE("DS004=",$B$59), "Fill=B")</f>
        <v>#NAME?</v>
      </c>
      <c r="AQ81" t="e">
        <f ca="1">_xll.BDP($B$43,$C$43,CONCATENATE("PX391=", $AQ$66), CONCATENATE("PX392=",$AQ$67), CONCATENATE("DS004=",$B$59), "Fill=B")</f>
        <v>#NAME?</v>
      </c>
      <c r="AR81" t="e">
        <f ca="1">_xll.BDP($B$43,$C$43,CONCATENATE("PX391=", $AR$66), CONCATENATE("PX392=",$AR$67), CONCATENATE("DS004=",$B$59), "Fill=B")</f>
        <v>#NAME?</v>
      </c>
      <c r="AS81" t="e">
        <f ca="1">_xll.BDP($B$43,$C$43,CONCATENATE("PX391=", $AS$66), CONCATENATE("PX392=",$AS$67), CONCATENATE("DS004=",$B$59), "Fill=B")</f>
        <v>#NAME?</v>
      </c>
      <c r="AT81" t="str">
        <f>""</f>
        <v/>
      </c>
      <c r="AU81" t="str">
        <f>""</f>
        <v/>
      </c>
      <c r="AV81" t="str">
        <f>""</f>
        <v/>
      </c>
      <c r="AW81" t="str">
        <f>""</f>
        <v/>
      </c>
      <c r="AX81" t="str">
        <f>""</f>
        <v/>
      </c>
      <c r="AY81" t="str">
        <f>""</f>
        <v/>
      </c>
      <c r="AZ81" t="str">
        <f>""</f>
        <v/>
      </c>
      <c r="BA81" t="str">
        <f>""</f>
        <v/>
      </c>
      <c r="BB81" t="str">
        <f>""</f>
        <v/>
      </c>
      <c r="BC81" t="str">
        <f>""</f>
        <v/>
      </c>
      <c r="BD81" t="str">
        <f>""</f>
        <v/>
      </c>
      <c r="BE81" t="str">
        <f>""</f>
        <v/>
      </c>
      <c r="BF81" t="str">
        <f>""</f>
        <v/>
      </c>
      <c r="BG81" t="str">
        <f>""</f>
        <v/>
      </c>
      <c r="BH81" t="str">
        <f>""</f>
        <v/>
      </c>
      <c r="BI81" t="str">
        <f>""</f>
        <v/>
      </c>
      <c r="BJ81" t="str">
        <f>""</f>
        <v/>
      </c>
      <c r="BK81" t="str">
        <f>""</f>
        <v/>
      </c>
      <c r="BL81" t="str">
        <f>""</f>
        <v/>
      </c>
      <c r="BM81" t="str">
        <f>""</f>
        <v/>
      </c>
      <c r="BN81" t="str">
        <f>""</f>
        <v/>
      </c>
      <c r="BO81" t="str">
        <f>""</f>
        <v/>
      </c>
      <c r="BP81" t="str">
        <f>""</f>
        <v/>
      </c>
      <c r="BQ81" t="str">
        <f>""</f>
        <v/>
      </c>
      <c r="BR81" t="str">
        <f>""</f>
        <v/>
      </c>
      <c r="BS81" t="str">
        <f>""</f>
        <v/>
      </c>
      <c r="BT81" t="str">
        <f>""</f>
        <v/>
      </c>
      <c r="BU81" t="str">
        <f>""</f>
        <v/>
      </c>
      <c r="BV81" t="str">
        <f>""</f>
        <v/>
      </c>
      <c r="BW81" t="str">
        <f>""</f>
        <v/>
      </c>
      <c r="BX81" t="str">
        <f>""</f>
        <v/>
      </c>
      <c r="BY81" t="str">
        <f>""</f>
        <v/>
      </c>
      <c r="BZ81" t="str">
        <f>""</f>
        <v/>
      </c>
      <c r="CA81" t="str">
        <f>""</f>
        <v/>
      </c>
      <c r="CB81" t="str">
        <f>""</f>
        <v/>
      </c>
      <c r="CC81" t="str">
        <f>""</f>
        <v/>
      </c>
      <c r="CD81" t="str">
        <f>""</f>
        <v/>
      </c>
      <c r="CE81" t="str">
        <f>""</f>
        <v/>
      </c>
      <c r="CF81" t="str">
        <f>""</f>
        <v/>
      </c>
      <c r="CG81" t="str">
        <f>""</f>
        <v/>
      </c>
    </row>
    <row r="82" spans="1:85" x14ac:dyDescent="0.25">
      <c r="A82" t="str">
        <f>$A$44</f>
        <v xml:space="preserve">    Iveco</v>
      </c>
      <c r="B82" t="str">
        <f>$B$44</f>
        <v>BRTRSHIV Index</v>
      </c>
      <c r="C82" t="str">
        <f>$C$44</f>
        <v>PX385</v>
      </c>
      <c r="D82" t="str">
        <f>$D$44</f>
        <v>INTERVAL_SUM</v>
      </c>
      <c r="E82" t="str">
        <f>$E$44</f>
        <v>Dynamic</v>
      </c>
      <c r="F82" t="e">
        <f ca="1">_xll.BDP($B$44,$C$44,CONCATENATE("PX391=", $F$66), CONCATENATE("PX392=",$F$67), CONCATENATE("DS004=",$B$59), "Fill=B")</f>
        <v>#NAME?</v>
      </c>
      <c r="G82" t="e">
        <f ca="1">_xll.BDP($B$44,$C$44,CONCATENATE("PX391=", $G$66), CONCATENATE("PX392=",$G$67), CONCATENATE("DS004=",$B$59), "Fill=B")</f>
        <v>#NAME?</v>
      </c>
      <c r="H82" t="e">
        <f ca="1">_xll.BDP($B$44,$C$44,CONCATENATE("PX391=", $H$66), CONCATENATE("PX392=",$H$67), CONCATENATE("DS004=",$B$59), "Fill=B")</f>
        <v>#NAME?</v>
      </c>
      <c r="I82" t="e">
        <f ca="1">_xll.BDP($B$44,$C$44,CONCATENATE("PX391=", $I$66), CONCATENATE("PX392=",$I$67), CONCATENATE("DS004=",$B$59), "Fill=B")</f>
        <v>#NAME?</v>
      </c>
      <c r="J82" t="e">
        <f ca="1">_xll.BDP($B$44,$C$44,CONCATENATE("PX391=", $J$66), CONCATENATE("PX392=",$J$67), CONCATENATE("DS004=",$B$59), "Fill=B")</f>
        <v>#NAME?</v>
      </c>
      <c r="K82" t="e">
        <f ca="1">_xll.BDP($B$44,$C$44,CONCATENATE("PX391=", $K$66), CONCATENATE("PX392=",$K$67), CONCATENATE("DS004=",$B$59), "Fill=B")</f>
        <v>#NAME?</v>
      </c>
      <c r="L82" t="e">
        <f ca="1">_xll.BDP($B$44,$C$44,CONCATENATE("PX391=", $L$66), CONCATENATE("PX392=",$L$67), CONCATENATE("DS004=",$B$59), "Fill=B")</f>
        <v>#NAME?</v>
      </c>
      <c r="M82" t="e">
        <f ca="1">_xll.BDP($B$44,$C$44,CONCATENATE("PX391=", $M$66), CONCATENATE("PX392=",$M$67), CONCATENATE("DS004=",$B$59), "Fill=B")</f>
        <v>#NAME?</v>
      </c>
      <c r="N82" t="e">
        <f ca="1">_xll.BDP($B$44,$C$44,CONCATENATE("PX391=", $N$66), CONCATENATE("PX392=",$N$67), CONCATENATE("DS004=",$B$59), "Fill=B")</f>
        <v>#NAME?</v>
      </c>
      <c r="O82" t="e">
        <f ca="1">_xll.BDP($B$44,$C$44,CONCATENATE("PX391=", $O$66), CONCATENATE("PX392=",$O$67), CONCATENATE("DS004=",$B$59), "Fill=B")</f>
        <v>#NAME?</v>
      </c>
      <c r="P82" t="e">
        <f ca="1">_xll.BDP($B$44,$C$44,CONCATENATE("PX391=", $P$66), CONCATENATE("PX392=",$P$67), CONCATENATE("DS004=",$B$59), "Fill=B")</f>
        <v>#NAME?</v>
      </c>
      <c r="Q82" t="e">
        <f ca="1">_xll.BDP($B$44,$C$44,CONCATENATE("PX391=", $Q$66), CONCATENATE("PX392=",$Q$67), CONCATENATE("DS004=",$B$59), "Fill=B")</f>
        <v>#NAME?</v>
      </c>
      <c r="R82" t="e">
        <f ca="1">_xll.BDP($B$44,$C$44,CONCATENATE("PX391=", $R$66), CONCATENATE("PX392=",$R$67), CONCATENATE("DS004=",$B$59), "Fill=B")</f>
        <v>#NAME?</v>
      </c>
      <c r="S82" t="e">
        <f ca="1">_xll.BDP($B$44,$C$44,CONCATENATE("PX391=", $S$66), CONCATENATE("PX392=",$S$67), CONCATENATE("DS004=",$B$59), "Fill=B")</f>
        <v>#NAME?</v>
      </c>
      <c r="T82" t="e">
        <f ca="1">_xll.BDP($B$44,$C$44,CONCATENATE("PX391=", $T$66), CONCATENATE("PX392=",$T$67), CONCATENATE("DS004=",$B$59), "Fill=B")</f>
        <v>#NAME?</v>
      </c>
      <c r="U82" t="e">
        <f ca="1">_xll.BDP($B$44,$C$44,CONCATENATE("PX391=", $U$66), CONCATENATE("PX392=",$U$67), CONCATENATE("DS004=",$B$59), "Fill=B")</f>
        <v>#NAME?</v>
      </c>
      <c r="V82" t="e">
        <f ca="1">_xll.BDP($B$44,$C$44,CONCATENATE("PX391=", $V$66), CONCATENATE("PX392=",$V$67), CONCATENATE("DS004=",$B$59), "Fill=B")</f>
        <v>#NAME?</v>
      </c>
      <c r="W82" t="e">
        <f ca="1">_xll.BDP($B$44,$C$44,CONCATENATE("PX391=", $W$66), CONCATENATE("PX392=",$W$67), CONCATENATE("DS004=",$B$59), "Fill=B")</f>
        <v>#NAME?</v>
      </c>
      <c r="X82" t="e">
        <f ca="1">_xll.BDP($B$44,$C$44,CONCATENATE("PX391=", $X$66), CONCATENATE("PX392=",$X$67), CONCATENATE("DS004=",$B$59), "Fill=B")</f>
        <v>#NAME?</v>
      </c>
      <c r="Y82" t="e">
        <f ca="1">_xll.BDP($B$44,$C$44,CONCATENATE("PX391=", $Y$66), CONCATENATE("PX392=",$Y$67), CONCATENATE("DS004=",$B$59), "Fill=B")</f>
        <v>#NAME?</v>
      </c>
      <c r="Z82" t="e">
        <f ca="1">_xll.BDP($B$44,$C$44,CONCATENATE("PX391=", $Z$66), CONCATENATE("PX392=",$Z$67), CONCATENATE("DS004=",$B$59), "Fill=B")</f>
        <v>#NAME?</v>
      </c>
      <c r="AA82" t="e">
        <f ca="1">_xll.BDP($B$44,$C$44,CONCATENATE("PX391=", $AA$66), CONCATENATE("PX392=",$AA$67), CONCATENATE("DS004=",$B$59), "Fill=B")</f>
        <v>#NAME?</v>
      </c>
      <c r="AB82" t="e">
        <f ca="1">_xll.BDP($B$44,$C$44,CONCATENATE("PX391=", $AB$66), CONCATENATE("PX392=",$AB$67), CONCATENATE("DS004=",$B$59), "Fill=B")</f>
        <v>#NAME?</v>
      </c>
      <c r="AC82" t="e">
        <f ca="1">_xll.BDP($B$44,$C$44,CONCATENATE("PX391=", $AC$66), CONCATENATE("PX392=",$AC$67), CONCATENATE("DS004=",$B$59), "Fill=B")</f>
        <v>#NAME?</v>
      </c>
      <c r="AD82" t="e">
        <f ca="1">_xll.BDP($B$44,$C$44,CONCATENATE("PX391=", $AD$66), CONCATENATE("PX392=",$AD$67), CONCATENATE("DS004=",$B$59), "Fill=B")</f>
        <v>#NAME?</v>
      </c>
      <c r="AE82" t="e">
        <f ca="1">_xll.BDP($B$44,$C$44,CONCATENATE("PX391=", $AE$66), CONCATENATE("PX392=",$AE$67), CONCATENATE("DS004=",$B$59), "Fill=B")</f>
        <v>#NAME?</v>
      </c>
      <c r="AF82" t="e">
        <f ca="1">_xll.BDP($B$44,$C$44,CONCATENATE("PX391=", $AF$66), CONCATENATE("PX392=",$AF$67), CONCATENATE("DS004=",$B$59), "Fill=B")</f>
        <v>#NAME?</v>
      </c>
      <c r="AG82" t="e">
        <f ca="1">_xll.BDP($B$44,$C$44,CONCATENATE("PX391=", $AG$66), CONCATENATE("PX392=",$AG$67), CONCATENATE("DS004=",$B$59), "Fill=B")</f>
        <v>#NAME?</v>
      </c>
      <c r="AH82" t="e">
        <f ca="1">_xll.BDP($B$44,$C$44,CONCATENATE("PX391=", $AH$66), CONCATENATE("PX392=",$AH$67), CONCATENATE("DS004=",$B$59), "Fill=B")</f>
        <v>#NAME?</v>
      </c>
      <c r="AI82" t="e">
        <f ca="1">_xll.BDP($B$44,$C$44,CONCATENATE("PX391=", $AI$66), CONCATENATE("PX392=",$AI$67), CONCATENATE("DS004=",$B$59), "Fill=B")</f>
        <v>#NAME?</v>
      </c>
      <c r="AJ82" t="e">
        <f ca="1">_xll.BDP($B$44,$C$44,CONCATENATE("PX391=", $AJ$66), CONCATENATE("PX392=",$AJ$67), CONCATENATE("DS004=",$B$59), "Fill=B")</f>
        <v>#NAME?</v>
      </c>
      <c r="AK82" t="e">
        <f ca="1">_xll.BDP($B$44,$C$44,CONCATENATE("PX391=", $AK$66), CONCATENATE("PX392=",$AK$67), CONCATENATE("DS004=",$B$59), "Fill=B")</f>
        <v>#NAME?</v>
      </c>
      <c r="AL82" t="e">
        <f ca="1">_xll.BDP($B$44,$C$44,CONCATENATE("PX391=", $AL$66), CONCATENATE("PX392=",$AL$67), CONCATENATE("DS004=",$B$59), "Fill=B")</f>
        <v>#NAME?</v>
      </c>
      <c r="AM82" t="e">
        <f ca="1">_xll.BDP($B$44,$C$44,CONCATENATE("PX391=", $AM$66), CONCATENATE("PX392=",$AM$67), CONCATENATE("DS004=",$B$59), "Fill=B")</f>
        <v>#NAME?</v>
      </c>
      <c r="AN82" t="e">
        <f ca="1">_xll.BDP($B$44,$C$44,CONCATENATE("PX391=", $AN$66), CONCATENATE("PX392=",$AN$67), CONCATENATE("DS004=",$B$59), "Fill=B")</f>
        <v>#NAME?</v>
      </c>
      <c r="AO82" t="e">
        <f ca="1">_xll.BDP($B$44,$C$44,CONCATENATE("PX391=", $AO$66), CONCATENATE("PX392=",$AO$67), CONCATENATE("DS004=",$B$59), "Fill=B")</f>
        <v>#NAME?</v>
      </c>
      <c r="AP82" t="e">
        <f ca="1">_xll.BDP($B$44,$C$44,CONCATENATE("PX391=", $AP$66), CONCATENATE("PX392=",$AP$67), CONCATENATE("DS004=",$B$59), "Fill=B")</f>
        <v>#NAME?</v>
      </c>
      <c r="AQ82" t="e">
        <f ca="1">_xll.BDP($B$44,$C$44,CONCATENATE("PX391=", $AQ$66), CONCATENATE("PX392=",$AQ$67), CONCATENATE("DS004=",$B$59), "Fill=B")</f>
        <v>#NAME?</v>
      </c>
      <c r="AR82" t="e">
        <f ca="1">_xll.BDP($B$44,$C$44,CONCATENATE("PX391=", $AR$66), CONCATENATE("PX392=",$AR$67), CONCATENATE("DS004=",$B$59), "Fill=B")</f>
        <v>#NAME?</v>
      </c>
      <c r="AS82" t="e">
        <f ca="1">_xll.BDP($B$44,$C$44,CONCATENATE("PX391=", $AS$66), CONCATENATE("PX392=",$AS$67), CONCATENATE("DS004=",$B$59), "Fill=B")</f>
        <v>#NAME?</v>
      </c>
      <c r="AT82" t="str">
        <f>""</f>
        <v/>
      </c>
      <c r="AU82" t="str">
        <f>""</f>
        <v/>
      </c>
      <c r="AV82" t="str">
        <f>""</f>
        <v/>
      </c>
      <c r="AW82" t="str">
        <f>""</f>
        <v/>
      </c>
      <c r="AX82" t="str">
        <f>""</f>
        <v/>
      </c>
      <c r="AY82" t="str">
        <f>""</f>
        <v/>
      </c>
      <c r="AZ82" t="str">
        <f>""</f>
        <v/>
      </c>
      <c r="BA82" t="str">
        <f>""</f>
        <v/>
      </c>
      <c r="BB82" t="str">
        <f>""</f>
        <v/>
      </c>
      <c r="BC82" t="str">
        <f>""</f>
        <v/>
      </c>
      <c r="BD82" t="str">
        <f>""</f>
        <v/>
      </c>
      <c r="BE82" t="str">
        <f>""</f>
        <v/>
      </c>
      <c r="BF82" t="str">
        <f>""</f>
        <v/>
      </c>
      <c r="BG82" t="str">
        <f>""</f>
        <v/>
      </c>
      <c r="BH82" t="str">
        <f>""</f>
        <v/>
      </c>
      <c r="BI82" t="str">
        <f>""</f>
        <v/>
      </c>
      <c r="BJ82" t="str">
        <f>""</f>
        <v/>
      </c>
      <c r="BK82" t="str">
        <f>""</f>
        <v/>
      </c>
      <c r="BL82" t="str">
        <f>""</f>
        <v/>
      </c>
      <c r="BM82" t="str">
        <f>""</f>
        <v/>
      </c>
      <c r="BN82" t="str">
        <f>""</f>
        <v/>
      </c>
      <c r="BO82" t="str">
        <f>""</f>
        <v/>
      </c>
      <c r="BP82" t="str">
        <f>""</f>
        <v/>
      </c>
      <c r="BQ82" t="str">
        <f>""</f>
        <v/>
      </c>
      <c r="BR82" t="str">
        <f>""</f>
        <v/>
      </c>
      <c r="BS82" t="str">
        <f>""</f>
        <v/>
      </c>
      <c r="BT82" t="str">
        <f>""</f>
        <v/>
      </c>
      <c r="BU82" t="str">
        <f>""</f>
        <v/>
      </c>
      <c r="BV82" t="str">
        <f>""</f>
        <v/>
      </c>
      <c r="BW82" t="str">
        <f>""</f>
        <v/>
      </c>
      <c r="BX82" t="str">
        <f>""</f>
        <v/>
      </c>
      <c r="BY82" t="str">
        <f>""</f>
        <v/>
      </c>
      <c r="BZ82" t="str">
        <f>""</f>
        <v/>
      </c>
      <c r="CA82" t="str">
        <f>""</f>
        <v/>
      </c>
      <c r="CB82" t="str">
        <f>""</f>
        <v/>
      </c>
      <c r="CC82" t="str">
        <f>""</f>
        <v/>
      </c>
      <c r="CD82" t="str">
        <f>""</f>
        <v/>
      </c>
      <c r="CE82" t="str">
        <f>""</f>
        <v/>
      </c>
      <c r="CF82" t="str">
        <f>""</f>
        <v/>
      </c>
      <c r="CG82" t="str">
        <f>""</f>
        <v/>
      </c>
    </row>
    <row r="83" spans="1:85" x14ac:dyDescent="0.25">
      <c r="A83" t="str">
        <f>$A$45</f>
        <v xml:space="preserve">    Scania</v>
      </c>
      <c r="B83" t="str">
        <f>$B$45</f>
        <v>BRTRSHSC Index</v>
      </c>
      <c r="C83" t="str">
        <f>$C$45</f>
        <v>PX385</v>
      </c>
      <c r="D83" t="str">
        <f>$D$45</f>
        <v>INTERVAL_SUM</v>
      </c>
      <c r="E83" t="str">
        <f>$E$45</f>
        <v>Dynamic</v>
      </c>
      <c r="F83" t="e">
        <f ca="1">_xll.BDP($B$45,$C$45,CONCATENATE("PX391=", $F$66), CONCATENATE("PX392=",$F$67), CONCATENATE("DS004=",$B$59), "Fill=B")</f>
        <v>#NAME?</v>
      </c>
      <c r="G83" t="e">
        <f ca="1">_xll.BDP($B$45,$C$45,CONCATENATE("PX391=", $G$66), CONCATENATE("PX392=",$G$67), CONCATENATE("DS004=",$B$59), "Fill=B")</f>
        <v>#NAME?</v>
      </c>
      <c r="H83" t="e">
        <f ca="1">_xll.BDP($B$45,$C$45,CONCATENATE("PX391=", $H$66), CONCATENATE("PX392=",$H$67), CONCATENATE("DS004=",$B$59), "Fill=B")</f>
        <v>#NAME?</v>
      </c>
      <c r="I83" t="e">
        <f ca="1">_xll.BDP($B$45,$C$45,CONCATENATE("PX391=", $I$66), CONCATENATE("PX392=",$I$67), CONCATENATE("DS004=",$B$59), "Fill=B")</f>
        <v>#NAME?</v>
      </c>
      <c r="J83" t="e">
        <f ca="1">_xll.BDP($B$45,$C$45,CONCATENATE("PX391=", $J$66), CONCATENATE("PX392=",$J$67), CONCATENATE("DS004=",$B$59), "Fill=B")</f>
        <v>#NAME?</v>
      </c>
      <c r="K83" t="e">
        <f ca="1">_xll.BDP($B$45,$C$45,CONCATENATE("PX391=", $K$66), CONCATENATE("PX392=",$K$67), CONCATENATE("DS004=",$B$59), "Fill=B")</f>
        <v>#NAME?</v>
      </c>
      <c r="L83" t="e">
        <f ca="1">_xll.BDP($B$45,$C$45,CONCATENATE("PX391=", $L$66), CONCATENATE("PX392=",$L$67), CONCATENATE("DS004=",$B$59), "Fill=B")</f>
        <v>#NAME?</v>
      </c>
      <c r="M83" t="e">
        <f ca="1">_xll.BDP($B$45,$C$45,CONCATENATE("PX391=", $M$66), CONCATENATE("PX392=",$M$67), CONCATENATE("DS004=",$B$59), "Fill=B")</f>
        <v>#NAME?</v>
      </c>
      <c r="N83" t="e">
        <f ca="1">_xll.BDP($B$45,$C$45,CONCATENATE("PX391=", $N$66), CONCATENATE("PX392=",$N$67), CONCATENATE("DS004=",$B$59), "Fill=B")</f>
        <v>#NAME?</v>
      </c>
      <c r="O83" t="e">
        <f ca="1">_xll.BDP($B$45,$C$45,CONCATENATE("PX391=", $O$66), CONCATENATE("PX392=",$O$67), CONCATENATE("DS004=",$B$59), "Fill=B")</f>
        <v>#NAME?</v>
      </c>
      <c r="P83" t="e">
        <f ca="1">_xll.BDP($B$45,$C$45,CONCATENATE("PX391=", $P$66), CONCATENATE("PX392=",$P$67), CONCATENATE("DS004=",$B$59), "Fill=B")</f>
        <v>#NAME?</v>
      </c>
      <c r="Q83" t="e">
        <f ca="1">_xll.BDP($B$45,$C$45,CONCATENATE("PX391=", $Q$66), CONCATENATE("PX392=",$Q$67), CONCATENATE("DS004=",$B$59), "Fill=B")</f>
        <v>#NAME?</v>
      </c>
      <c r="R83" t="e">
        <f ca="1">_xll.BDP($B$45,$C$45,CONCATENATE("PX391=", $R$66), CONCATENATE("PX392=",$R$67), CONCATENATE("DS004=",$B$59), "Fill=B")</f>
        <v>#NAME?</v>
      </c>
      <c r="S83" t="e">
        <f ca="1">_xll.BDP($B$45,$C$45,CONCATENATE("PX391=", $S$66), CONCATENATE("PX392=",$S$67), CONCATENATE("DS004=",$B$59), "Fill=B")</f>
        <v>#NAME?</v>
      </c>
      <c r="T83" t="e">
        <f ca="1">_xll.BDP($B$45,$C$45,CONCATENATE("PX391=", $T$66), CONCATENATE("PX392=",$T$67), CONCATENATE("DS004=",$B$59), "Fill=B")</f>
        <v>#NAME?</v>
      </c>
      <c r="U83" t="e">
        <f ca="1">_xll.BDP($B$45,$C$45,CONCATENATE("PX391=", $U$66), CONCATENATE("PX392=",$U$67), CONCATENATE("DS004=",$B$59), "Fill=B")</f>
        <v>#NAME?</v>
      </c>
      <c r="V83" t="e">
        <f ca="1">_xll.BDP($B$45,$C$45,CONCATENATE("PX391=", $V$66), CONCATENATE("PX392=",$V$67), CONCATENATE("DS004=",$B$59), "Fill=B")</f>
        <v>#NAME?</v>
      </c>
      <c r="W83" t="e">
        <f ca="1">_xll.BDP($B$45,$C$45,CONCATENATE("PX391=", $W$66), CONCATENATE("PX392=",$W$67), CONCATENATE("DS004=",$B$59), "Fill=B")</f>
        <v>#NAME?</v>
      </c>
      <c r="X83" t="e">
        <f ca="1">_xll.BDP($B$45,$C$45,CONCATENATE("PX391=", $X$66), CONCATENATE("PX392=",$X$67), CONCATENATE("DS004=",$B$59), "Fill=B")</f>
        <v>#NAME?</v>
      </c>
      <c r="Y83" t="e">
        <f ca="1">_xll.BDP($B$45,$C$45,CONCATENATE("PX391=", $Y$66), CONCATENATE("PX392=",$Y$67), CONCATENATE("DS004=",$B$59), "Fill=B")</f>
        <v>#NAME?</v>
      </c>
      <c r="Z83" t="e">
        <f ca="1">_xll.BDP($B$45,$C$45,CONCATENATE("PX391=", $Z$66), CONCATENATE("PX392=",$Z$67), CONCATENATE("DS004=",$B$59), "Fill=B")</f>
        <v>#NAME?</v>
      </c>
      <c r="AA83" t="e">
        <f ca="1">_xll.BDP($B$45,$C$45,CONCATENATE("PX391=", $AA$66), CONCATENATE("PX392=",$AA$67), CONCATENATE("DS004=",$B$59), "Fill=B")</f>
        <v>#NAME?</v>
      </c>
      <c r="AB83" t="e">
        <f ca="1">_xll.BDP($B$45,$C$45,CONCATENATE("PX391=", $AB$66), CONCATENATE("PX392=",$AB$67), CONCATENATE("DS004=",$B$59), "Fill=B")</f>
        <v>#NAME?</v>
      </c>
      <c r="AC83" t="e">
        <f ca="1">_xll.BDP($B$45,$C$45,CONCATENATE("PX391=", $AC$66), CONCATENATE("PX392=",$AC$67), CONCATENATE("DS004=",$B$59), "Fill=B")</f>
        <v>#NAME?</v>
      </c>
      <c r="AD83" t="e">
        <f ca="1">_xll.BDP($B$45,$C$45,CONCATENATE("PX391=", $AD$66), CONCATENATE("PX392=",$AD$67), CONCATENATE("DS004=",$B$59), "Fill=B")</f>
        <v>#NAME?</v>
      </c>
      <c r="AE83" t="e">
        <f ca="1">_xll.BDP($B$45,$C$45,CONCATENATE("PX391=", $AE$66), CONCATENATE("PX392=",$AE$67), CONCATENATE("DS004=",$B$59), "Fill=B")</f>
        <v>#NAME?</v>
      </c>
      <c r="AF83" t="e">
        <f ca="1">_xll.BDP($B$45,$C$45,CONCATENATE("PX391=", $AF$66), CONCATENATE("PX392=",$AF$67), CONCATENATE("DS004=",$B$59), "Fill=B")</f>
        <v>#NAME?</v>
      </c>
      <c r="AG83" t="e">
        <f ca="1">_xll.BDP($B$45,$C$45,CONCATENATE("PX391=", $AG$66), CONCATENATE("PX392=",$AG$67), CONCATENATE("DS004=",$B$59), "Fill=B")</f>
        <v>#NAME?</v>
      </c>
      <c r="AH83" t="e">
        <f ca="1">_xll.BDP($B$45,$C$45,CONCATENATE("PX391=", $AH$66), CONCATENATE("PX392=",$AH$67), CONCATENATE("DS004=",$B$59), "Fill=B")</f>
        <v>#NAME?</v>
      </c>
      <c r="AI83" t="e">
        <f ca="1">_xll.BDP($B$45,$C$45,CONCATENATE("PX391=", $AI$66), CONCATENATE("PX392=",$AI$67), CONCATENATE("DS004=",$B$59), "Fill=B")</f>
        <v>#NAME?</v>
      </c>
      <c r="AJ83" t="e">
        <f ca="1">_xll.BDP($B$45,$C$45,CONCATENATE("PX391=", $AJ$66), CONCATENATE("PX392=",$AJ$67), CONCATENATE("DS004=",$B$59), "Fill=B")</f>
        <v>#NAME?</v>
      </c>
      <c r="AK83" t="e">
        <f ca="1">_xll.BDP($B$45,$C$45,CONCATENATE("PX391=", $AK$66), CONCATENATE("PX392=",$AK$67), CONCATENATE("DS004=",$B$59), "Fill=B")</f>
        <v>#NAME?</v>
      </c>
      <c r="AL83" t="e">
        <f ca="1">_xll.BDP($B$45,$C$45,CONCATENATE("PX391=", $AL$66), CONCATENATE("PX392=",$AL$67), CONCATENATE("DS004=",$B$59), "Fill=B")</f>
        <v>#NAME?</v>
      </c>
      <c r="AM83" t="e">
        <f ca="1">_xll.BDP($B$45,$C$45,CONCATENATE("PX391=", $AM$66), CONCATENATE("PX392=",$AM$67), CONCATENATE("DS004=",$B$59), "Fill=B")</f>
        <v>#NAME?</v>
      </c>
      <c r="AN83" t="e">
        <f ca="1">_xll.BDP($B$45,$C$45,CONCATENATE("PX391=", $AN$66), CONCATENATE("PX392=",$AN$67), CONCATENATE("DS004=",$B$59), "Fill=B")</f>
        <v>#NAME?</v>
      </c>
      <c r="AO83" t="e">
        <f ca="1">_xll.BDP($B$45,$C$45,CONCATENATE("PX391=", $AO$66), CONCATENATE("PX392=",$AO$67), CONCATENATE("DS004=",$B$59), "Fill=B")</f>
        <v>#NAME?</v>
      </c>
      <c r="AP83" t="e">
        <f ca="1">_xll.BDP($B$45,$C$45,CONCATENATE("PX391=", $AP$66), CONCATENATE("PX392=",$AP$67), CONCATENATE("DS004=",$B$59), "Fill=B")</f>
        <v>#NAME?</v>
      </c>
      <c r="AQ83" t="e">
        <f ca="1">_xll.BDP($B$45,$C$45,CONCATENATE("PX391=", $AQ$66), CONCATENATE("PX392=",$AQ$67), CONCATENATE("DS004=",$B$59), "Fill=B")</f>
        <v>#NAME?</v>
      </c>
      <c r="AR83" t="e">
        <f ca="1">_xll.BDP($B$45,$C$45,CONCATENATE("PX391=", $AR$66), CONCATENATE("PX392=",$AR$67), CONCATENATE("DS004=",$B$59), "Fill=B")</f>
        <v>#NAME?</v>
      </c>
      <c r="AS83" t="e">
        <f ca="1">_xll.BDP($B$45,$C$45,CONCATENATE("PX391=", $AS$66), CONCATENATE("PX392=",$AS$67), CONCATENATE("DS004=",$B$59), "Fill=B")</f>
        <v>#NAME?</v>
      </c>
      <c r="AT83" t="str">
        <f>""</f>
        <v/>
      </c>
      <c r="AU83" t="str">
        <f>""</f>
        <v/>
      </c>
      <c r="AV83" t="str">
        <f>""</f>
        <v/>
      </c>
      <c r="AW83" t="str">
        <f>""</f>
        <v/>
      </c>
      <c r="AX83" t="str">
        <f>""</f>
        <v/>
      </c>
      <c r="AY83" t="str">
        <f>""</f>
        <v/>
      </c>
      <c r="AZ83" t="str">
        <f>""</f>
        <v/>
      </c>
      <c r="BA83" t="str">
        <f>""</f>
        <v/>
      </c>
      <c r="BB83" t="str">
        <f>""</f>
        <v/>
      </c>
      <c r="BC83" t="str">
        <f>""</f>
        <v/>
      </c>
      <c r="BD83" t="str">
        <f>""</f>
        <v/>
      </c>
      <c r="BE83" t="str">
        <f>""</f>
        <v/>
      </c>
      <c r="BF83" t="str">
        <f>""</f>
        <v/>
      </c>
      <c r="BG83" t="str">
        <f>""</f>
        <v/>
      </c>
      <c r="BH83" t="str">
        <f>""</f>
        <v/>
      </c>
      <c r="BI83" t="str">
        <f>""</f>
        <v/>
      </c>
      <c r="BJ83" t="str">
        <f>""</f>
        <v/>
      </c>
      <c r="BK83" t="str">
        <f>""</f>
        <v/>
      </c>
      <c r="BL83" t="str">
        <f>""</f>
        <v/>
      </c>
      <c r="BM83" t="str">
        <f>""</f>
        <v/>
      </c>
      <c r="BN83" t="str">
        <f>""</f>
        <v/>
      </c>
      <c r="BO83" t="str">
        <f>""</f>
        <v/>
      </c>
      <c r="BP83" t="str">
        <f>""</f>
        <v/>
      </c>
      <c r="BQ83" t="str">
        <f>""</f>
        <v/>
      </c>
      <c r="BR83" t="str">
        <f>""</f>
        <v/>
      </c>
      <c r="BS83" t="str">
        <f>""</f>
        <v/>
      </c>
      <c r="BT83" t="str">
        <f>""</f>
        <v/>
      </c>
      <c r="BU83" t="str">
        <f>""</f>
        <v/>
      </c>
      <c r="BV83" t="str">
        <f>""</f>
        <v/>
      </c>
      <c r="BW83" t="str">
        <f>""</f>
        <v/>
      </c>
      <c r="BX83" t="str">
        <f>""</f>
        <v/>
      </c>
      <c r="BY83" t="str">
        <f>""</f>
        <v/>
      </c>
      <c r="BZ83" t="str">
        <f>""</f>
        <v/>
      </c>
      <c r="CA83" t="str">
        <f>""</f>
        <v/>
      </c>
      <c r="CB83" t="str">
        <f>""</f>
        <v/>
      </c>
      <c r="CC83" t="str">
        <f>""</f>
        <v/>
      </c>
      <c r="CD83" t="str">
        <f>""</f>
        <v/>
      </c>
      <c r="CE83" t="str">
        <f>""</f>
        <v/>
      </c>
      <c r="CF83" t="str">
        <f>""</f>
        <v/>
      </c>
      <c r="CG83" t="str">
        <f>""</f>
        <v/>
      </c>
    </row>
    <row r="84" spans="1:85" x14ac:dyDescent="0.25">
      <c r="A84" t="str">
        <f>$A$46</f>
        <v xml:space="preserve">    International</v>
      </c>
      <c r="B84" t="str">
        <f>$B$46</f>
        <v>BRTRSHIN Index</v>
      </c>
      <c r="C84" t="str">
        <f>$C$46</f>
        <v>PX385</v>
      </c>
      <c r="D84" t="str">
        <f>$D$46</f>
        <v>INTERVAL_SUM</v>
      </c>
      <c r="E84" t="str">
        <f>$E$46</f>
        <v>Dynamic</v>
      </c>
      <c r="F84" t="e">
        <f ca="1">_xll.BDP($B$46,$C$46,CONCATENATE("PX391=", $F$66), CONCATENATE("PX392=",$F$67), CONCATENATE("DS004=",$B$59), "Fill=B")</f>
        <v>#NAME?</v>
      </c>
      <c r="G84" t="e">
        <f ca="1">_xll.BDP($B$46,$C$46,CONCATENATE("PX391=", $G$66), CONCATENATE("PX392=",$G$67), CONCATENATE("DS004=",$B$59), "Fill=B")</f>
        <v>#NAME?</v>
      </c>
      <c r="H84" t="e">
        <f ca="1">_xll.BDP($B$46,$C$46,CONCATENATE("PX391=", $H$66), CONCATENATE("PX392=",$H$67), CONCATENATE("DS004=",$B$59), "Fill=B")</f>
        <v>#NAME?</v>
      </c>
      <c r="I84" t="e">
        <f ca="1">_xll.BDP($B$46,$C$46,CONCATENATE("PX391=", $I$66), CONCATENATE("PX392=",$I$67), CONCATENATE("DS004=",$B$59), "Fill=B")</f>
        <v>#NAME?</v>
      </c>
      <c r="J84" t="e">
        <f ca="1">_xll.BDP($B$46,$C$46,CONCATENATE("PX391=", $J$66), CONCATENATE("PX392=",$J$67), CONCATENATE("DS004=",$B$59), "Fill=B")</f>
        <v>#NAME?</v>
      </c>
      <c r="K84" t="e">
        <f ca="1">_xll.BDP($B$46,$C$46,CONCATENATE("PX391=", $K$66), CONCATENATE("PX392=",$K$67), CONCATENATE("DS004=",$B$59), "Fill=B")</f>
        <v>#NAME?</v>
      </c>
      <c r="L84" t="e">
        <f ca="1">_xll.BDP($B$46,$C$46,CONCATENATE("PX391=", $L$66), CONCATENATE("PX392=",$L$67), CONCATENATE("DS004=",$B$59), "Fill=B")</f>
        <v>#NAME?</v>
      </c>
      <c r="M84" t="e">
        <f ca="1">_xll.BDP($B$46,$C$46,CONCATENATE("PX391=", $M$66), CONCATENATE("PX392=",$M$67), CONCATENATE("DS004=",$B$59), "Fill=B")</f>
        <v>#NAME?</v>
      </c>
      <c r="N84" t="e">
        <f ca="1">_xll.BDP($B$46,$C$46,CONCATENATE("PX391=", $N$66), CONCATENATE("PX392=",$N$67), CONCATENATE("DS004=",$B$59), "Fill=B")</f>
        <v>#NAME?</v>
      </c>
      <c r="O84" t="e">
        <f ca="1">_xll.BDP($B$46,$C$46,CONCATENATE("PX391=", $O$66), CONCATENATE("PX392=",$O$67), CONCATENATE("DS004=",$B$59), "Fill=B")</f>
        <v>#NAME?</v>
      </c>
      <c r="P84" t="e">
        <f ca="1">_xll.BDP($B$46,$C$46,CONCATENATE("PX391=", $P$66), CONCATENATE("PX392=",$P$67), CONCATENATE("DS004=",$B$59), "Fill=B")</f>
        <v>#NAME?</v>
      </c>
      <c r="Q84" t="e">
        <f ca="1">_xll.BDP($B$46,$C$46,CONCATENATE("PX391=", $Q$66), CONCATENATE("PX392=",$Q$67), CONCATENATE("DS004=",$B$59), "Fill=B")</f>
        <v>#NAME?</v>
      </c>
      <c r="R84" t="e">
        <f ca="1">_xll.BDP($B$46,$C$46,CONCATENATE("PX391=", $R$66), CONCATENATE("PX392=",$R$67), CONCATENATE("DS004=",$B$59), "Fill=B")</f>
        <v>#NAME?</v>
      </c>
      <c r="S84" t="e">
        <f ca="1">_xll.BDP($B$46,$C$46,CONCATENATE("PX391=", $S$66), CONCATENATE("PX392=",$S$67), CONCATENATE("DS004=",$B$59), "Fill=B")</f>
        <v>#NAME?</v>
      </c>
      <c r="T84" t="e">
        <f ca="1">_xll.BDP($B$46,$C$46,CONCATENATE("PX391=", $T$66), CONCATENATE("PX392=",$T$67), CONCATENATE("DS004=",$B$59), "Fill=B")</f>
        <v>#NAME?</v>
      </c>
      <c r="U84" t="e">
        <f ca="1">_xll.BDP($B$46,$C$46,CONCATENATE("PX391=", $U$66), CONCATENATE("PX392=",$U$67), CONCATENATE("DS004=",$B$59), "Fill=B")</f>
        <v>#NAME?</v>
      </c>
      <c r="V84" t="e">
        <f ca="1">_xll.BDP($B$46,$C$46,CONCATENATE("PX391=", $V$66), CONCATENATE("PX392=",$V$67), CONCATENATE("DS004=",$B$59), "Fill=B")</f>
        <v>#NAME?</v>
      </c>
      <c r="W84" t="e">
        <f ca="1">_xll.BDP($B$46,$C$46,CONCATENATE("PX391=", $W$66), CONCATENATE("PX392=",$W$67), CONCATENATE("DS004=",$B$59), "Fill=B")</f>
        <v>#NAME?</v>
      </c>
      <c r="X84" t="e">
        <f ca="1">_xll.BDP($B$46,$C$46,CONCATENATE("PX391=", $X$66), CONCATENATE("PX392=",$X$67), CONCATENATE("DS004=",$B$59), "Fill=B")</f>
        <v>#NAME?</v>
      </c>
      <c r="Y84" t="e">
        <f ca="1">_xll.BDP($B$46,$C$46,CONCATENATE("PX391=", $Y$66), CONCATENATE("PX392=",$Y$67), CONCATENATE("DS004=",$B$59), "Fill=B")</f>
        <v>#NAME?</v>
      </c>
      <c r="Z84" t="e">
        <f ca="1">_xll.BDP($B$46,$C$46,CONCATENATE("PX391=", $Z$66), CONCATENATE("PX392=",$Z$67), CONCATENATE("DS004=",$B$59), "Fill=B")</f>
        <v>#NAME?</v>
      </c>
      <c r="AA84" t="e">
        <f ca="1">_xll.BDP($B$46,$C$46,CONCATENATE("PX391=", $AA$66), CONCATENATE("PX392=",$AA$67), CONCATENATE("DS004=",$B$59), "Fill=B")</f>
        <v>#NAME?</v>
      </c>
      <c r="AB84" t="e">
        <f ca="1">_xll.BDP($B$46,$C$46,CONCATENATE("PX391=", $AB$66), CONCATENATE("PX392=",$AB$67), CONCATENATE("DS004=",$B$59), "Fill=B")</f>
        <v>#NAME?</v>
      </c>
      <c r="AC84" t="e">
        <f ca="1">_xll.BDP($B$46,$C$46,CONCATENATE("PX391=", $AC$66), CONCATENATE("PX392=",$AC$67), CONCATENATE("DS004=",$B$59), "Fill=B")</f>
        <v>#NAME?</v>
      </c>
      <c r="AD84" t="e">
        <f ca="1">_xll.BDP($B$46,$C$46,CONCATENATE("PX391=", $AD$66), CONCATENATE("PX392=",$AD$67), CONCATENATE("DS004=",$B$59), "Fill=B")</f>
        <v>#NAME?</v>
      </c>
      <c r="AE84" t="e">
        <f ca="1">_xll.BDP($B$46,$C$46,CONCATENATE("PX391=", $AE$66), CONCATENATE("PX392=",$AE$67), CONCATENATE("DS004=",$B$59), "Fill=B")</f>
        <v>#NAME?</v>
      </c>
      <c r="AF84" t="e">
        <f ca="1">_xll.BDP($B$46,$C$46,CONCATENATE("PX391=", $AF$66), CONCATENATE("PX392=",$AF$67), CONCATENATE("DS004=",$B$59), "Fill=B")</f>
        <v>#NAME?</v>
      </c>
      <c r="AG84" t="e">
        <f ca="1">_xll.BDP($B$46,$C$46,CONCATENATE("PX391=", $AG$66), CONCATENATE("PX392=",$AG$67), CONCATENATE("DS004=",$B$59), "Fill=B")</f>
        <v>#NAME?</v>
      </c>
      <c r="AH84" t="e">
        <f ca="1">_xll.BDP($B$46,$C$46,CONCATENATE("PX391=", $AH$66), CONCATENATE("PX392=",$AH$67), CONCATENATE("DS004=",$B$59), "Fill=B")</f>
        <v>#NAME?</v>
      </c>
      <c r="AI84" t="e">
        <f ca="1">_xll.BDP($B$46,$C$46,CONCATENATE("PX391=", $AI$66), CONCATENATE("PX392=",$AI$67), CONCATENATE("DS004=",$B$59), "Fill=B")</f>
        <v>#NAME?</v>
      </c>
      <c r="AJ84" t="e">
        <f ca="1">_xll.BDP($B$46,$C$46,CONCATENATE("PX391=", $AJ$66), CONCATENATE("PX392=",$AJ$67), CONCATENATE("DS004=",$B$59), "Fill=B")</f>
        <v>#NAME?</v>
      </c>
      <c r="AK84" t="e">
        <f ca="1">_xll.BDP($B$46,$C$46,CONCATENATE("PX391=", $AK$66), CONCATENATE("PX392=",$AK$67), CONCATENATE("DS004=",$B$59), "Fill=B")</f>
        <v>#NAME?</v>
      </c>
      <c r="AL84" t="e">
        <f ca="1">_xll.BDP($B$46,$C$46,CONCATENATE("PX391=", $AL$66), CONCATENATE("PX392=",$AL$67), CONCATENATE("DS004=",$B$59), "Fill=B")</f>
        <v>#NAME?</v>
      </c>
      <c r="AM84" t="e">
        <f ca="1">_xll.BDP($B$46,$C$46,CONCATENATE("PX391=", $AM$66), CONCATENATE("PX392=",$AM$67), CONCATENATE("DS004=",$B$59), "Fill=B")</f>
        <v>#NAME?</v>
      </c>
      <c r="AN84" t="e">
        <f ca="1">_xll.BDP($B$46,$C$46,CONCATENATE("PX391=", $AN$66), CONCATENATE("PX392=",$AN$67), CONCATENATE("DS004=",$B$59), "Fill=B")</f>
        <v>#NAME?</v>
      </c>
      <c r="AO84" t="e">
        <f ca="1">_xll.BDP($B$46,$C$46,CONCATENATE("PX391=", $AO$66), CONCATENATE("PX392=",$AO$67), CONCATENATE("DS004=",$B$59), "Fill=B")</f>
        <v>#NAME?</v>
      </c>
      <c r="AP84" t="e">
        <f ca="1">_xll.BDP($B$46,$C$46,CONCATENATE("PX391=", $AP$66), CONCATENATE("PX392=",$AP$67), CONCATENATE("DS004=",$B$59), "Fill=B")</f>
        <v>#NAME?</v>
      </c>
      <c r="AQ84" t="e">
        <f ca="1">_xll.BDP($B$46,$C$46,CONCATENATE("PX391=", $AQ$66), CONCATENATE("PX392=",$AQ$67), CONCATENATE("DS004=",$B$59), "Fill=B")</f>
        <v>#NAME?</v>
      </c>
      <c r="AR84" t="e">
        <f ca="1">_xll.BDP($B$46,$C$46,CONCATENATE("PX391=", $AR$66), CONCATENATE("PX392=",$AR$67), CONCATENATE("DS004=",$B$59), "Fill=B")</f>
        <v>#NAME?</v>
      </c>
      <c r="AS84" t="e">
        <f ca="1">_xll.BDP($B$46,$C$46,CONCATENATE("PX391=", $AS$66), CONCATENATE("PX392=",$AS$67), CONCATENATE("DS004=",$B$59), "Fill=B")</f>
        <v>#NAME?</v>
      </c>
      <c r="AT84" t="str">
        <f>""</f>
        <v/>
      </c>
      <c r="AU84" t="str">
        <f>""</f>
        <v/>
      </c>
      <c r="AV84" t="str">
        <f>""</f>
        <v/>
      </c>
      <c r="AW84" t="str">
        <f>""</f>
        <v/>
      </c>
      <c r="AX84" t="str">
        <f>""</f>
        <v/>
      </c>
      <c r="AY84" t="str">
        <f>""</f>
        <v/>
      </c>
      <c r="AZ84" t="str">
        <f>""</f>
        <v/>
      </c>
      <c r="BA84" t="str">
        <f>""</f>
        <v/>
      </c>
      <c r="BB84" t="str">
        <f>""</f>
        <v/>
      </c>
      <c r="BC84" t="str">
        <f>""</f>
        <v/>
      </c>
      <c r="BD84" t="str">
        <f>""</f>
        <v/>
      </c>
      <c r="BE84" t="str">
        <f>""</f>
        <v/>
      </c>
      <c r="BF84" t="str">
        <f>""</f>
        <v/>
      </c>
      <c r="BG84" t="str">
        <f>""</f>
        <v/>
      </c>
      <c r="BH84" t="str">
        <f>""</f>
        <v/>
      </c>
      <c r="BI84" t="str">
        <f>""</f>
        <v/>
      </c>
      <c r="BJ84" t="str">
        <f>""</f>
        <v/>
      </c>
      <c r="BK84" t="str">
        <f>""</f>
        <v/>
      </c>
      <c r="BL84" t="str">
        <f>""</f>
        <v/>
      </c>
      <c r="BM84" t="str">
        <f>""</f>
        <v/>
      </c>
      <c r="BN84" t="str">
        <f>""</f>
        <v/>
      </c>
      <c r="BO84" t="str">
        <f>""</f>
        <v/>
      </c>
      <c r="BP84" t="str">
        <f>""</f>
        <v/>
      </c>
      <c r="BQ84" t="str">
        <f>""</f>
        <v/>
      </c>
      <c r="BR84" t="str">
        <f>""</f>
        <v/>
      </c>
      <c r="BS84" t="str">
        <f>""</f>
        <v/>
      </c>
      <c r="BT84" t="str">
        <f>""</f>
        <v/>
      </c>
      <c r="BU84" t="str">
        <f>""</f>
        <v/>
      </c>
      <c r="BV84" t="str">
        <f>""</f>
        <v/>
      </c>
      <c r="BW84" t="str">
        <f>""</f>
        <v/>
      </c>
      <c r="BX84" t="str">
        <f>""</f>
        <v/>
      </c>
      <c r="BY84" t="str">
        <f>""</f>
        <v/>
      </c>
      <c r="BZ84" t="str">
        <f>""</f>
        <v/>
      </c>
      <c r="CA84" t="str">
        <f>""</f>
        <v/>
      </c>
      <c r="CB84" t="str">
        <f>""</f>
        <v/>
      </c>
      <c r="CC84" t="str">
        <f>""</f>
        <v/>
      </c>
      <c r="CD84" t="str">
        <f>""</f>
        <v/>
      </c>
      <c r="CE84" t="str">
        <f>""</f>
        <v/>
      </c>
      <c r="CF84" t="str">
        <f>""</f>
        <v/>
      </c>
      <c r="CG84" t="str">
        <f>""</f>
        <v/>
      </c>
    </row>
    <row r="85" spans="1:85" x14ac:dyDescent="0.25">
      <c r="A85" t="str">
        <f>$A$47</f>
        <v xml:space="preserve">    Agrale</v>
      </c>
      <c r="B85" t="str">
        <f>$B$47</f>
        <v>BRTRSHAG Index</v>
      </c>
      <c r="C85" t="str">
        <f>$C$47</f>
        <v>PX385</v>
      </c>
      <c r="D85" t="str">
        <f>$D$47</f>
        <v>INTERVAL_SUM</v>
      </c>
      <c r="E85" t="str">
        <f>$E$47</f>
        <v>Dynamic</v>
      </c>
      <c r="F85" t="e">
        <f ca="1">_xll.BDP($B$47,$C$47,CONCATENATE("PX391=", $F$66), CONCATENATE("PX392=",$F$67), CONCATENATE("DS004=",$B$59), "Fill=B")</f>
        <v>#NAME?</v>
      </c>
      <c r="G85" t="e">
        <f ca="1">_xll.BDP($B$47,$C$47,CONCATENATE("PX391=", $G$66), CONCATENATE("PX392=",$G$67), CONCATENATE("DS004=",$B$59), "Fill=B")</f>
        <v>#NAME?</v>
      </c>
      <c r="H85" t="e">
        <f ca="1">_xll.BDP($B$47,$C$47,CONCATENATE("PX391=", $H$66), CONCATENATE("PX392=",$H$67), CONCATENATE("DS004=",$B$59), "Fill=B")</f>
        <v>#NAME?</v>
      </c>
      <c r="I85" t="e">
        <f ca="1">_xll.BDP($B$47,$C$47,CONCATENATE("PX391=", $I$66), CONCATENATE("PX392=",$I$67), CONCATENATE("DS004=",$B$59), "Fill=B")</f>
        <v>#NAME?</v>
      </c>
      <c r="J85" t="e">
        <f ca="1">_xll.BDP($B$47,$C$47,CONCATENATE("PX391=", $J$66), CONCATENATE("PX392=",$J$67), CONCATENATE("DS004=",$B$59), "Fill=B")</f>
        <v>#NAME?</v>
      </c>
      <c r="K85" t="e">
        <f ca="1">_xll.BDP($B$47,$C$47,CONCATENATE("PX391=", $K$66), CONCATENATE("PX392=",$K$67), CONCATENATE("DS004=",$B$59), "Fill=B")</f>
        <v>#NAME?</v>
      </c>
      <c r="L85" t="e">
        <f ca="1">_xll.BDP($B$47,$C$47,CONCATENATE("PX391=", $L$66), CONCATENATE("PX392=",$L$67), CONCATENATE("DS004=",$B$59), "Fill=B")</f>
        <v>#NAME?</v>
      </c>
      <c r="M85" t="e">
        <f ca="1">_xll.BDP($B$47,$C$47,CONCATENATE("PX391=", $M$66), CONCATENATE("PX392=",$M$67), CONCATENATE("DS004=",$B$59), "Fill=B")</f>
        <v>#NAME?</v>
      </c>
      <c r="N85" t="e">
        <f ca="1">_xll.BDP($B$47,$C$47,CONCATENATE("PX391=", $N$66), CONCATENATE("PX392=",$N$67), CONCATENATE("DS004=",$B$59), "Fill=B")</f>
        <v>#NAME?</v>
      </c>
      <c r="O85" t="e">
        <f ca="1">_xll.BDP($B$47,$C$47,CONCATENATE("PX391=", $O$66), CONCATENATE("PX392=",$O$67), CONCATENATE("DS004=",$B$59), "Fill=B")</f>
        <v>#NAME?</v>
      </c>
      <c r="P85" t="e">
        <f ca="1">_xll.BDP($B$47,$C$47,CONCATENATE("PX391=", $P$66), CONCATENATE("PX392=",$P$67), CONCATENATE("DS004=",$B$59), "Fill=B")</f>
        <v>#NAME?</v>
      </c>
      <c r="Q85" t="e">
        <f ca="1">_xll.BDP($B$47,$C$47,CONCATENATE("PX391=", $Q$66), CONCATENATE("PX392=",$Q$67), CONCATENATE("DS004=",$B$59), "Fill=B")</f>
        <v>#NAME?</v>
      </c>
      <c r="R85" t="e">
        <f ca="1">_xll.BDP($B$47,$C$47,CONCATENATE("PX391=", $R$66), CONCATENATE("PX392=",$R$67), CONCATENATE("DS004=",$B$59), "Fill=B")</f>
        <v>#NAME?</v>
      </c>
      <c r="S85" t="e">
        <f ca="1">_xll.BDP($B$47,$C$47,CONCATENATE("PX391=", $S$66), CONCATENATE("PX392=",$S$67), CONCATENATE("DS004=",$B$59), "Fill=B")</f>
        <v>#NAME?</v>
      </c>
      <c r="T85" t="e">
        <f ca="1">_xll.BDP($B$47,$C$47,CONCATENATE("PX391=", $T$66), CONCATENATE("PX392=",$T$67), CONCATENATE("DS004=",$B$59), "Fill=B")</f>
        <v>#NAME?</v>
      </c>
      <c r="U85" t="e">
        <f ca="1">_xll.BDP($B$47,$C$47,CONCATENATE("PX391=", $U$66), CONCATENATE("PX392=",$U$67), CONCATENATE("DS004=",$B$59), "Fill=B")</f>
        <v>#NAME?</v>
      </c>
      <c r="V85" t="e">
        <f ca="1">_xll.BDP($B$47,$C$47,CONCATENATE("PX391=", $V$66), CONCATENATE("PX392=",$V$67), CONCATENATE("DS004=",$B$59), "Fill=B")</f>
        <v>#NAME?</v>
      </c>
      <c r="W85" t="e">
        <f ca="1">_xll.BDP($B$47,$C$47,CONCATENATE("PX391=", $W$66), CONCATENATE("PX392=",$W$67), CONCATENATE("DS004=",$B$59), "Fill=B")</f>
        <v>#NAME?</v>
      </c>
      <c r="X85" t="e">
        <f ca="1">_xll.BDP($B$47,$C$47,CONCATENATE("PX391=", $X$66), CONCATENATE("PX392=",$X$67), CONCATENATE("DS004=",$B$59), "Fill=B")</f>
        <v>#NAME?</v>
      </c>
      <c r="Y85" t="e">
        <f ca="1">_xll.BDP($B$47,$C$47,CONCATENATE("PX391=", $Y$66), CONCATENATE("PX392=",$Y$67), CONCATENATE("DS004=",$B$59), "Fill=B")</f>
        <v>#NAME?</v>
      </c>
      <c r="Z85" t="e">
        <f ca="1">_xll.BDP($B$47,$C$47,CONCATENATE("PX391=", $Z$66), CONCATENATE("PX392=",$Z$67), CONCATENATE("DS004=",$B$59), "Fill=B")</f>
        <v>#NAME?</v>
      </c>
      <c r="AA85" t="e">
        <f ca="1">_xll.BDP($B$47,$C$47,CONCATENATE("PX391=", $AA$66), CONCATENATE("PX392=",$AA$67), CONCATENATE("DS004=",$B$59), "Fill=B")</f>
        <v>#NAME?</v>
      </c>
      <c r="AB85" t="e">
        <f ca="1">_xll.BDP($B$47,$C$47,CONCATENATE("PX391=", $AB$66), CONCATENATE("PX392=",$AB$67), CONCATENATE("DS004=",$B$59), "Fill=B")</f>
        <v>#NAME?</v>
      </c>
      <c r="AC85" t="e">
        <f ca="1">_xll.BDP($B$47,$C$47,CONCATENATE("PX391=", $AC$66), CONCATENATE("PX392=",$AC$67), CONCATENATE("DS004=",$B$59), "Fill=B")</f>
        <v>#NAME?</v>
      </c>
      <c r="AD85" t="e">
        <f ca="1">_xll.BDP($B$47,$C$47,CONCATENATE("PX391=", $AD$66), CONCATENATE("PX392=",$AD$67), CONCATENATE("DS004=",$B$59), "Fill=B")</f>
        <v>#NAME?</v>
      </c>
      <c r="AE85" t="e">
        <f ca="1">_xll.BDP($B$47,$C$47,CONCATENATE("PX391=", $AE$66), CONCATENATE("PX392=",$AE$67), CONCATENATE("DS004=",$B$59), "Fill=B")</f>
        <v>#NAME?</v>
      </c>
      <c r="AF85" t="e">
        <f ca="1">_xll.BDP($B$47,$C$47,CONCATENATE("PX391=", $AF$66), CONCATENATE("PX392=",$AF$67), CONCATENATE("DS004=",$B$59), "Fill=B")</f>
        <v>#NAME?</v>
      </c>
      <c r="AG85" t="e">
        <f ca="1">_xll.BDP($B$47,$C$47,CONCATENATE("PX391=", $AG$66), CONCATENATE("PX392=",$AG$67), CONCATENATE("DS004=",$B$59), "Fill=B")</f>
        <v>#NAME?</v>
      </c>
      <c r="AH85" t="e">
        <f ca="1">_xll.BDP($B$47,$C$47,CONCATENATE("PX391=", $AH$66), CONCATENATE("PX392=",$AH$67), CONCATENATE("DS004=",$B$59), "Fill=B")</f>
        <v>#NAME?</v>
      </c>
      <c r="AI85" t="e">
        <f ca="1">_xll.BDP($B$47,$C$47,CONCATENATE("PX391=", $AI$66), CONCATENATE("PX392=",$AI$67), CONCATENATE("DS004=",$B$59), "Fill=B")</f>
        <v>#NAME?</v>
      </c>
      <c r="AJ85" t="e">
        <f ca="1">_xll.BDP($B$47,$C$47,CONCATENATE("PX391=", $AJ$66), CONCATENATE("PX392=",$AJ$67), CONCATENATE("DS004=",$B$59), "Fill=B")</f>
        <v>#NAME?</v>
      </c>
      <c r="AK85" t="e">
        <f ca="1">_xll.BDP($B$47,$C$47,CONCATENATE("PX391=", $AK$66), CONCATENATE("PX392=",$AK$67), CONCATENATE("DS004=",$B$59), "Fill=B")</f>
        <v>#NAME?</v>
      </c>
      <c r="AL85" t="e">
        <f ca="1">_xll.BDP($B$47,$C$47,CONCATENATE("PX391=", $AL$66), CONCATENATE("PX392=",$AL$67), CONCATENATE("DS004=",$B$59), "Fill=B")</f>
        <v>#NAME?</v>
      </c>
      <c r="AM85" t="e">
        <f ca="1">_xll.BDP($B$47,$C$47,CONCATENATE("PX391=", $AM$66), CONCATENATE("PX392=",$AM$67), CONCATENATE("DS004=",$B$59), "Fill=B")</f>
        <v>#NAME?</v>
      </c>
      <c r="AN85" t="e">
        <f ca="1">_xll.BDP($B$47,$C$47,CONCATENATE("PX391=", $AN$66), CONCATENATE("PX392=",$AN$67), CONCATENATE("DS004=",$B$59), "Fill=B")</f>
        <v>#NAME?</v>
      </c>
      <c r="AO85" t="e">
        <f ca="1">_xll.BDP($B$47,$C$47,CONCATENATE("PX391=", $AO$66), CONCATENATE("PX392=",$AO$67), CONCATENATE("DS004=",$B$59), "Fill=B")</f>
        <v>#NAME?</v>
      </c>
      <c r="AP85" t="e">
        <f ca="1">_xll.BDP($B$47,$C$47,CONCATENATE("PX391=", $AP$66), CONCATENATE("PX392=",$AP$67), CONCATENATE("DS004=",$B$59), "Fill=B")</f>
        <v>#NAME?</v>
      </c>
      <c r="AQ85" t="e">
        <f ca="1">_xll.BDP($B$47,$C$47,CONCATENATE("PX391=", $AQ$66), CONCATENATE("PX392=",$AQ$67), CONCATENATE("DS004=",$B$59), "Fill=B")</f>
        <v>#NAME?</v>
      </c>
      <c r="AR85" t="e">
        <f ca="1">_xll.BDP($B$47,$C$47,CONCATENATE("PX391=", $AR$66), CONCATENATE("PX392=",$AR$67), CONCATENATE("DS004=",$B$59), "Fill=B")</f>
        <v>#NAME?</v>
      </c>
      <c r="AS85" t="e">
        <f ca="1">_xll.BDP($B$47,$C$47,CONCATENATE("PX391=", $AS$66), CONCATENATE("PX392=",$AS$67), CONCATENATE("DS004=",$B$59), "Fill=B")</f>
        <v>#NAME?</v>
      </c>
      <c r="AT85" t="str">
        <f>""</f>
        <v/>
      </c>
      <c r="AU85" t="str">
        <f>""</f>
        <v/>
      </c>
      <c r="AV85" t="str">
        <f>""</f>
        <v/>
      </c>
      <c r="AW85" t="str">
        <f>""</f>
        <v/>
      </c>
      <c r="AX85" t="str">
        <f>""</f>
        <v/>
      </c>
      <c r="AY85" t="str">
        <f>""</f>
        <v/>
      </c>
      <c r="AZ85" t="str">
        <f>""</f>
        <v/>
      </c>
      <c r="BA85" t="str">
        <f>""</f>
        <v/>
      </c>
      <c r="BB85" t="str">
        <f>""</f>
        <v/>
      </c>
      <c r="BC85" t="str">
        <f>""</f>
        <v/>
      </c>
      <c r="BD85" t="str">
        <f>""</f>
        <v/>
      </c>
      <c r="BE85" t="str">
        <f>""</f>
        <v/>
      </c>
      <c r="BF85" t="str">
        <f>""</f>
        <v/>
      </c>
      <c r="BG85" t="str">
        <f>""</f>
        <v/>
      </c>
      <c r="BH85" t="str">
        <f>""</f>
        <v/>
      </c>
      <c r="BI85" t="str">
        <f>""</f>
        <v/>
      </c>
      <c r="BJ85" t="str">
        <f>""</f>
        <v/>
      </c>
      <c r="BK85" t="str">
        <f>""</f>
        <v/>
      </c>
      <c r="BL85" t="str">
        <f>""</f>
        <v/>
      </c>
      <c r="BM85" t="str">
        <f>""</f>
        <v/>
      </c>
      <c r="BN85" t="str">
        <f>""</f>
        <v/>
      </c>
      <c r="BO85" t="str">
        <f>""</f>
        <v/>
      </c>
      <c r="BP85" t="str">
        <f>""</f>
        <v/>
      </c>
      <c r="BQ85" t="str">
        <f>""</f>
        <v/>
      </c>
      <c r="BR85" t="str">
        <f>""</f>
        <v/>
      </c>
      <c r="BS85" t="str">
        <f>""</f>
        <v/>
      </c>
      <c r="BT85" t="str">
        <f>""</f>
        <v/>
      </c>
      <c r="BU85" t="str">
        <f>""</f>
        <v/>
      </c>
      <c r="BV85" t="str">
        <f>""</f>
        <v/>
      </c>
      <c r="BW85" t="str">
        <f>""</f>
        <v/>
      </c>
      <c r="BX85" t="str">
        <f>""</f>
        <v/>
      </c>
      <c r="BY85" t="str">
        <f>""</f>
        <v/>
      </c>
      <c r="BZ85" t="str">
        <f>""</f>
        <v/>
      </c>
      <c r="CA85" t="str">
        <f>""</f>
        <v/>
      </c>
      <c r="CB85" t="str">
        <f>""</f>
        <v/>
      </c>
      <c r="CC85" t="str">
        <f>""</f>
        <v/>
      </c>
      <c r="CD85" t="str">
        <f>""</f>
        <v/>
      </c>
      <c r="CE85" t="str">
        <f>""</f>
        <v/>
      </c>
      <c r="CF85" t="str">
        <f>""</f>
        <v/>
      </c>
      <c r="CG85" t="str">
        <f>""</f>
        <v/>
      </c>
    </row>
    <row r="86" spans="1:85" x14ac:dyDescent="0.25">
      <c r="A86" t="str">
        <f>""</f>
        <v/>
      </c>
      <c r="B86" t="str">
        <f>""</f>
        <v/>
      </c>
      <c r="C86" t="str">
        <f>""</f>
        <v/>
      </c>
      <c r="D86" t="str">
        <f>""</f>
        <v/>
      </c>
      <c r="E86" t="str">
        <f>""</f>
        <v/>
      </c>
      <c r="AT86" t="str">
        <f>""</f>
        <v/>
      </c>
      <c r="AU86" t="str">
        <f>""</f>
        <v/>
      </c>
      <c r="AV86" t="str">
        <f>""</f>
        <v/>
      </c>
      <c r="AW86" t="str">
        <f>""</f>
        <v/>
      </c>
      <c r="AX86" t="str">
        <f>""</f>
        <v/>
      </c>
      <c r="AY86" t="str">
        <f>""</f>
        <v/>
      </c>
      <c r="AZ86" t="str">
        <f>""</f>
        <v/>
      </c>
      <c r="BA86" t="str">
        <f>""</f>
        <v/>
      </c>
      <c r="BB86" t="str">
        <f>""</f>
        <v/>
      </c>
      <c r="BC86" t="str">
        <f>""</f>
        <v/>
      </c>
      <c r="BD86" t="str">
        <f>""</f>
        <v/>
      </c>
      <c r="BE86" t="str">
        <f>""</f>
        <v/>
      </c>
      <c r="BF86" t="str">
        <f>""</f>
        <v/>
      </c>
      <c r="BG86" t="str">
        <f>""</f>
        <v/>
      </c>
      <c r="BH86" t="str">
        <f>""</f>
        <v/>
      </c>
      <c r="BI86" t="str">
        <f>""</f>
        <v/>
      </c>
      <c r="BJ86" t="str">
        <f>""</f>
        <v/>
      </c>
      <c r="BK86" t="str">
        <f>""</f>
        <v/>
      </c>
      <c r="BL86" t="str">
        <f>""</f>
        <v/>
      </c>
      <c r="BM86" t="str">
        <f>""</f>
        <v/>
      </c>
      <c r="BN86" t="str">
        <f>""</f>
        <v/>
      </c>
      <c r="BO86" t="str">
        <f>""</f>
        <v/>
      </c>
      <c r="BP86" t="str">
        <f>""</f>
        <v/>
      </c>
      <c r="BQ86" t="str">
        <f>""</f>
        <v/>
      </c>
      <c r="BR86" t="str">
        <f>""</f>
        <v/>
      </c>
      <c r="BS86" t="str">
        <f>""</f>
        <v/>
      </c>
      <c r="BT86" t="str">
        <f>""</f>
        <v/>
      </c>
      <c r="BU86" t="str">
        <f>""</f>
        <v/>
      </c>
      <c r="BV86" t="str">
        <f>""</f>
        <v/>
      </c>
      <c r="BW86" t="str">
        <f>""</f>
        <v/>
      </c>
      <c r="BX86" t="str">
        <f>""</f>
        <v/>
      </c>
      <c r="BY86" t="str">
        <f>""</f>
        <v/>
      </c>
      <c r="BZ86" t="str">
        <f>""</f>
        <v/>
      </c>
      <c r="CA86" t="str">
        <f>""</f>
        <v/>
      </c>
      <c r="CB86" t="str">
        <f>""</f>
        <v/>
      </c>
      <c r="CC86" t="str">
        <f>""</f>
        <v/>
      </c>
      <c r="CD86" t="str">
        <f>""</f>
        <v/>
      </c>
      <c r="CE86" t="str">
        <f>""</f>
        <v/>
      </c>
      <c r="CF86" t="str">
        <f>""</f>
        <v/>
      </c>
      <c r="CG86" t="str">
        <f>""</f>
        <v/>
      </c>
    </row>
    <row r="87" spans="1:85" x14ac:dyDescent="0.25">
      <c r="A87" t="str">
        <f>""</f>
        <v/>
      </c>
      <c r="B87" t="str">
        <f>""</f>
        <v/>
      </c>
      <c r="C87" t="str">
        <f>""</f>
        <v/>
      </c>
      <c r="D87" t="str">
        <f>""</f>
        <v/>
      </c>
      <c r="E87" t="str">
        <f>""</f>
        <v/>
      </c>
      <c r="AT87" t="str">
        <f>""</f>
        <v/>
      </c>
      <c r="AU87" t="str">
        <f>""</f>
        <v/>
      </c>
      <c r="AV87" t="str">
        <f>""</f>
        <v/>
      </c>
      <c r="AW87" t="str">
        <f>""</f>
        <v/>
      </c>
      <c r="AX87" t="str">
        <f>""</f>
        <v/>
      </c>
      <c r="AY87" t="str">
        <f>""</f>
        <v/>
      </c>
      <c r="AZ87" t="str">
        <f>""</f>
        <v/>
      </c>
      <c r="BA87" t="str">
        <f>""</f>
        <v/>
      </c>
      <c r="BB87" t="str">
        <f>""</f>
        <v/>
      </c>
      <c r="BC87" t="str">
        <f>""</f>
        <v/>
      </c>
      <c r="BD87" t="str">
        <f>""</f>
        <v/>
      </c>
      <c r="BE87" t="str">
        <f>""</f>
        <v/>
      </c>
      <c r="BF87" t="str">
        <f>""</f>
        <v/>
      </c>
      <c r="BG87" t="str">
        <f>""</f>
        <v/>
      </c>
      <c r="BH87" t="str">
        <f>""</f>
        <v/>
      </c>
      <c r="BI87" t="str">
        <f>""</f>
        <v/>
      </c>
      <c r="BJ87" t="str">
        <f>""</f>
        <v/>
      </c>
      <c r="BK87" t="str">
        <f>""</f>
        <v/>
      </c>
      <c r="BL87" t="str">
        <f>""</f>
        <v/>
      </c>
      <c r="BM87" t="str">
        <f>""</f>
        <v/>
      </c>
      <c r="BN87" t="str">
        <f>""</f>
        <v/>
      </c>
      <c r="BO87" t="str">
        <f>""</f>
        <v/>
      </c>
      <c r="BP87" t="str">
        <f>""</f>
        <v/>
      </c>
      <c r="BQ87" t="str">
        <f>""</f>
        <v/>
      </c>
      <c r="BR87" t="str">
        <f>""</f>
        <v/>
      </c>
      <c r="BS87" t="str">
        <f>""</f>
        <v/>
      </c>
      <c r="BT87" t="str">
        <f>""</f>
        <v/>
      </c>
      <c r="BU87" t="str">
        <f>""</f>
        <v/>
      </c>
      <c r="BV87" t="str">
        <f>""</f>
        <v/>
      </c>
      <c r="BW87" t="str">
        <f>""</f>
        <v/>
      </c>
      <c r="BX87" t="str">
        <f>""</f>
        <v/>
      </c>
      <c r="BY87" t="str">
        <f>""</f>
        <v/>
      </c>
      <c r="BZ87" t="str">
        <f>""</f>
        <v/>
      </c>
      <c r="CA87" t="str">
        <f>""</f>
        <v/>
      </c>
      <c r="CB87" t="str">
        <f>""</f>
        <v/>
      </c>
      <c r="CC87" t="str">
        <f>""</f>
        <v/>
      </c>
      <c r="CD87" t="str">
        <f>""</f>
        <v/>
      </c>
      <c r="CE87" t="str">
        <f>""</f>
        <v/>
      </c>
      <c r="CF87" t="str">
        <f>""</f>
        <v/>
      </c>
      <c r="CG87" t="str">
        <f>""</f>
        <v/>
      </c>
    </row>
    <row r="88" spans="1:85" x14ac:dyDescent="0.25">
      <c r="A88" t="str">
        <f>""</f>
        <v/>
      </c>
      <c r="B88" t="str">
        <f>""</f>
        <v/>
      </c>
      <c r="C88" t="str">
        <f>""</f>
        <v/>
      </c>
      <c r="D88" t="str">
        <f>""</f>
        <v/>
      </c>
      <c r="E88" t="str">
        <f>""</f>
        <v/>
      </c>
      <c r="AT88" t="str">
        <f>""</f>
        <v/>
      </c>
      <c r="AU88" t="str">
        <f>""</f>
        <v/>
      </c>
      <c r="AV88" t="str">
        <f>""</f>
        <v/>
      </c>
      <c r="AW88" t="str">
        <f>""</f>
        <v/>
      </c>
      <c r="AX88" t="str">
        <f>""</f>
        <v/>
      </c>
      <c r="AY88" t="str">
        <f>""</f>
        <v/>
      </c>
      <c r="AZ88" t="str">
        <f>""</f>
        <v/>
      </c>
      <c r="BA88" t="str">
        <f>""</f>
        <v/>
      </c>
      <c r="BB88" t="str">
        <f>""</f>
        <v/>
      </c>
      <c r="BC88" t="str">
        <f>""</f>
        <v/>
      </c>
      <c r="BD88" t="str">
        <f>""</f>
        <v/>
      </c>
      <c r="BE88" t="str">
        <f>""</f>
        <v/>
      </c>
      <c r="BF88" t="str">
        <f>""</f>
        <v/>
      </c>
      <c r="BG88" t="str">
        <f>""</f>
        <v/>
      </c>
      <c r="BH88" t="str">
        <f>""</f>
        <v/>
      </c>
      <c r="BI88" t="str">
        <f>""</f>
        <v/>
      </c>
      <c r="BJ88" t="str">
        <f>""</f>
        <v/>
      </c>
      <c r="BK88" t="str">
        <f>""</f>
        <v/>
      </c>
      <c r="BL88" t="str">
        <f>""</f>
        <v/>
      </c>
      <c r="BM88" t="str">
        <f>""</f>
        <v/>
      </c>
      <c r="BN88" t="str">
        <f>""</f>
        <v/>
      </c>
      <c r="BO88" t="str">
        <f>""</f>
        <v/>
      </c>
      <c r="BP88" t="str">
        <f>""</f>
        <v/>
      </c>
      <c r="BQ88" t="str">
        <f>""</f>
        <v/>
      </c>
      <c r="BR88" t="str">
        <f>""</f>
        <v/>
      </c>
      <c r="BS88" t="str">
        <f>""</f>
        <v/>
      </c>
      <c r="BT88" t="str">
        <f>""</f>
        <v/>
      </c>
      <c r="BU88" t="str">
        <f>""</f>
        <v/>
      </c>
      <c r="BV88" t="str">
        <f>""</f>
        <v/>
      </c>
      <c r="BW88" t="str">
        <f>""</f>
        <v/>
      </c>
      <c r="BX88" t="str">
        <f>""</f>
        <v/>
      </c>
      <c r="BY88" t="str">
        <f>""</f>
        <v/>
      </c>
      <c r="BZ88" t="str">
        <f>""</f>
        <v/>
      </c>
      <c r="CA88" t="str">
        <f>""</f>
        <v/>
      </c>
      <c r="CB88" t="str">
        <f>""</f>
        <v/>
      </c>
      <c r="CC88" t="str">
        <f>""</f>
        <v/>
      </c>
      <c r="CD88" t="str">
        <f>""</f>
        <v/>
      </c>
      <c r="CE88" t="str">
        <f>""</f>
        <v/>
      </c>
      <c r="CF88" t="str">
        <f>""</f>
        <v/>
      </c>
      <c r="CG88" t="str">
        <f>""</f>
        <v/>
      </c>
    </row>
    <row r="89" spans="1:85" x14ac:dyDescent="0.25">
      <c r="A89" t="str">
        <f>""</f>
        <v/>
      </c>
      <c r="B89" t="str">
        <f>""</f>
        <v/>
      </c>
      <c r="C89" t="str">
        <f>""</f>
        <v/>
      </c>
      <c r="D89" t="str">
        <f>""</f>
        <v/>
      </c>
      <c r="E89" t="str">
        <f>""</f>
        <v/>
      </c>
      <c r="AT89" t="str">
        <f>""</f>
        <v/>
      </c>
      <c r="AU89" t="str">
        <f>""</f>
        <v/>
      </c>
      <c r="AV89" t="str">
        <f>""</f>
        <v/>
      </c>
      <c r="AW89" t="str">
        <f>""</f>
        <v/>
      </c>
      <c r="AX89" t="str">
        <f>""</f>
        <v/>
      </c>
      <c r="AY89" t="str">
        <f>""</f>
        <v/>
      </c>
      <c r="AZ89" t="str">
        <f>""</f>
        <v/>
      </c>
      <c r="BA89" t="str">
        <f>""</f>
        <v/>
      </c>
      <c r="BB89" t="str">
        <f>""</f>
        <v/>
      </c>
      <c r="BC89" t="str">
        <f>""</f>
        <v/>
      </c>
      <c r="BD89" t="str">
        <f>""</f>
        <v/>
      </c>
      <c r="BE89" t="str">
        <f>""</f>
        <v/>
      </c>
      <c r="BF89" t="str">
        <f>""</f>
        <v/>
      </c>
      <c r="BG89" t="str">
        <f>""</f>
        <v/>
      </c>
      <c r="BH89" t="str">
        <f>""</f>
        <v/>
      </c>
      <c r="BI89" t="str">
        <f>""</f>
        <v/>
      </c>
      <c r="BJ89" t="str">
        <f>""</f>
        <v/>
      </c>
      <c r="BK89" t="str">
        <f>""</f>
        <v/>
      </c>
      <c r="BL89" t="str">
        <f>""</f>
        <v/>
      </c>
      <c r="BM89" t="str">
        <f>""</f>
        <v/>
      </c>
      <c r="BN89" t="str">
        <f>""</f>
        <v/>
      </c>
      <c r="BO89" t="str">
        <f>""</f>
        <v/>
      </c>
      <c r="BP89" t="str">
        <f>""</f>
        <v/>
      </c>
      <c r="BQ89" t="str">
        <f>""</f>
        <v/>
      </c>
      <c r="BR89" t="str">
        <f>""</f>
        <v/>
      </c>
      <c r="BS89" t="str">
        <f>""</f>
        <v/>
      </c>
      <c r="BT89" t="str">
        <f>""</f>
        <v/>
      </c>
      <c r="BU89" t="str">
        <f>""</f>
        <v/>
      </c>
      <c r="BV89" t="str">
        <f>""</f>
        <v/>
      </c>
      <c r="BW89" t="str">
        <f>""</f>
        <v/>
      </c>
      <c r="BX89" t="str">
        <f>""</f>
        <v/>
      </c>
      <c r="BY89" t="str">
        <f>""</f>
        <v/>
      </c>
      <c r="BZ89" t="str">
        <f>""</f>
        <v/>
      </c>
      <c r="CA89" t="str">
        <f>""</f>
        <v/>
      </c>
      <c r="CB89" t="str">
        <f>""</f>
        <v/>
      </c>
      <c r="CC89" t="str">
        <f>""</f>
        <v/>
      </c>
      <c r="CD89" t="str">
        <f>""</f>
        <v/>
      </c>
      <c r="CE89" t="str">
        <f>""</f>
        <v/>
      </c>
      <c r="CF89" t="str">
        <f>""</f>
        <v/>
      </c>
      <c r="CG89" t="str">
        <f>""</f>
        <v/>
      </c>
    </row>
    <row r="90" spans="1:85" x14ac:dyDescent="0.25">
      <c r="A90" t="str">
        <f>""</f>
        <v/>
      </c>
      <c r="B90" t="str">
        <f>""</f>
        <v/>
      </c>
      <c r="C90" t="str">
        <f>""</f>
        <v/>
      </c>
      <c r="D90" t="str">
        <f>""</f>
        <v/>
      </c>
      <c r="E90" t="str">
        <f>""</f>
        <v/>
      </c>
      <c r="AT90" t="str">
        <f>""</f>
        <v/>
      </c>
      <c r="AU90" t="str">
        <f>""</f>
        <v/>
      </c>
      <c r="AV90" t="str">
        <f>""</f>
        <v/>
      </c>
      <c r="AW90" t="str">
        <f>""</f>
        <v/>
      </c>
      <c r="AX90" t="str">
        <f>""</f>
        <v/>
      </c>
      <c r="AY90" t="str">
        <f>""</f>
        <v/>
      </c>
      <c r="AZ90" t="str">
        <f>""</f>
        <v/>
      </c>
      <c r="BA90" t="str">
        <f>""</f>
        <v/>
      </c>
      <c r="BB90" t="str">
        <f>""</f>
        <v/>
      </c>
      <c r="BC90" t="str">
        <f>""</f>
        <v/>
      </c>
      <c r="BD90" t="str">
        <f>""</f>
        <v/>
      </c>
      <c r="BE90" t="str">
        <f>""</f>
        <v/>
      </c>
      <c r="BF90" t="str">
        <f>""</f>
        <v/>
      </c>
      <c r="BG90" t="str">
        <f>""</f>
        <v/>
      </c>
      <c r="BH90" t="str">
        <f>""</f>
        <v/>
      </c>
      <c r="BI90" t="str">
        <f>""</f>
        <v/>
      </c>
      <c r="BJ90" t="str">
        <f>""</f>
        <v/>
      </c>
      <c r="BK90" t="str">
        <f>""</f>
        <v/>
      </c>
      <c r="BL90" t="str">
        <f>""</f>
        <v/>
      </c>
      <c r="BM90" t="str">
        <f>""</f>
        <v/>
      </c>
      <c r="BN90" t="str">
        <f>""</f>
        <v/>
      </c>
      <c r="BO90" t="str">
        <f>""</f>
        <v/>
      </c>
      <c r="BP90" t="str">
        <f>""</f>
        <v/>
      </c>
      <c r="BQ90" t="str">
        <f>""</f>
        <v/>
      </c>
      <c r="BR90" t="str">
        <f>""</f>
        <v/>
      </c>
      <c r="BS90" t="str">
        <f>""</f>
        <v/>
      </c>
      <c r="BT90" t="str">
        <f>""</f>
        <v/>
      </c>
      <c r="BU90" t="str">
        <f>""</f>
        <v/>
      </c>
      <c r="BV90" t="str">
        <f>""</f>
        <v/>
      </c>
      <c r="BW90" t="str">
        <f>""</f>
        <v/>
      </c>
      <c r="BX90" t="str">
        <f>""</f>
        <v/>
      </c>
      <c r="BY90" t="str">
        <f>""</f>
        <v/>
      </c>
      <c r="BZ90" t="str">
        <f>""</f>
        <v/>
      </c>
      <c r="CA90" t="str">
        <f>""</f>
        <v/>
      </c>
      <c r="CB90" t="str">
        <f>""</f>
        <v/>
      </c>
      <c r="CC90" t="str">
        <f>""</f>
        <v/>
      </c>
      <c r="CD90" t="str">
        <f>""</f>
        <v/>
      </c>
      <c r="CE90" t="str">
        <f>""</f>
        <v/>
      </c>
      <c r="CF90" t="str">
        <f>""</f>
        <v/>
      </c>
      <c r="CG90" t="str">
        <f>""</f>
        <v/>
      </c>
    </row>
    <row r="91" spans="1:85" x14ac:dyDescent="0.25">
      <c r="A91" t="str">
        <f>"~~~~~~~~~~~~~~~~~~~~~"</f>
        <v>~~~~~~~~~~~~~~~~~~~~~</v>
      </c>
      <c r="B91" t="str">
        <f>"~~~~~~~~~~~~~~~~~~~~~"</f>
        <v>~~~~~~~~~~~~~~~~~~~~~</v>
      </c>
      <c r="C91" t="str">
        <f>"~~~~~~~~~~~~~~~~~~~~~"</f>
        <v>~~~~~~~~~~~~~~~~~~~~~</v>
      </c>
      <c r="D91" t="str">
        <f>"~~~~~~~~~~~~~~~~~~~~~"</f>
        <v>~~~~~~~~~~~~~~~~~~~~~</v>
      </c>
      <c r="E91" t="str">
        <f>"~~~~~~~~~~~~~~~~~~~~~"</f>
        <v>~~~~~~~~~~~~~~~~~~~~~</v>
      </c>
      <c r="AT91" t="str">
        <f>""</f>
        <v/>
      </c>
      <c r="AU91" t="str">
        <f>""</f>
        <v/>
      </c>
      <c r="AV91" t="str">
        <f>""</f>
        <v/>
      </c>
      <c r="AW91" t="str">
        <f>""</f>
        <v/>
      </c>
      <c r="AX91" t="str">
        <f>""</f>
        <v/>
      </c>
      <c r="AY91" t="str">
        <f>""</f>
        <v/>
      </c>
      <c r="AZ91" t="str">
        <f>""</f>
        <v/>
      </c>
      <c r="BA91" t="str">
        <f>""</f>
        <v/>
      </c>
      <c r="BB91" t="str">
        <f>""</f>
        <v/>
      </c>
      <c r="BC91" t="str">
        <f>""</f>
        <v/>
      </c>
      <c r="BD91" t="str">
        <f>""</f>
        <v/>
      </c>
      <c r="BE91" t="str">
        <f>""</f>
        <v/>
      </c>
      <c r="BF91" t="str">
        <f>""</f>
        <v/>
      </c>
      <c r="BG91" t="str">
        <f>""</f>
        <v/>
      </c>
      <c r="BH91" t="str">
        <f>""</f>
        <v/>
      </c>
      <c r="BI91" t="str">
        <f>""</f>
        <v/>
      </c>
      <c r="BJ91" t="str">
        <f>""</f>
        <v/>
      </c>
      <c r="BK91" t="str">
        <f>""</f>
        <v/>
      </c>
      <c r="BL91" t="str">
        <f>""</f>
        <v/>
      </c>
      <c r="BM91" t="str">
        <f>""</f>
        <v/>
      </c>
      <c r="BN91" t="str">
        <f>""</f>
        <v/>
      </c>
      <c r="BO91" t="str">
        <f>""</f>
        <v/>
      </c>
      <c r="BP91" t="str">
        <f>""</f>
        <v/>
      </c>
      <c r="BQ91" t="str">
        <f>""</f>
        <v/>
      </c>
      <c r="BR91" t="str">
        <f>""</f>
        <v/>
      </c>
      <c r="BS91" t="str">
        <f>""</f>
        <v/>
      </c>
      <c r="BT91" t="str">
        <f>""</f>
        <v/>
      </c>
      <c r="BU91" t="str">
        <f>""</f>
        <v/>
      </c>
      <c r="BV91" t="str">
        <f>""</f>
        <v/>
      </c>
      <c r="BW91" t="str">
        <f>""</f>
        <v/>
      </c>
      <c r="BX91" t="str">
        <f>""</f>
        <v/>
      </c>
      <c r="BY91" t="str">
        <f>""</f>
        <v/>
      </c>
      <c r="BZ91" t="str">
        <f>""</f>
        <v/>
      </c>
      <c r="CA91" t="str">
        <f>""</f>
        <v/>
      </c>
      <c r="CB91" t="str">
        <f>""</f>
        <v/>
      </c>
      <c r="CC91" t="str">
        <f>""</f>
        <v/>
      </c>
      <c r="CD91" t="str">
        <f>""</f>
        <v/>
      </c>
      <c r="CE91" t="str">
        <f>""</f>
        <v/>
      </c>
      <c r="CF91" t="str">
        <f>""</f>
        <v/>
      </c>
      <c r="CG91" t="str">
        <f>""</f>
        <v/>
      </c>
    </row>
    <row r="92" spans="1:85" x14ac:dyDescent="0.25">
      <c r="A92" t="str">
        <f>"Rows below for column date calculation"</f>
        <v>Rows below for column date calculation</v>
      </c>
      <c r="AT92" t="str">
        <f>""</f>
        <v/>
      </c>
      <c r="AU92" t="str">
        <f>""</f>
        <v/>
      </c>
      <c r="AV92" t="str">
        <f>""</f>
        <v/>
      </c>
      <c r="AW92" t="str">
        <f>""</f>
        <v/>
      </c>
      <c r="AX92" t="str">
        <f>""</f>
        <v/>
      </c>
      <c r="AY92" t="str">
        <f>""</f>
        <v/>
      </c>
      <c r="AZ92" t="str">
        <f>""</f>
        <v/>
      </c>
      <c r="BA92" t="str">
        <f>""</f>
        <v/>
      </c>
      <c r="BB92" t="str">
        <f>""</f>
        <v/>
      </c>
      <c r="BC92" t="str">
        <f>""</f>
        <v/>
      </c>
      <c r="BD92" t="str">
        <f>""</f>
        <v/>
      </c>
      <c r="BE92" t="str">
        <f>""</f>
        <v/>
      </c>
      <c r="BF92" t="str">
        <f>""</f>
        <v/>
      </c>
      <c r="BG92" t="str">
        <f>""</f>
        <v/>
      </c>
      <c r="BH92" t="str">
        <f>""</f>
        <v/>
      </c>
      <c r="BI92" t="str">
        <f>""</f>
        <v/>
      </c>
      <c r="BJ92" t="str">
        <f>""</f>
        <v/>
      </c>
      <c r="BK92" t="str">
        <f>""</f>
        <v/>
      </c>
      <c r="BL92" t="str">
        <f>""</f>
        <v/>
      </c>
      <c r="BM92" t="str">
        <f>""</f>
        <v/>
      </c>
      <c r="BN92" t="str">
        <f>""</f>
        <v/>
      </c>
      <c r="BO92" t="str">
        <f>""</f>
        <v/>
      </c>
      <c r="BP92" t="str">
        <f>""</f>
        <v/>
      </c>
      <c r="BQ92" t="str">
        <f>""</f>
        <v/>
      </c>
      <c r="BR92" t="str">
        <f>""</f>
        <v/>
      </c>
      <c r="BS92" t="str">
        <f>""</f>
        <v/>
      </c>
      <c r="BT92" t="str">
        <f>""</f>
        <v/>
      </c>
      <c r="BU92" t="str">
        <f>""</f>
        <v/>
      </c>
      <c r="BV92" t="str">
        <f>""</f>
        <v/>
      </c>
      <c r="BW92" t="str">
        <f>""</f>
        <v/>
      </c>
      <c r="BX92" t="str">
        <f>""</f>
        <v/>
      </c>
      <c r="BY92" t="str">
        <f>""</f>
        <v/>
      </c>
      <c r="BZ92" t="str">
        <f>""</f>
        <v/>
      </c>
      <c r="CA92" t="str">
        <f>""</f>
        <v/>
      </c>
      <c r="CB92" t="str">
        <f>""</f>
        <v/>
      </c>
      <c r="CC92" t="str">
        <f>""</f>
        <v/>
      </c>
      <c r="CD92" t="str">
        <f>""</f>
        <v/>
      </c>
      <c r="CE92" t="str">
        <f>""</f>
        <v/>
      </c>
      <c r="CF92" t="str">
        <f>""</f>
        <v/>
      </c>
      <c r="CG92" t="str">
        <f>""</f>
        <v/>
      </c>
    </row>
    <row r="93" spans="1:85" x14ac:dyDescent="0.25">
      <c r="A93" t="str">
        <f>"Downloaded at"</f>
        <v>Downloaded at</v>
      </c>
      <c r="B93">
        <f>DATE(2017, 12,4)</f>
        <v>43073</v>
      </c>
      <c r="C93" t="str">
        <f>""</f>
        <v/>
      </c>
      <c r="D93" t="str">
        <f>""</f>
        <v/>
      </c>
      <c r="E93" t="str">
        <f>""</f>
        <v/>
      </c>
      <c r="AT93" t="str">
        <f>""</f>
        <v/>
      </c>
      <c r="AU93" t="str">
        <f>""</f>
        <v/>
      </c>
      <c r="AV93" t="str">
        <f>""</f>
        <v/>
      </c>
      <c r="AW93" t="str">
        <f>""</f>
        <v/>
      </c>
      <c r="AX93" t="str">
        <f>""</f>
        <v/>
      </c>
      <c r="AY93" t="str">
        <f>""</f>
        <v/>
      </c>
      <c r="AZ93" t="str">
        <f>""</f>
        <v/>
      </c>
      <c r="BA93" t="str">
        <f>""</f>
        <v/>
      </c>
      <c r="BB93" t="str">
        <f>""</f>
        <v/>
      </c>
      <c r="BC93" t="str">
        <f>""</f>
        <v/>
      </c>
      <c r="BD93" t="str">
        <f>""</f>
        <v/>
      </c>
      <c r="BE93" t="str">
        <f>""</f>
        <v/>
      </c>
      <c r="BF93" t="str">
        <f>""</f>
        <v/>
      </c>
      <c r="BG93" t="str">
        <f>""</f>
        <v/>
      </c>
      <c r="BH93" t="str">
        <f>""</f>
        <v/>
      </c>
      <c r="BI93" t="str">
        <f>""</f>
        <v/>
      </c>
      <c r="BJ93" t="str">
        <f>""</f>
        <v/>
      </c>
      <c r="BK93" t="str">
        <f>""</f>
        <v/>
      </c>
      <c r="BL93" t="str">
        <f>""</f>
        <v/>
      </c>
      <c r="BM93" t="str">
        <f>""</f>
        <v/>
      </c>
      <c r="BN93" t="str">
        <f>""</f>
        <v/>
      </c>
      <c r="BO93" t="str">
        <f>""</f>
        <v/>
      </c>
      <c r="BP93" t="str">
        <f>""</f>
        <v/>
      </c>
      <c r="BQ93" t="str">
        <f>""</f>
        <v/>
      </c>
      <c r="BR93" t="str">
        <f>""</f>
        <v/>
      </c>
      <c r="BS93" t="str">
        <f>""</f>
        <v/>
      </c>
      <c r="BT93" t="str">
        <f>""</f>
        <v/>
      </c>
      <c r="BU93" t="str">
        <f>""</f>
        <v/>
      </c>
      <c r="BV93" t="str">
        <f>""</f>
        <v/>
      </c>
      <c r="BW93" t="str">
        <f>""</f>
        <v/>
      </c>
      <c r="BX93" t="str">
        <f>""</f>
        <v/>
      </c>
      <c r="BY93" t="str">
        <f>""</f>
        <v/>
      </c>
      <c r="BZ93" t="str">
        <f>""</f>
        <v/>
      </c>
      <c r="CA93" t="str">
        <f>""</f>
        <v/>
      </c>
      <c r="CB93" t="str">
        <f>""</f>
        <v/>
      </c>
      <c r="CC93" t="str">
        <f>""</f>
        <v/>
      </c>
      <c r="CD93" t="str">
        <f>""</f>
        <v/>
      </c>
      <c r="CE93" t="str">
        <f>""</f>
        <v/>
      </c>
      <c r="CF93" t="str">
        <f>""</f>
        <v/>
      </c>
      <c r="CG93" t="str">
        <f>""</f>
        <v/>
      </c>
    </row>
    <row r="94" spans="1:85" x14ac:dyDescent="0.25">
      <c r="A94" t="str">
        <f>"This is End Date"</f>
        <v>This is End Date</v>
      </c>
      <c r="B94">
        <f ca="1">$B$63</f>
        <v>43073</v>
      </c>
      <c r="C94" t="str">
        <f>""</f>
        <v/>
      </c>
      <c r="D94" t="str">
        <f>""</f>
        <v/>
      </c>
      <c r="E94" t="str">
        <f>""</f>
        <v/>
      </c>
      <c r="AT94" t="str">
        <f>""</f>
        <v/>
      </c>
      <c r="AU94" t="str">
        <f>""</f>
        <v/>
      </c>
      <c r="AV94" t="str">
        <f>""</f>
        <v/>
      </c>
      <c r="AW94" t="str">
        <f>""</f>
        <v/>
      </c>
      <c r="AX94" t="str">
        <f>""</f>
        <v/>
      </c>
      <c r="AY94" t="str">
        <f>""</f>
        <v/>
      </c>
      <c r="AZ94" t="str">
        <f>""</f>
        <v/>
      </c>
      <c r="BA94" t="str">
        <f>""</f>
        <v/>
      </c>
      <c r="BB94" t="str">
        <f>""</f>
        <v/>
      </c>
      <c r="BC94" t="str">
        <f>""</f>
        <v/>
      </c>
      <c r="BD94" t="str">
        <f>""</f>
        <v/>
      </c>
      <c r="BE94" t="str">
        <f>""</f>
        <v/>
      </c>
      <c r="BF94" t="str">
        <f>""</f>
        <v/>
      </c>
      <c r="BG94" t="str">
        <f>""</f>
        <v/>
      </c>
      <c r="BH94" t="str">
        <f>""</f>
        <v/>
      </c>
      <c r="BI94" t="str">
        <f>""</f>
        <v/>
      </c>
      <c r="BJ94" t="str">
        <f>""</f>
        <v/>
      </c>
      <c r="BK94" t="str">
        <f>""</f>
        <v/>
      </c>
      <c r="BL94" t="str">
        <f>""</f>
        <v/>
      </c>
      <c r="BM94" t="str">
        <f>""</f>
        <v/>
      </c>
      <c r="BN94" t="str">
        <f>""</f>
        <v/>
      </c>
      <c r="BO94" t="str">
        <f>""</f>
        <v/>
      </c>
      <c r="BP94" t="str">
        <f>""</f>
        <v/>
      </c>
      <c r="BQ94" t="str">
        <f>""</f>
        <v/>
      </c>
      <c r="BR94" t="str">
        <f>""</f>
        <v/>
      </c>
      <c r="BS94" t="str">
        <f>""</f>
        <v/>
      </c>
      <c r="BT94" t="str">
        <f>""</f>
        <v/>
      </c>
      <c r="BU94" t="str">
        <f>""</f>
        <v/>
      </c>
      <c r="BV94" t="str">
        <f>""</f>
        <v/>
      </c>
      <c r="BW94" t="str">
        <f>""</f>
        <v/>
      </c>
      <c r="BX94" t="str">
        <f>""</f>
        <v/>
      </c>
      <c r="BY94" t="str">
        <f>""</f>
        <v/>
      </c>
      <c r="BZ94" t="str">
        <f>""</f>
        <v/>
      </c>
      <c r="CA94" t="str">
        <f>""</f>
        <v/>
      </c>
      <c r="CB94" t="str">
        <f>""</f>
        <v/>
      </c>
      <c r="CC94" t="str">
        <f>""</f>
        <v/>
      </c>
      <c r="CD94" t="str">
        <f>""</f>
        <v/>
      </c>
      <c r="CE94" t="str">
        <f>""</f>
        <v/>
      </c>
      <c r="CF94" t="str">
        <f>""</f>
        <v/>
      </c>
      <c r="CG94" t="str">
        <f>""</f>
        <v/>
      </c>
    </row>
    <row r="95" spans="1:85" x14ac:dyDescent="0.25">
      <c r="A95" t="str">
        <f>"Description"</f>
        <v>Description</v>
      </c>
      <c r="B95" t="str">
        <f>"Ticker"</f>
        <v>Ticker</v>
      </c>
      <c r="C95" t="str">
        <f>"Field ID"</f>
        <v>Field ID</v>
      </c>
      <c r="D95" t="str">
        <f>"Field Mnemonic"</f>
        <v>Field Mnemonic</v>
      </c>
      <c r="E95" t="str">
        <f>"Data State"</f>
        <v>Data State</v>
      </c>
      <c r="AT95" t="str">
        <f>""</f>
        <v/>
      </c>
      <c r="AU95" t="str">
        <f>""</f>
        <v/>
      </c>
      <c r="AV95" t="str">
        <f>""</f>
        <v/>
      </c>
      <c r="AW95" t="str">
        <f>""</f>
        <v/>
      </c>
      <c r="AX95" t="str">
        <f>""</f>
        <v/>
      </c>
      <c r="AY95" t="str">
        <f>""</f>
        <v/>
      </c>
      <c r="AZ95" t="str">
        <f>""</f>
        <v/>
      </c>
      <c r="BA95" t="str">
        <f>""</f>
        <v/>
      </c>
      <c r="BB95" t="str">
        <f>""</f>
        <v/>
      </c>
      <c r="BC95" t="str">
        <f>""</f>
        <v/>
      </c>
      <c r="BD95" t="str">
        <f>""</f>
        <v/>
      </c>
      <c r="BE95" t="str">
        <f>""</f>
        <v/>
      </c>
      <c r="BF95" t="str">
        <f>""</f>
        <v/>
      </c>
      <c r="BG95" t="str">
        <f>""</f>
        <v/>
      </c>
      <c r="BH95" t="str">
        <f>""</f>
        <v/>
      </c>
      <c r="BI95" t="str">
        <f>""</f>
        <v/>
      </c>
      <c r="BJ95" t="str">
        <f>""</f>
        <v/>
      </c>
      <c r="BK95" t="str">
        <f>""</f>
        <v/>
      </c>
      <c r="BL95" t="str">
        <f>""</f>
        <v/>
      </c>
      <c r="BM95" t="str">
        <f>""</f>
        <v/>
      </c>
      <c r="BN95" t="str">
        <f>""</f>
        <v/>
      </c>
      <c r="BO95" t="str">
        <f>""</f>
        <v/>
      </c>
      <c r="BP95" t="str">
        <f>""</f>
        <v/>
      </c>
      <c r="BQ95" t="str">
        <f>""</f>
        <v/>
      </c>
      <c r="BR95" t="str">
        <f>""</f>
        <v/>
      </c>
      <c r="BS95" t="str">
        <f>""</f>
        <v/>
      </c>
      <c r="BT95" t="str">
        <f>""</f>
        <v/>
      </c>
      <c r="BU95" t="str">
        <f>""</f>
        <v/>
      </c>
      <c r="BV95" t="str">
        <f>""</f>
        <v/>
      </c>
      <c r="BW95" t="str">
        <f>""</f>
        <v/>
      </c>
      <c r="BX95" t="str">
        <f>""</f>
        <v/>
      </c>
      <c r="BY95" t="str">
        <f>""</f>
        <v/>
      </c>
      <c r="BZ95" t="str">
        <f>""</f>
        <v/>
      </c>
      <c r="CA95" t="str">
        <f>""</f>
        <v/>
      </c>
      <c r="CB95" t="str">
        <f>""</f>
        <v/>
      </c>
      <c r="CC95" t="str">
        <f>""</f>
        <v/>
      </c>
      <c r="CD95" t="str">
        <f>""</f>
        <v/>
      </c>
      <c r="CE95" t="str">
        <f>""</f>
        <v/>
      </c>
      <c r="CF95" t="str">
        <f>""</f>
        <v/>
      </c>
      <c r="CG95" t="str">
        <f>""</f>
        <v/>
      </c>
    </row>
    <row r="96" spans="1:85" x14ac:dyDescent="0.25">
      <c r="A96" t="str">
        <f>"Snapshot Date"</f>
        <v>Snapshot Date</v>
      </c>
      <c r="B96">
        <f>DATE(2017, 12,4)</f>
        <v>43073</v>
      </c>
      <c r="C96" t="str">
        <f>""</f>
        <v/>
      </c>
      <c r="D96" t="str">
        <f>""</f>
        <v/>
      </c>
      <c r="E96" t="str">
        <f>""</f>
        <v/>
      </c>
      <c r="AT96" t="str">
        <f>""</f>
        <v/>
      </c>
      <c r="AU96" t="str">
        <f>""</f>
        <v/>
      </c>
      <c r="AV96" t="str">
        <f>""</f>
        <v/>
      </c>
      <c r="AW96" t="str">
        <f>""</f>
        <v/>
      </c>
      <c r="AX96" t="str">
        <f>""</f>
        <v/>
      </c>
      <c r="AY96" t="str">
        <f>""</f>
        <v/>
      </c>
      <c r="AZ96" t="str">
        <f>""</f>
        <v/>
      </c>
      <c r="BA96" t="str">
        <f>""</f>
        <v/>
      </c>
      <c r="BB96" t="str">
        <f>""</f>
        <v/>
      </c>
      <c r="BC96" t="str">
        <f>""</f>
        <v/>
      </c>
      <c r="BD96" t="str">
        <f>""</f>
        <v/>
      </c>
      <c r="BE96" t="str">
        <f>""</f>
        <v/>
      </c>
      <c r="BF96" t="str">
        <f>""</f>
        <v/>
      </c>
      <c r="BG96" t="str">
        <f>""</f>
        <v/>
      </c>
      <c r="BH96" t="str">
        <f>""</f>
        <v/>
      </c>
      <c r="BI96" t="str">
        <f>""</f>
        <v/>
      </c>
      <c r="BJ96" t="str">
        <f>""</f>
        <v/>
      </c>
      <c r="BK96" t="str">
        <f>""</f>
        <v/>
      </c>
      <c r="BL96" t="str">
        <f>""</f>
        <v/>
      </c>
      <c r="BM96" t="str">
        <f>""</f>
        <v/>
      </c>
      <c r="BN96" t="str">
        <f>""</f>
        <v/>
      </c>
      <c r="BO96" t="str">
        <f>""</f>
        <v/>
      </c>
      <c r="BP96" t="str">
        <f>""</f>
        <v/>
      </c>
      <c r="BQ96" t="str">
        <f>""</f>
        <v/>
      </c>
      <c r="BR96" t="str">
        <f>""</f>
        <v/>
      </c>
      <c r="BS96" t="str">
        <f>""</f>
        <v/>
      </c>
      <c r="BT96" t="str">
        <f>""</f>
        <v/>
      </c>
      <c r="BU96" t="str">
        <f>""</f>
        <v/>
      </c>
      <c r="BV96" t="str">
        <f>""</f>
        <v/>
      </c>
      <c r="BW96" t="str">
        <f>""</f>
        <v/>
      </c>
      <c r="BX96" t="str">
        <f>""</f>
        <v/>
      </c>
      <c r="BY96" t="str">
        <f>""</f>
        <v/>
      </c>
      <c r="BZ96" t="str">
        <f>""</f>
        <v/>
      </c>
      <c r="CA96" t="str">
        <f>""</f>
        <v/>
      </c>
      <c r="CB96" t="str">
        <f>""</f>
        <v/>
      </c>
      <c r="CC96" t="str">
        <f>""</f>
        <v/>
      </c>
      <c r="CD96" t="str">
        <f>""</f>
        <v/>
      </c>
      <c r="CE96" t="str">
        <f>""</f>
        <v/>
      </c>
      <c r="CF96" t="str">
        <f>""</f>
        <v/>
      </c>
      <c r="CG96" t="str">
        <f>""</f>
        <v/>
      </c>
    </row>
    <row r="97" spans="1:85" x14ac:dyDescent="0.25">
      <c r="A97" t="str">
        <f>"Snapshot header"</f>
        <v>Snapshot header</v>
      </c>
      <c r="B97">
        <f>2</f>
        <v>2</v>
      </c>
      <c r="C97" t="str">
        <f>"10/2017"</f>
        <v>10/2017</v>
      </c>
      <c r="D97" t="str">
        <f>"9/2017"</f>
        <v>9/2017</v>
      </c>
      <c r="E97" t="str">
        <f>"8/2017"</f>
        <v>8/2017</v>
      </c>
      <c r="F97" t="str">
        <f>"7/2017"</f>
        <v>7/2017</v>
      </c>
      <c r="G97" t="str">
        <f>"6/2017"</f>
        <v>6/2017</v>
      </c>
      <c r="H97" t="str">
        <f>"5/2017"</f>
        <v>5/2017</v>
      </c>
      <c r="I97" t="str">
        <f>"4/2017"</f>
        <v>4/2017</v>
      </c>
      <c r="J97" t="str">
        <f>"3/2017"</f>
        <v>3/2017</v>
      </c>
      <c r="K97" t="str">
        <f>"2/2017"</f>
        <v>2/2017</v>
      </c>
      <c r="L97" t="str">
        <f>"1/2017"</f>
        <v>1/2017</v>
      </c>
      <c r="M97" t="str">
        <f>"12/2016"</f>
        <v>12/2016</v>
      </c>
      <c r="N97" t="str">
        <f>"11/2016"</f>
        <v>11/2016</v>
      </c>
      <c r="O97" t="str">
        <f>"10/2016"</f>
        <v>10/2016</v>
      </c>
      <c r="P97" t="str">
        <f>"9/2016"</f>
        <v>9/2016</v>
      </c>
      <c r="Q97" t="str">
        <f>"8/2016"</f>
        <v>8/2016</v>
      </c>
      <c r="R97" t="str">
        <f>"7/2016"</f>
        <v>7/2016</v>
      </c>
      <c r="S97" t="str">
        <f>"6/2016"</f>
        <v>6/2016</v>
      </c>
      <c r="T97" t="str">
        <f>"5/2016"</f>
        <v>5/2016</v>
      </c>
      <c r="U97" t="str">
        <f>"4/2016"</f>
        <v>4/2016</v>
      </c>
      <c r="V97" t="str">
        <f>"3/2016"</f>
        <v>3/2016</v>
      </c>
      <c r="W97" t="str">
        <f>"2/2016"</f>
        <v>2/2016</v>
      </c>
      <c r="X97" t="str">
        <f>"1/2016"</f>
        <v>1/2016</v>
      </c>
      <c r="Y97" t="str">
        <f>"12/2015"</f>
        <v>12/2015</v>
      </c>
      <c r="Z97" t="str">
        <f>"11/2015"</f>
        <v>11/2015</v>
      </c>
      <c r="AA97" t="str">
        <f>"10/2015"</f>
        <v>10/2015</v>
      </c>
      <c r="AB97" t="str">
        <f>"9/2015"</f>
        <v>9/2015</v>
      </c>
      <c r="AC97" t="str">
        <f>"8/2015"</f>
        <v>8/2015</v>
      </c>
      <c r="AD97" t="str">
        <f>"7/2015"</f>
        <v>7/2015</v>
      </c>
      <c r="AE97" t="str">
        <f>"6/2015"</f>
        <v>6/2015</v>
      </c>
      <c r="AF97" t="str">
        <f>"5/2015"</f>
        <v>5/2015</v>
      </c>
      <c r="AG97" t="str">
        <f>"4/2015"</f>
        <v>4/2015</v>
      </c>
      <c r="AH97" t="str">
        <f>"3/2015"</f>
        <v>3/2015</v>
      </c>
      <c r="AI97" t="str">
        <f>"2/2015"</f>
        <v>2/2015</v>
      </c>
      <c r="AJ97" t="str">
        <f>"1/2015"</f>
        <v>1/2015</v>
      </c>
      <c r="AK97" t="str">
        <f>"12/2014"</f>
        <v>12/2014</v>
      </c>
      <c r="AL97" t="str">
        <f>"11/2014"</f>
        <v>11/2014</v>
      </c>
      <c r="AM97" t="str">
        <f>"10/2014"</f>
        <v>10/2014</v>
      </c>
      <c r="AN97" t="str">
        <f>"9/2014"</f>
        <v>9/2014</v>
      </c>
      <c r="AO97" t="str">
        <f>"8/2014"</f>
        <v>8/2014</v>
      </c>
      <c r="AP97" t="str">
        <f>"7/2014"</f>
        <v>7/2014</v>
      </c>
      <c r="AT97" t="str">
        <f>""</f>
        <v/>
      </c>
      <c r="AU97" t="str">
        <f>""</f>
        <v/>
      </c>
      <c r="AV97" t="str">
        <f>""</f>
        <v/>
      </c>
      <c r="AW97" t="str">
        <f>""</f>
        <v/>
      </c>
      <c r="AX97" t="str">
        <f>""</f>
        <v/>
      </c>
      <c r="AY97" t="str">
        <f>""</f>
        <v/>
      </c>
      <c r="AZ97" t="str">
        <f>""</f>
        <v/>
      </c>
      <c r="BA97" t="str">
        <f>""</f>
        <v/>
      </c>
      <c r="BB97" t="str">
        <f>""</f>
        <v/>
      </c>
      <c r="BC97" t="str">
        <f>""</f>
        <v/>
      </c>
      <c r="BD97" t="str">
        <f>""</f>
        <v/>
      </c>
      <c r="BE97" t="str">
        <f>""</f>
        <v/>
      </c>
      <c r="BF97" t="str">
        <f>""</f>
        <v/>
      </c>
      <c r="BG97" t="str">
        <f>""</f>
        <v/>
      </c>
      <c r="BH97" t="str">
        <f>""</f>
        <v/>
      </c>
      <c r="BI97" t="str">
        <f>""</f>
        <v/>
      </c>
      <c r="BJ97" t="str">
        <f>""</f>
        <v/>
      </c>
      <c r="BK97" t="str">
        <f>""</f>
        <v/>
      </c>
      <c r="BL97" t="str">
        <f>""</f>
        <v/>
      </c>
      <c r="BM97" t="str">
        <f>""</f>
        <v/>
      </c>
      <c r="BN97" t="str">
        <f>""</f>
        <v/>
      </c>
      <c r="BO97" t="str">
        <f>""</f>
        <v/>
      </c>
      <c r="BP97" t="str">
        <f>""</f>
        <v/>
      </c>
      <c r="BQ97" t="str">
        <f>""</f>
        <v/>
      </c>
      <c r="BR97" t="str">
        <f>""</f>
        <v/>
      </c>
      <c r="BS97" t="str">
        <f>""</f>
        <v/>
      </c>
      <c r="BT97" t="str">
        <f>""</f>
        <v/>
      </c>
      <c r="BU97" t="str">
        <f>""</f>
        <v/>
      </c>
      <c r="BV97" t="str">
        <f>""</f>
        <v/>
      </c>
      <c r="BW97" t="str">
        <f>""</f>
        <v/>
      </c>
      <c r="BX97" t="str">
        <f>""</f>
        <v/>
      </c>
      <c r="BY97" t="str">
        <f>""</f>
        <v/>
      </c>
      <c r="BZ97" t="str">
        <f>""</f>
        <v/>
      </c>
      <c r="CA97" t="str">
        <f>""</f>
        <v/>
      </c>
      <c r="CB97" t="str">
        <f>""</f>
        <v/>
      </c>
      <c r="CC97" t="str">
        <f>""</f>
        <v/>
      </c>
      <c r="CD97" t="str">
        <f>""</f>
        <v/>
      </c>
      <c r="CE97" t="str">
        <f>""</f>
        <v/>
      </c>
      <c r="CF97" t="str">
        <f>""</f>
        <v/>
      </c>
      <c r="CG97" t="str">
        <f>""</f>
        <v/>
      </c>
    </row>
    <row r="98" spans="1:85" x14ac:dyDescent="0.25">
      <c r="A98" t="str">
        <f>"BDH snapshot header0"</f>
        <v>BDH snapshot header0</v>
      </c>
      <c r="B98">
        <f ca="1">IF(OR(ISERROR($C$98),ISBLANK($C$98),ISNUMBER(SEARCH("N/A",$C$98) ),ISERROR($C$99),ISBLANK($C$99)),0,1)</f>
        <v>0</v>
      </c>
      <c r="C98" t="e">
        <f ca="1">_xll.BDH($B$29,$C$29,$B$62,$B$96,"PER=CM","Dts=S","DtFmt=FI","rows=2","Dir=H","Points=40","Sort=R","Days=A","Fill=B","FX=USD","cols=40;rows=2")</f>
        <v>#NAME?</v>
      </c>
      <c r="D98" t="s">
        <v>28</v>
      </c>
      <c r="E98" t="s">
        <v>28</v>
      </c>
      <c r="F98" t="s">
        <v>28</v>
      </c>
      <c r="G98" t="s">
        <v>28</v>
      </c>
      <c r="H98" t="s">
        <v>28</v>
      </c>
      <c r="I98" t="s">
        <v>28</v>
      </c>
      <c r="J98" t="s">
        <v>28</v>
      </c>
      <c r="K98" t="s">
        <v>28</v>
      </c>
      <c r="L98" t="s">
        <v>28</v>
      </c>
      <c r="M98" t="s">
        <v>28</v>
      </c>
      <c r="N98" t="s">
        <v>28</v>
      </c>
      <c r="O98" t="s">
        <v>28</v>
      </c>
      <c r="P98" t="s">
        <v>28</v>
      </c>
      <c r="Q98" t="s">
        <v>28</v>
      </c>
      <c r="R98" t="s">
        <v>28</v>
      </c>
      <c r="S98" t="s">
        <v>28</v>
      </c>
      <c r="T98" t="s">
        <v>28</v>
      </c>
      <c r="U98" t="s">
        <v>28</v>
      </c>
      <c r="V98" t="s">
        <v>28</v>
      </c>
      <c r="W98" t="s">
        <v>28</v>
      </c>
      <c r="X98" t="s">
        <v>28</v>
      </c>
      <c r="Y98" t="s">
        <v>28</v>
      </c>
      <c r="Z98" t="s">
        <v>28</v>
      </c>
      <c r="AA98" t="s">
        <v>28</v>
      </c>
      <c r="AB98" t="s">
        <v>28</v>
      </c>
      <c r="AC98" t="s">
        <v>28</v>
      </c>
      <c r="AD98" t="s">
        <v>28</v>
      </c>
      <c r="AE98" t="s">
        <v>28</v>
      </c>
      <c r="AF98" t="s">
        <v>28</v>
      </c>
      <c r="AG98" t="s">
        <v>28</v>
      </c>
      <c r="AH98" t="s">
        <v>28</v>
      </c>
      <c r="AI98" t="s">
        <v>28</v>
      </c>
      <c r="AJ98" t="s">
        <v>28</v>
      </c>
      <c r="AK98" t="s">
        <v>28</v>
      </c>
      <c r="AL98" t="s">
        <v>28</v>
      </c>
      <c r="AM98" t="s">
        <v>28</v>
      </c>
      <c r="AN98" t="s">
        <v>28</v>
      </c>
      <c r="AO98" t="s">
        <v>28</v>
      </c>
      <c r="AP98" t="s">
        <v>28</v>
      </c>
      <c r="AT98" t="str">
        <f>""</f>
        <v/>
      </c>
      <c r="AU98" t="str">
        <f>""</f>
        <v/>
      </c>
      <c r="AV98" t="str">
        <f>""</f>
        <v/>
      </c>
      <c r="AW98" t="str">
        <f>""</f>
        <v/>
      </c>
      <c r="AX98" t="str">
        <f>""</f>
        <v/>
      </c>
      <c r="AY98" t="str">
        <f>""</f>
        <v/>
      </c>
      <c r="AZ98" t="str">
        <f>""</f>
        <v/>
      </c>
      <c r="BA98" t="str">
        <f>""</f>
        <v/>
      </c>
      <c r="BB98" t="str">
        <f>""</f>
        <v/>
      </c>
      <c r="BC98" t="str">
        <f>""</f>
        <v/>
      </c>
      <c r="BD98" t="str">
        <f>""</f>
        <v/>
      </c>
      <c r="BE98" t="str">
        <f>""</f>
        <v/>
      </c>
      <c r="BF98" t="str">
        <f>""</f>
        <v/>
      </c>
      <c r="BG98" t="str">
        <f>""</f>
        <v/>
      </c>
      <c r="BH98" t="str">
        <f>""</f>
        <v/>
      </c>
      <c r="BI98" t="str">
        <f>""</f>
        <v/>
      </c>
      <c r="BJ98" t="str">
        <f>""</f>
        <v/>
      </c>
      <c r="BK98" t="str">
        <f>""</f>
        <v/>
      </c>
      <c r="BL98" t="str">
        <f>""</f>
        <v/>
      </c>
      <c r="BM98" t="str">
        <f>""</f>
        <v/>
      </c>
      <c r="BN98" t="str">
        <f>""</f>
        <v/>
      </c>
      <c r="BO98" t="str">
        <f>""</f>
        <v/>
      </c>
      <c r="BP98" t="str">
        <f>""</f>
        <v/>
      </c>
      <c r="BQ98" t="str">
        <f>""</f>
        <v/>
      </c>
      <c r="BR98" t="str">
        <f>""</f>
        <v/>
      </c>
      <c r="BS98" t="str">
        <f>""</f>
        <v/>
      </c>
      <c r="BT98" t="str">
        <f>""</f>
        <v/>
      </c>
      <c r="BU98" t="str">
        <f>""</f>
        <v/>
      </c>
      <c r="BV98" t="str">
        <f>""</f>
        <v/>
      </c>
      <c r="BW98" t="str">
        <f>""</f>
        <v/>
      </c>
      <c r="BX98" t="str">
        <f>""</f>
        <v/>
      </c>
      <c r="BY98" t="str">
        <f>""</f>
        <v/>
      </c>
      <c r="BZ98" t="str">
        <f>""</f>
        <v/>
      </c>
      <c r="CA98" t="str">
        <f>""</f>
        <v/>
      </c>
      <c r="CB98" t="str">
        <f>""</f>
        <v/>
      </c>
      <c r="CC98" t="str">
        <f>""</f>
        <v/>
      </c>
      <c r="CD98" t="str">
        <f>""</f>
        <v/>
      </c>
      <c r="CE98" t="str">
        <f>""</f>
        <v/>
      </c>
      <c r="CF98" t="str">
        <f>""</f>
        <v/>
      </c>
      <c r="CG98" t="str">
        <f>""</f>
        <v/>
      </c>
    </row>
    <row r="99" spans="1:85" x14ac:dyDescent="0.25">
      <c r="A99" t="str">
        <f>"BDH snapshot result0"</f>
        <v>BDH snapshot result0</v>
      </c>
      <c r="E99">
        <v>1974</v>
      </c>
      <c r="F99">
        <v>1725</v>
      </c>
      <c r="G99">
        <v>1693</v>
      </c>
      <c r="H99">
        <v>1555</v>
      </c>
      <c r="I99">
        <v>1406</v>
      </c>
      <c r="J99">
        <v>1486</v>
      </c>
      <c r="K99">
        <v>1308</v>
      </c>
      <c r="L99">
        <v>1468</v>
      </c>
      <c r="M99">
        <v>901</v>
      </c>
      <c r="N99">
        <v>1003</v>
      </c>
      <c r="O99">
        <v>1354</v>
      </c>
      <c r="P99">
        <v>1139</v>
      </c>
      <c r="Q99">
        <v>853</v>
      </c>
      <c r="R99">
        <v>1125</v>
      </c>
      <c r="S99">
        <v>1299</v>
      </c>
      <c r="T99">
        <v>1538</v>
      </c>
      <c r="U99">
        <v>1146</v>
      </c>
      <c r="V99">
        <v>1228</v>
      </c>
      <c r="W99">
        <v>1297</v>
      </c>
      <c r="X99">
        <v>1650</v>
      </c>
      <c r="Y99">
        <v>1176</v>
      </c>
      <c r="Z99">
        <v>1397</v>
      </c>
      <c r="AA99">
        <v>1709</v>
      </c>
      <c r="AB99">
        <v>1257</v>
      </c>
      <c r="AC99">
        <v>1788</v>
      </c>
      <c r="AD99">
        <v>1542</v>
      </c>
      <c r="AE99">
        <v>1530</v>
      </c>
      <c r="AF99">
        <v>1669</v>
      </c>
      <c r="AG99">
        <v>1543</v>
      </c>
      <c r="AH99">
        <v>1660</v>
      </c>
      <c r="AI99">
        <v>1547</v>
      </c>
      <c r="AJ99">
        <v>1461</v>
      </c>
      <c r="AK99">
        <v>1061</v>
      </c>
      <c r="AL99">
        <v>1896</v>
      </c>
      <c r="AM99">
        <v>4521</v>
      </c>
      <c r="AN99">
        <v>3907</v>
      </c>
      <c r="AO99">
        <v>3938</v>
      </c>
      <c r="AP99">
        <v>3598</v>
      </c>
      <c r="AT99" t="str">
        <f>""</f>
        <v/>
      </c>
      <c r="AU99" t="str">
        <f>""</f>
        <v/>
      </c>
      <c r="AV99" t="str">
        <f>""</f>
        <v/>
      </c>
      <c r="AW99" t="str">
        <f>""</f>
        <v/>
      </c>
      <c r="AX99" t="str">
        <f>""</f>
        <v/>
      </c>
      <c r="AY99" t="str">
        <f>""</f>
        <v/>
      </c>
      <c r="AZ99" t="str">
        <f>""</f>
        <v/>
      </c>
      <c r="BA99" t="str">
        <f>""</f>
        <v/>
      </c>
      <c r="BB99" t="str">
        <f>""</f>
        <v/>
      </c>
      <c r="BC99" t="str">
        <f>""</f>
        <v/>
      </c>
      <c r="BD99" t="str">
        <f>""</f>
        <v/>
      </c>
      <c r="BE99" t="str">
        <f>""</f>
        <v/>
      </c>
      <c r="BF99" t="str">
        <f>""</f>
        <v/>
      </c>
      <c r="BG99" t="str">
        <f>""</f>
        <v/>
      </c>
      <c r="BH99" t="str">
        <f>""</f>
        <v/>
      </c>
      <c r="BI99" t="str">
        <f>""</f>
        <v/>
      </c>
      <c r="BJ99" t="str">
        <f>""</f>
        <v/>
      </c>
      <c r="BK99" t="str">
        <f>""</f>
        <v/>
      </c>
      <c r="BL99" t="str">
        <f>""</f>
        <v/>
      </c>
      <c r="BM99" t="str">
        <f>""</f>
        <v/>
      </c>
      <c r="BN99" t="str">
        <f>""</f>
        <v/>
      </c>
      <c r="BO99" t="str">
        <f>""</f>
        <v/>
      </c>
      <c r="BP99" t="str">
        <f>""</f>
        <v/>
      </c>
      <c r="BQ99" t="str">
        <f>""</f>
        <v/>
      </c>
      <c r="BR99" t="str">
        <f>""</f>
        <v/>
      </c>
      <c r="BS99" t="str">
        <f>""</f>
        <v/>
      </c>
      <c r="BT99" t="str">
        <f>""</f>
        <v/>
      </c>
      <c r="BU99" t="str">
        <f>""</f>
        <v/>
      </c>
      <c r="BV99" t="str">
        <f>""</f>
        <v/>
      </c>
      <c r="BW99" t="str">
        <f>""</f>
        <v/>
      </c>
      <c r="BX99" t="str">
        <f>""</f>
        <v/>
      </c>
      <c r="BY99" t="str">
        <f>""</f>
        <v/>
      </c>
      <c r="BZ99" t="str">
        <f>""</f>
        <v/>
      </c>
      <c r="CA99" t="str">
        <f>""</f>
        <v/>
      </c>
      <c r="CB99" t="str">
        <f>""</f>
        <v/>
      </c>
      <c r="CC99" t="str">
        <f>""</f>
        <v/>
      </c>
      <c r="CD99" t="str">
        <f>""</f>
        <v/>
      </c>
      <c r="CE99" t="str">
        <f>""</f>
        <v/>
      </c>
      <c r="CF99" t="str">
        <f>""</f>
        <v/>
      </c>
      <c r="CG99" t="str">
        <f>""</f>
        <v/>
      </c>
    </row>
    <row r="100" spans="1:85" x14ac:dyDescent="0.25">
      <c r="A100" t="str">
        <f>"BDH snapshot header1"</f>
        <v>BDH snapshot header1</v>
      </c>
      <c r="B100">
        <f ca="1">IF(OR(ISERROR($C$100),ISBLANK($C$100),ISNUMBER(SEARCH("N/A",$C$100) ),ISERROR($C$101),ISBLANK($C$101)),0,1)</f>
        <v>0</v>
      </c>
      <c r="C100" t="e">
        <f ca="1">_xll.BDH($B$39,$C$39,$B$62,$B$96,"PER=CM","Dts=S","DtFmt=FI","rows=2","Dir=H","Points=40","Sort=R","Days=A","Fill=B","FX=USD","cols=40;rows=2")</f>
        <v>#NAME?</v>
      </c>
      <c r="D100" t="s">
        <v>28</v>
      </c>
      <c r="E100" t="s">
        <v>28</v>
      </c>
      <c r="F100" t="s">
        <v>28</v>
      </c>
      <c r="G100" t="s">
        <v>28</v>
      </c>
      <c r="H100" t="s">
        <v>28</v>
      </c>
      <c r="I100" t="s">
        <v>28</v>
      </c>
      <c r="J100" t="s">
        <v>28</v>
      </c>
      <c r="K100" t="s">
        <v>28</v>
      </c>
      <c r="L100" t="s">
        <v>28</v>
      </c>
      <c r="M100" t="s">
        <v>28</v>
      </c>
      <c r="N100" t="s">
        <v>28</v>
      </c>
      <c r="O100" t="s">
        <v>28</v>
      </c>
      <c r="P100" t="s">
        <v>28</v>
      </c>
      <c r="Q100" t="s">
        <v>28</v>
      </c>
      <c r="R100" t="s">
        <v>28</v>
      </c>
      <c r="S100" t="s">
        <v>28</v>
      </c>
      <c r="T100" t="s">
        <v>28</v>
      </c>
      <c r="U100" t="s">
        <v>28</v>
      </c>
      <c r="V100" t="s">
        <v>28</v>
      </c>
      <c r="W100" t="s">
        <v>28</v>
      </c>
      <c r="X100" t="s">
        <v>28</v>
      </c>
      <c r="Y100" t="s">
        <v>28</v>
      </c>
      <c r="Z100" t="s">
        <v>28</v>
      </c>
      <c r="AA100" t="s">
        <v>28</v>
      </c>
      <c r="AB100" t="s">
        <v>28</v>
      </c>
      <c r="AC100" t="s">
        <v>28</v>
      </c>
      <c r="AD100" t="s">
        <v>28</v>
      </c>
      <c r="AE100" t="s">
        <v>28</v>
      </c>
      <c r="AF100" t="s">
        <v>28</v>
      </c>
      <c r="AG100" t="s">
        <v>28</v>
      </c>
      <c r="AH100" t="s">
        <v>28</v>
      </c>
      <c r="AI100" t="s">
        <v>28</v>
      </c>
      <c r="AJ100" t="s">
        <v>28</v>
      </c>
      <c r="AK100" t="s">
        <v>28</v>
      </c>
      <c r="AL100" t="s">
        <v>28</v>
      </c>
      <c r="AM100" t="s">
        <v>28</v>
      </c>
      <c r="AN100" t="s">
        <v>28</v>
      </c>
      <c r="AO100" t="s">
        <v>28</v>
      </c>
      <c r="AP100" t="s">
        <v>28</v>
      </c>
      <c r="AT100" t="str">
        <f>""</f>
        <v/>
      </c>
      <c r="AU100" t="str">
        <f>""</f>
        <v/>
      </c>
      <c r="AV100" t="str">
        <f>""</f>
        <v/>
      </c>
      <c r="AW100" t="str">
        <f>""</f>
        <v/>
      </c>
      <c r="AX100" t="str">
        <f>""</f>
        <v/>
      </c>
      <c r="AY100" t="str">
        <f>""</f>
        <v/>
      </c>
      <c r="AZ100" t="str">
        <f>""</f>
        <v/>
      </c>
      <c r="BA100" t="str">
        <f>""</f>
        <v/>
      </c>
      <c r="BB100" t="str">
        <f>""</f>
        <v/>
      </c>
      <c r="BC100" t="str">
        <f>""</f>
        <v/>
      </c>
      <c r="BD100" t="str">
        <f>""</f>
        <v/>
      </c>
      <c r="BE100" t="str">
        <f>""</f>
        <v/>
      </c>
      <c r="BF100" t="str">
        <f>""</f>
        <v/>
      </c>
      <c r="BG100" t="str">
        <f>""</f>
        <v/>
      </c>
      <c r="BH100" t="str">
        <f>""</f>
        <v/>
      </c>
      <c r="BI100" t="str">
        <f>""</f>
        <v/>
      </c>
      <c r="BJ100" t="str">
        <f>""</f>
        <v/>
      </c>
      <c r="BK100" t="str">
        <f>""</f>
        <v/>
      </c>
      <c r="BL100" t="str">
        <f>""</f>
        <v/>
      </c>
      <c r="BM100" t="str">
        <f>""</f>
        <v/>
      </c>
      <c r="BN100" t="str">
        <f>""</f>
        <v/>
      </c>
      <c r="BO100" t="str">
        <f>""</f>
        <v/>
      </c>
      <c r="BP100" t="str">
        <f>""</f>
        <v/>
      </c>
      <c r="BQ100" t="str">
        <f>""</f>
        <v/>
      </c>
      <c r="BR100" t="str">
        <f>""</f>
        <v/>
      </c>
      <c r="BS100" t="str">
        <f>""</f>
        <v/>
      </c>
      <c r="BT100" t="str">
        <f>""</f>
        <v/>
      </c>
      <c r="BU100" t="str">
        <f>""</f>
        <v/>
      </c>
      <c r="BV100" t="str">
        <f>""</f>
        <v/>
      </c>
      <c r="BW100" t="str">
        <f>""</f>
        <v/>
      </c>
      <c r="BX100" t="str">
        <f>""</f>
        <v/>
      </c>
      <c r="BY100" t="str">
        <f>""</f>
        <v/>
      </c>
      <c r="BZ100" t="str">
        <f>""</f>
        <v/>
      </c>
      <c r="CA100" t="str">
        <f>""</f>
        <v/>
      </c>
      <c r="CB100" t="str">
        <f>""</f>
        <v/>
      </c>
      <c r="CC100" t="str">
        <f>""</f>
        <v/>
      </c>
      <c r="CD100" t="str">
        <f>""</f>
        <v/>
      </c>
      <c r="CE100" t="str">
        <f>""</f>
        <v/>
      </c>
      <c r="CF100" t="str">
        <f>""</f>
        <v/>
      </c>
      <c r="CG100" t="str">
        <f>""</f>
        <v/>
      </c>
    </row>
    <row r="101" spans="1:85" x14ac:dyDescent="0.25">
      <c r="A101" t="str">
        <f>"BDH snapshot result1"</f>
        <v>BDH snapshot result1</v>
      </c>
      <c r="E101">
        <v>1251</v>
      </c>
      <c r="F101">
        <v>1234</v>
      </c>
      <c r="G101">
        <v>1395</v>
      </c>
      <c r="H101">
        <v>1139</v>
      </c>
      <c r="I101">
        <v>1122</v>
      </c>
      <c r="J101">
        <v>1056</v>
      </c>
      <c r="K101">
        <v>795</v>
      </c>
      <c r="L101">
        <v>1010</v>
      </c>
      <c r="M101">
        <v>651</v>
      </c>
      <c r="N101">
        <v>887</v>
      </c>
      <c r="O101">
        <v>1310</v>
      </c>
      <c r="P101">
        <v>1065</v>
      </c>
      <c r="Q101">
        <v>1093</v>
      </c>
      <c r="R101">
        <v>1302</v>
      </c>
      <c r="S101">
        <v>1202</v>
      </c>
      <c r="T101">
        <v>1281</v>
      </c>
      <c r="U101">
        <v>1224</v>
      </c>
      <c r="V101">
        <v>1114</v>
      </c>
      <c r="W101">
        <v>1151</v>
      </c>
      <c r="X101">
        <v>1385</v>
      </c>
      <c r="Y101">
        <v>1110</v>
      </c>
      <c r="Z101">
        <v>1225</v>
      </c>
      <c r="AA101">
        <v>1656</v>
      </c>
      <c r="AB101">
        <v>1396</v>
      </c>
      <c r="AC101">
        <v>1777</v>
      </c>
      <c r="AD101">
        <v>1927</v>
      </c>
      <c r="AE101">
        <v>1765</v>
      </c>
      <c r="AF101">
        <v>2132</v>
      </c>
      <c r="AG101">
        <v>2113</v>
      </c>
      <c r="AH101">
        <v>1902</v>
      </c>
      <c r="AI101">
        <v>1780</v>
      </c>
      <c r="AJ101">
        <v>2177</v>
      </c>
      <c r="AK101">
        <v>1835</v>
      </c>
      <c r="AL101">
        <v>2480</v>
      </c>
      <c r="AM101">
        <v>4135</v>
      </c>
      <c r="AN101">
        <v>4037</v>
      </c>
      <c r="AO101">
        <v>4133</v>
      </c>
      <c r="AP101">
        <v>3689</v>
      </c>
      <c r="AT101" t="str">
        <f>""</f>
        <v/>
      </c>
      <c r="AU101" t="str">
        <f>""</f>
        <v/>
      </c>
      <c r="AV101" t="str">
        <f>""</f>
        <v/>
      </c>
      <c r="AW101" t="str">
        <f>""</f>
        <v/>
      </c>
      <c r="AX101" t="str">
        <f>""</f>
        <v/>
      </c>
      <c r="AY101" t="str">
        <f>""</f>
        <v/>
      </c>
      <c r="AZ101" t="str">
        <f>""</f>
        <v/>
      </c>
      <c r="BA101" t="str">
        <f>""</f>
        <v/>
      </c>
      <c r="BB101" t="str">
        <f>""</f>
        <v/>
      </c>
      <c r="BC101" t="str">
        <f>""</f>
        <v/>
      </c>
      <c r="BD101" t="str">
        <f>""</f>
        <v/>
      </c>
      <c r="BE101" t="str">
        <f>""</f>
        <v/>
      </c>
      <c r="BF101" t="str">
        <f>""</f>
        <v/>
      </c>
      <c r="BG101" t="str">
        <f>""</f>
        <v/>
      </c>
      <c r="BH101" t="str">
        <f>""</f>
        <v/>
      </c>
      <c r="BI101" t="str">
        <f>""</f>
        <v/>
      </c>
      <c r="BJ101" t="str">
        <f>""</f>
        <v/>
      </c>
      <c r="BK101" t="str">
        <f>""</f>
        <v/>
      </c>
      <c r="BL101" t="str">
        <f>""</f>
        <v/>
      </c>
      <c r="BM101" t="str">
        <f>""</f>
        <v/>
      </c>
      <c r="BN101" t="str">
        <f>""</f>
        <v/>
      </c>
      <c r="BO101" t="str">
        <f>""</f>
        <v/>
      </c>
      <c r="BP101" t="str">
        <f>""</f>
        <v/>
      </c>
      <c r="BQ101" t="str">
        <f>""</f>
        <v/>
      </c>
      <c r="BR101" t="str">
        <f>""</f>
        <v/>
      </c>
      <c r="BS101" t="str">
        <f>""</f>
        <v/>
      </c>
      <c r="BT101" t="str">
        <f>""</f>
        <v/>
      </c>
      <c r="BU101" t="str">
        <f>""</f>
        <v/>
      </c>
      <c r="BV101" t="str">
        <f>""</f>
        <v/>
      </c>
      <c r="BW101" t="str">
        <f>""</f>
        <v/>
      </c>
      <c r="BX101" t="str">
        <f>""</f>
        <v/>
      </c>
      <c r="BY101" t="str">
        <f>""</f>
        <v/>
      </c>
      <c r="BZ101" t="str">
        <f>""</f>
        <v/>
      </c>
      <c r="CA101" t="str">
        <f>""</f>
        <v/>
      </c>
      <c r="CB101" t="str">
        <f>""</f>
        <v/>
      </c>
      <c r="CC101" t="str">
        <f>""</f>
        <v/>
      </c>
      <c r="CD101" t="str">
        <f>""</f>
        <v/>
      </c>
      <c r="CE101" t="str">
        <f>""</f>
        <v/>
      </c>
      <c r="CF101" t="str">
        <f>""</f>
        <v/>
      </c>
      <c r="CG101" t="str">
        <f>""</f>
        <v/>
      </c>
    </row>
    <row r="102" spans="1:85" x14ac:dyDescent="0.25">
      <c r="A102" t="str">
        <f>"BDH snapshot"</f>
        <v>BDH snapshot</v>
      </c>
      <c r="B102">
        <f ca="1">IF($B$98&gt;=1,$B$98,IF($B$100&gt;=1,$B$100,$B$97))</f>
        <v>2</v>
      </c>
      <c r="C102" t="str">
        <f ca="1">IF($B$98&gt;=1,$C$98,IF($B$100&gt;=1,$C$100,$C$97))</f>
        <v>10/2017</v>
      </c>
      <c r="D102" t="str">
        <f ca="1">IF($B$98&gt;=1,$D$98,IF($B$100&gt;=1,$D$100,$D$97))</f>
        <v>9/2017</v>
      </c>
      <c r="E102" t="str">
        <f ca="1">IF($B$98&gt;=1,$E$98,IF($B$100&gt;=1,$E$100,$E$97))</f>
        <v>8/2017</v>
      </c>
      <c r="F102" t="str">
        <f ca="1">IF($B$98&gt;=1,$F$98,IF($B$100&gt;=1,$F$100,$F$97))</f>
        <v>7/2017</v>
      </c>
      <c r="G102" t="str">
        <f ca="1">IF($B$98&gt;=1,$G$98,IF($B$100&gt;=1,$G$100,$G$97))</f>
        <v>6/2017</v>
      </c>
      <c r="H102" t="str">
        <f ca="1">IF($B$98&gt;=1,$H$98,IF($B$100&gt;=1,$H$100,$H$97))</f>
        <v>5/2017</v>
      </c>
      <c r="I102" t="str">
        <f ca="1">IF($B$98&gt;=1,$I$98,IF($B$100&gt;=1,$I$100,$I$97))</f>
        <v>4/2017</v>
      </c>
      <c r="J102" t="str">
        <f ca="1">IF($B$98&gt;=1,$J$98,IF($B$100&gt;=1,$J$100,$J$97))</f>
        <v>3/2017</v>
      </c>
      <c r="K102" t="str">
        <f ca="1">IF($B$98&gt;=1,$K$98,IF($B$100&gt;=1,$K$100,$K$97))</f>
        <v>2/2017</v>
      </c>
      <c r="L102" t="str">
        <f ca="1">IF($B$98&gt;=1,$L$98,IF($B$100&gt;=1,$L$100,$L$97))</f>
        <v>1/2017</v>
      </c>
      <c r="M102" t="str">
        <f ca="1">IF($B$98&gt;=1,$M$98,IF($B$100&gt;=1,$M$100,$M$97))</f>
        <v>12/2016</v>
      </c>
      <c r="N102" t="str">
        <f ca="1">IF($B$98&gt;=1,$N$98,IF($B$100&gt;=1,$N$100,$N$97))</f>
        <v>11/2016</v>
      </c>
      <c r="O102" t="str">
        <f ca="1">IF($B$98&gt;=1,$O$98,IF($B$100&gt;=1,$O$100,$O$97))</f>
        <v>10/2016</v>
      </c>
      <c r="P102" t="str">
        <f ca="1">IF($B$98&gt;=1,$P$98,IF($B$100&gt;=1,$P$100,$P$97))</f>
        <v>9/2016</v>
      </c>
      <c r="Q102" t="str">
        <f ca="1">IF($B$98&gt;=1,$Q$98,IF($B$100&gt;=1,$Q$100,$Q$97))</f>
        <v>8/2016</v>
      </c>
      <c r="R102" t="str">
        <f ca="1">IF($B$98&gt;=1,$R$98,IF($B$100&gt;=1,$R$100,$R$97))</f>
        <v>7/2016</v>
      </c>
      <c r="S102" t="str">
        <f ca="1">IF($B$98&gt;=1,$S$98,IF($B$100&gt;=1,$S$100,$S$97))</f>
        <v>6/2016</v>
      </c>
      <c r="T102" t="str">
        <f ca="1">IF($B$98&gt;=1,$T$98,IF($B$100&gt;=1,$T$100,$T$97))</f>
        <v>5/2016</v>
      </c>
      <c r="U102" t="str">
        <f ca="1">IF($B$98&gt;=1,$U$98,IF($B$100&gt;=1,$U$100,$U$97))</f>
        <v>4/2016</v>
      </c>
      <c r="V102" t="str">
        <f ca="1">IF($B$98&gt;=1,$V$98,IF($B$100&gt;=1,$V$100,$V$97))</f>
        <v>3/2016</v>
      </c>
      <c r="W102" t="str">
        <f ca="1">IF($B$98&gt;=1,$W$98,IF($B$100&gt;=1,$W$100,$W$97))</f>
        <v>2/2016</v>
      </c>
      <c r="X102" t="str">
        <f ca="1">IF($B$98&gt;=1,$X$98,IF($B$100&gt;=1,$X$100,$X$97))</f>
        <v>1/2016</v>
      </c>
      <c r="Y102" t="str">
        <f ca="1">IF($B$98&gt;=1,$Y$98,IF($B$100&gt;=1,$Y$100,$Y$97))</f>
        <v>12/2015</v>
      </c>
      <c r="Z102" t="str">
        <f ca="1">IF($B$98&gt;=1,$Z$98,IF($B$100&gt;=1,$Z$100,$Z$97))</f>
        <v>11/2015</v>
      </c>
      <c r="AA102" t="str">
        <f ca="1">IF($B$98&gt;=1,$AA$98,IF($B$100&gt;=1,$AA$100,$AA$97))</f>
        <v>10/2015</v>
      </c>
      <c r="AB102" t="str">
        <f ca="1">IF($B$98&gt;=1,$AB$98,IF($B$100&gt;=1,$AB$100,$AB$97))</f>
        <v>9/2015</v>
      </c>
      <c r="AC102" t="str">
        <f ca="1">IF($B$98&gt;=1,$AC$98,IF($B$100&gt;=1,$AC$100,$AC$97))</f>
        <v>8/2015</v>
      </c>
      <c r="AD102" t="str">
        <f ca="1">IF($B$98&gt;=1,$AD$98,IF($B$100&gt;=1,$AD$100,$AD$97))</f>
        <v>7/2015</v>
      </c>
      <c r="AE102" t="str">
        <f ca="1">IF($B$98&gt;=1,$AE$98,IF($B$100&gt;=1,$AE$100,$AE$97))</f>
        <v>6/2015</v>
      </c>
      <c r="AF102" t="str">
        <f ca="1">IF($B$98&gt;=1,$AF$98,IF($B$100&gt;=1,$AF$100,$AF$97))</f>
        <v>5/2015</v>
      </c>
      <c r="AG102" t="str">
        <f ca="1">IF($B$98&gt;=1,$AG$98,IF($B$100&gt;=1,$AG$100,$AG$97))</f>
        <v>4/2015</v>
      </c>
      <c r="AH102" t="str">
        <f ca="1">IF($B$98&gt;=1,$AH$98,IF($B$100&gt;=1,$AH$100,$AH$97))</f>
        <v>3/2015</v>
      </c>
      <c r="AI102" t="str">
        <f ca="1">IF($B$98&gt;=1,$AI$98,IF($B$100&gt;=1,$AI$100,$AI$97))</f>
        <v>2/2015</v>
      </c>
      <c r="AJ102" t="str">
        <f ca="1">IF($B$98&gt;=1,$AJ$98,IF($B$100&gt;=1,$AJ$100,$AJ$97))</f>
        <v>1/2015</v>
      </c>
      <c r="AK102" t="str">
        <f ca="1">IF($B$98&gt;=1,$AK$98,IF($B$100&gt;=1,$AK$100,$AK$97))</f>
        <v>12/2014</v>
      </c>
      <c r="AL102" t="str">
        <f ca="1">IF($B$98&gt;=1,$AL$98,IF($B$100&gt;=1,$AL$100,$AL$97))</f>
        <v>11/2014</v>
      </c>
      <c r="AM102" t="str">
        <f ca="1">IF($B$98&gt;=1,$AM$98,IF($B$100&gt;=1,$AM$100,$AM$97))</f>
        <v>10/2014</v>
      </c>
      <c r="AN102" t="str">
        <f ca="1">IF($B$98&gt;=1,$AN$98,IF($B$100&gt;=1,$AN$100,$AN$97))</f>
        <v>9/2014</v>
      </c>
      <c r="AO102" t="str">
        <f ca="1">IF($B$98&gt;=1,$AO$98,IF($B$100&gt;=1,$AO$100,$AO$97))</f>
        <v>8/2014</v>
      </c>
      <c r="AP102" t="str">
        <f ca="1">IF($B$98&gt;=1,$AP$98,IF($B$100&gt;=1,$AP$100,$AP$97))</f>
        <v>7/2014</v>
      </c>
      <c r="AT102" t="str">
        <f>""</f>
        <v/>
      </c>
      <c r="AU102" t="str">
        <f>""</f>
        <v/>
      </c>
      <c r="AV102" t="str">
        <f>""</f>
        <v/>
      </c>
      <c r="AW102" t="str">
        <f>""</f>
        <v/>
      </c>
      <c r="AX102" t="str">
        <f>""</f>
        <v/>
      </c>
      <c r="AY102" t="str">
        <f>""</f>
        <v/>
      </c>
      <c r="AZ102" t="str">
        <f>""</f>
        <v/>
      </c>
      <c r="BA102" t="str">
        <f>""</f>
        <v/>
      </c>
      <c r="BB102" t="str">
        <f>""</f>
        <v/>
      </c>
      <c r="BC102" t="str">
        <f>""</f>
        <v/>
      </c>
      <c r="BD102" t="str">
        <f>""</f>
        <v/>
      </c>
      <c r="BE102" t="str">
        <f>""</f>
        <v/>
      </c>
      <c r="BF102" t="str">
        <f>""</f>
        <v/>
      </c>
      <c r="BG102" t="str">
        <f>""</f>
        <v/>
      </c>
      <c r="BH102" t="str">
        <f>""</f>
        <v/>
      </c>
      <c r="BI102" t="str">
        <f>""</f>
        <v/>
      </c>
      <c r="BJ102" t="str">
        <f>""</f>
        <v/>
      </c>
      <c r="BK102" t="str">
        <f>""</f>
        <v/>
      </c>
      <c r="BL102" t="str">
        <f>""</f>
        <v/>
      </c>
      <c r="BM102" t="str">
        <f>""</f>
        <v/>
      </c>
      <c r="BN102" t="str">
        <f>""</f>
        <v/>
      </c>
      <c r="BO102" t="str">
        <f>""</f>
        <v/>
      </c>
      <c r="BP102" t="str">
        <f>""</f>
        <v/>
      </c>
      <c r="BQ102" t="str">
        <f>""</f>
        <v/>
      </c>
      <c r="BR102" t="str">
        <f>""</f>
        <v/>
      </c>
      <c r="BS102" t="str">
        <f>""</f>
        <v/>
      </c>
      <c r="BT102" t="str">
        <f>""</f>
        <v/>
      </c>
      <c r="BU102" t="str">
        <f>""</f>
        <v/>
      </c>
      <c r="BV102" t="str">
        <f>""</f>
        <v/>
      </c>
      <c r="BW102" t="str">
        <f>""</f>
        <v/>
      </c>
      <c r="BX102" t="str">
        <f>""</f>
        <v/>
      </c>
      <c r="BY102" t="str">
        <f>""</f>
        <v/>
      </c>
      <c r="BZ102" t="str">
        <f>""</f>
        <v/>
      </c>
      <c r="CA102" t="str">
        <f>""</f>
        <v/>
      </c>
      <c r="CB102" t="str">
        <f>""</f>
        <v/>
      </c>
      <c r="CC102" t="str">
        <f>""</f>
        <v/>
      </c>
      <c r="CD102" t="str">
        <f>""</f>
        <v/>
      </c>
      <c r="CE102" t="str">
        <f>""</f>
        <v/>
      </c>
      <c r="CF102" t="str">
        <f>""</f>
        <v/>
      </c>
      <c r="CG102" t="str">
        <f>""</f>
        <v/>
      </c>
    </row>
    <row r="103" spans="1:85" x14ac:dyDescent="0.25">
      <c r="A103" t="str">
        <f>"BDH snapshot title"</f>
        <v>BDH snapshot title</v>
      </c>
      <c r="B103">
        <f ca="1">$B$102</f>
        <v>2</v>
      </c>
      <c r="C103" t="str">
        <f ca="1">$C$102</f>
        <v>10/2017</v>
      </c>
      <c r="D103" t="str">
        <f ca="1">$D$102</f>
        <v>9/2017</v>
      </c>
      <c r="E103" t="str">
        <f ca="1">$E$102</f>
        <v>8/2017</v>
      </c>
      <c r="F103" t="str">
        <f ca="1">$F$102</f>
        <v>7/2017</v>
      </c>
      <c r="G103" t="str">
        <f ca="1">$G$102</f>
        <v>6/2017</v>
      </c>
      <c r="H103" t="str">
        <f ca="1">$H$102</f>
        <v>5/2017</v>
      </c>
      <c r="I103" t="str">
        <f ca="1">$I$102</f>
        <v>4/2017</v>
      </c>
      <c r="J103" t="str">
        <f ca="1">$J$102</f>
        <v>3/2017</v>
      </c>
      <c r="K103" t="str">
        <f ca="1">$K$102</f>
        <v>2/2017</v>
      </c>
      <c r="L103" t="str">
        <f ca="1">$L$102</f>
        <v>1/2017</v>
      </c>
      <c r="M103" t="str">
        <f ca="1">$M$102</f>
        <v>12/2016</v>
      </c>
      <c r="N103" t="str">
        <f ca="1">$N$102</f>
        <v>11/2016</v>
      </c>
      <c r="O103" t="str">
        <f ca="1">$O$102</f>
        <v>10/2016</v>
      </c>
      <c r="P103" t="str">
        <f ca="1">$P$102</f>
        <v>9/2016</v>
      </c>
      <c r="Q103" t="str">
        <f ca="1">$Q$102</f>
        <v>8/2016</v>
      </c>
      <c r="R103" t="str">
        <f ca="1">$R$102</f>
        <v>7/2016</v>
      </c>
      <c r="S103" t="str">
        <f ca="1">$S$102</f>
        <v>6/2016</v>
      </c>
      <c r="T103" t="str">
        <f ca="1">$T$102</f>
        <v>5/2016</v>
      </c>
      <c r="U103" t="str">
        <f ca="1">$U$102</f>
        <v>4/2016</v>
      </c>
      <c r="V103" t="str">
        <f ca="1">$V$102</f>
        <v>3/2016</v>
      </c>
      <c r="W103" t="str">
        <f ca="1">$W$102</f>
        <v>2/2016</v>
      </c>
      <c r="X103" t="str">
        <f ca="1">$X$102</f>
        <v>1/2016</v>
      </c>
      <c r="Y103" t="str">
        <f ca="1">$Y$102</f>
        <v>12/2015</v>
      </c>
      <c r="Z103" t="str">
        <f ca="1">$Z$102</f>
        <v>11/2015</v>
      </c>
      <c r="AA103" t="str">
        <f ca="1">$AA$102</f>
        <v>10/2015</v>
      </c>
      <c r="AB103" t="str">
        <f ca="1">$AB$102</f>
        <v>9/2015</v>
      </c>
      <c r="AC103" t="str">
        <f ca="1">$AC$102</f>
        <v>8/2015</v>
      </c>
      <c r="AD103" t="str">
        <f ca="1">$AD$102</f>
        <v>7/2015</v>
      </c>
      <c r="AE103" t="str">
        <f ca="1">$AE$102</f>
        <v>6/2015</v>
      </c>
      <c r="AF103" t="str">
        <f ca="1">$AF$102</f>
        <v>5/2015</v>
      </c>
      <c r="AG103" t="str">
        <f ca="1">$AG$102</f>
        <v>4/2015</v>
      </c>
      <c r="AH103" t="str">
        <f ca="1">$AH$102</f>
        <v>3/2015</v>
      </c>
      <c r="AI103" t="str">
        <f ca="1">$AI$102</f>
        <v>2/2015</v>
      </c>
      <c r="AJ103" t="str">
        <f ca="1">$AJ$102</f>
        <v>1/2015</v>
      </c>
      <c r="AK103" t="str">
        <f ca="1">$AK$102</f>
        <v>12/2014</v>
      </c>
      <c r="AL103" t="str">
        <f ca="1">$AL$102</f>
        <v>11/2014</v>
      </c>
      <c r="AM103" t="str">
        <f ca="1">$AM$102</f>
        <v>10/2014</v>
      </c>
      <c r="AN103" t="str">
        <f ca="1">$AN$102</f>
        <v>9/2014</v>
      </c>
      <c r="AO103" t="str">
        <f ca="1">$AO$102</f>
        <v>8/2014</v>
      </c>
      <c r="AP103" t="str">
        <f ca="1">$AP$102</f>
        <v>7/2014</v>
      </c>
      <c r="AT103" t="str">
        <f>""</f>
        <v/>
      </c>
      <c r="AU103" t="str">
        <f>""</f>
        <v/>
      </c>
      <c r="AV103" t="str">
        <f>""</f>
        <v/>
      </c>
      <c r="AW103" t="str">
        <f>""</f>
        <v/>
      </c>
      <c r="AX103" t="str">
        <f>""</f>
        <v/>
      </c>
      <c r="AY103" t="str">
        <f>""</f>
        <v/>
      </c>
      <c r="AZ103" t="str">
        <f>""</f>
        <v/>
      </c>
      <c r="BA103" t="str">
        <f>""</f>
        <v/>
      </c>
      <c r="BB103" t="str">
        <f>""</f>
        <v/>
      </c>
      <c r="BC103" t="str">
        <f>""</f>
        <v/>
      </c>
      <c r="BD103" t="str">
        <f>""</f>
        <v/>
      </c>
      <c r="BE103" t="str">
        <f>""</f>
        <v/>
      </c>
      <c r="BF103" t="str">
        <f>""</f>
        <v/>
      </c>
      <c r="BG103" t="str">
        <f>""</f>
        <v/>
      </c>
      <c r="BH103" t="str">
        <f>""</f>
        <v/>
      </c>
      <c r="BI103" t="str">
        <f>""</f>
        <v/>
      </c>
      <c r="BJ103" t="str">
        <f>""</f>
        <v/>
      </c>
      <c r="BK103" t="str">
        <f>""</f>
        <v/>
      </c>
      <c r="BL103" t="str">
        <f>""</f>
        <v/>
      </c>
      <c r="BM103" t="str">
        <f>""</f>
        <v/>
      </c>
      <c r="BN103" t="str">
        <f>""</f>
        <v/>
      </c>
      <c r="BO103" t="str">
        <f>""</f>
        <v/>
      </c>
      <c r="BP103" t="str">
        <f>""</f>
        <v/>
      </c>
      <c r="BQ103" t="str">
        <f>""</f>
        <v/>
      </c>
      <c r="BR103" t="str">
        <f>""</f>
        <v/>
      </c>
      <c r="BS103" t="str">
        <f>""</f>
        <v/>
      </c>
      <c r="BT103" t="str">
        <f>""</f>
        <v/>
      </c>
      <c r="BU103" t="str">
        <f>""</f>
        <v/>
      </c>
      <c r="BV103" t="str">
        <f>""</f>
        <v/>
      </c>
      <c r="BW103" t="str">
        <f>""</f>
        <v/>
      </c>
      <c r="BX103" t="str">
        <f>""</f>
        <v/>
      </c>
      <c r="BY103" t="str">
        <f>""</f>
        <v/>
      </c>
      <c r="BZ103" t="str">
        <f>""</f>
        <v/>
      </c>
      <c r="CA103" t="str">
        <f>""</f>
        <v/>
      </c>
      <c r="CB103" t="str">
        <f>""</f>
        <v/>
      </c>
      <c r="CC103" t="str">
        <f>""</f>
        <v/>
      </c>
      <c r="CD103" t="str">
        <f>""</f>
        <v/>
      </c>
      <c r="CE103" t="str">
        <f>""</f>
        <v/>
      </c>
      <c r="CF103" t="str">
        <f>""</f>
        <v/>
      </c>
      <c r="CG103" t="str">
        <f>""</f>
        <v/>
      </c>
    </row>
    <row r="104" spans="1:85" x14ac:dyDescent="0.25">
      <c r="A104" t="str">
        <f>"BDH dynamic header0"</f>
        <v>BDH dynamic header0</v>
      </c>
      <c r="B104">
        <f ca="1">IF(OR(ISERROR($C$104),ISBLANK($C$104),ISNUMBER(SEARCH("N/A",$C$104) ),ISERROR($C$105),ISBLANK($C$105)),0,1)</f>
        <v>0</v>
      </c>
      <c r="C104" t="e">
        <f ca="1">_xll.BDH($B$29,$C$29,$B$62,$B$63,"PER=CM","Dts=S","DtFmt=FI","rows=2","Dir=H","Points=40","Sort=R","Days=A","Fill=B","FX=USD","cols=40;rows=2")</f>
        <v>#NAME?</v>
      </c>
      <c r="D104" t="s">
        <v>28</v>
      </c>
      <c r="E104" t="s">
        <v>28</v>
      </c>
      <c r="F104" t="s">
        <v>28</v>
      </c>
      <c r="G104" t="s">
        <v>28</v>
      </c>
      <c r="H104" t="s">
        <v>28</v>
      </c>
      <c r="I104" t="s">
        <v>28</v>
      </c>
      <c r="J104" t="s">
        <v>28</v>
      </c>
      <c r="K104" t="s">
        <v>28</v>
      </c>
      <c r="L104" t="s">
        <v>28</v>
      </c>
      <c r="M104" t="s">
        <v>28</v>
      </c>
      <c r="N104" t="s">
        <v>28</v>
      </c>
      <c r="O104" t="s">
        <v>28</v>
      </c>
      <c r="P104" t="s">
        <v>28</v>
      </c>
      <c r="Q104" t="s">
        <v>28</v>
      </c>
      <c r="R104" t="s">
        <v>28</v>
      </c>
      <c r="S104" t="s">
        <v>28</v>
      </c>
      <c r="T104" t="s">
        <v>28</v>
      </c>
      <c r="U104" t="s">
        <v>28</v>
      </c>
      <c r="V104" t="s">
        <v>28</v>
      </c>
      <c r="W104" t="s">
        <v>28</v>
      </c>
      <c r="X104" t="s">
        <v>28</v>
      </c>
      <c r="Y104" t="s">
        <v>28</v>
      </c>
      <c r="Z104" t="s">
        <v>28</v>
      </c>
      <c r="AA104" t="s">
        <v>28</v>
      </c>
      <c r="AB104" t="s">
        <v>28</v>
      </c>
      <c r="AC104" t="s">
        <v>28</v>
      </c>
      <c r="AD104" t="s">
        <v>28</v>
      </c>
      <c r="AE104" t="s">
        <v>28</v>
      </c>
      <c r="AF104" t="s">
        <v>28</v>
      </c>
      <c r="AG104" t="s">
        <v>28</v>
      </c>
      <c r="AH104" t="s">
        <v>28</v>
      </c>
      <c r="AI104" t="s">
        <v>28</v>
      </c>
      <c r="AJ104" t="s">
        <v>28</v>
      </c>
      <c r="AK104" t="s">
        <v>28</v>
      </c>
      <c r="AL104" t="s">
        <v>28</v>
      </c>
      <c r="AM104" t="s">
        <v>28</v>
      </c>
      <c r="AN104" t="s">
        <v>28</v>
      </c>
      <c r="AO104" t="s">
        <v>28</v>
      </c>
      <c r="AP104" t="s">
        <v>28</v>
      </c>
      <c r="AT104" t="str">
        <f>""</f>
        <v/>
      </c>
      <c r="AU104" t="str">
        <f>""</f>
        <v/>
      </c>
      <c r="AV104" t="str">
        <f>""</f>
        <v/>
      </c>
      <c r="AW104" t="str">
        <f>""</f>
        <v/>
      </c>
      <c r="AX104" t="str">
        <f>""</f>
        <v/>
      </c>
      <c r="AY104" t="str">
        <f>""</f>
        <v/>
      </c>
      <c r="AZ104" t="str">
        <f>""</f>
        <v/>
      </c>
      <c r="BA104" t="str">
        <f>""</f>
        <v/>
      </c>
      <c r="BB104" t="str">
        <f>""</f>
        <v/>
      </c>
      <c r="BC104" t="str">
        <f>""</f>
        <v/>
      </c>
      <c r="BD104" t="str">
        <f>""</f>
        <v/>
      </c>
      <c r="BE104" t="str">
        <f>""</f>
        <v/>
      </c>
      <c r="BF104" t="str">
        <f>""</f>
        <v/>
      </c>
      <c r="BG104" t="str">
        <f>""</f>
        <v/>
      </c>
      <c r="BH104" t="str">
        <f>""</f>
        <v/>
      </c>
      <c r="BI104" t="str">
        <f>""</f>
        <v/>
      </c>
      <c r="BJ104" t="str">
        <f>""</f>
        <v/>
      </c>
      <c r="BK104" t="str">
        <f>""</f>
        <v/>
      </c>
      <c r="BL104" t="str">
        <f>""</f>
        <v/>
      </c>
      <c r="BM104" t="str">
        <f>""</f>
        <v/>
      </c>
      <c r="BN104" t="str">
        <f>""</f>
        <v/>
      </c>
      <c r="BO104" t="str">
        <f>""</f>
        <v/>
      </c>
      <c r="BP104" t="str">
        <f>""</f>
        <v/>
      </c>
      <c r="BQ104" t="str">
        <f>""</f>
        <v/>
      </c>
      <c r="BR104" t="str">
        <f>""</f>
        <v/>
      </c>
      <c r="BS104" t="str">
        <f>""</f>
        <v/>
      </c>
      <c r="BT104" t="str">
        <f>""</f>
        <v/>
      </c>
      <c r="BU104" t="str">
        <f>""</f>
        <v/>
      </c>
      <c r="BV104" t="str">
        <f>""</f>
        <v/>
      </c>
      <c r="BW104" t="str">
        <f>""</f>
        <v/>
      </c>
      <c r="BX104" t="str">
        <f>""</f>
        <v/>
      </c>
      <c r="BY104" t="str">
        <f>""</f>
        <v/>
      </c>
      <c r="BZ104" t="str">
        <f>""</f>
        <v/>
      </c>
      <c r="CA104" t="str">
        <f>""</f>
        <v/>
      </c>
      <c r="CB104" t="str">
        <f>""</f>
        <v/>
      </c>
      <c r="CC104" t="str">
        <f>""</f>
        <v/>
      </c>
      <c r="CD104" t="str">
        <f>""</f>
        <v/>
      </c>
      <c r="CE104" t="str">
        <f>""</f>
        <v/>
      </c>
      <c r="CF104" t="str">
        <f>""</f>
        <v/>
      </c>
      <c r="CG104" t="str">
        <f>""</f>
        <v/>
      </c>
    </row>
    <row r="105" spans="1:85" x14ac:dyDescent="0.25">
      <c r="A105" t="str">
        <f>"BDH dynamic result0"</f>
        <v>BDH dynamic result0</v>
      </c>
      <c r="E105">
        <v>1974</v>
      </c>
      <c r="F105">
        <v>1725</v>
      </c>
      <c r="G105">
        <v>1693</v>
      </c>
      <c r="H105">
        <v>1555</v>
      </c>
      <c r="I105">
        <v>1406</v>
      </c>
      <c r="J105">
        <v>1486</v>
      </c>
      <c r="K105">
        <v>1308</v>
      </c>
      <c r="L105">
        <v>1468</v>
      </c>
      <c r="M105">
        <v>901</v>
      </c>
      <c r="N105">
        <v>1003</v>
      </c>
      <c r="O105">
        <v>1354</v>
      </c>
      <c r="P105">
        <v>1139</v>
      </c>
      <c r="Q105">
        <v>853</v>
      </c>
      <c r="R105">
        <v>1125</v>
      </c>
      <c r="S105">
        <v>1299</v>
      </c>
      <c r="T105">
        <v>1538</v>
      </c>
      <c r="U105">
        <v>1146</v>
      </c>
      <c r="V105">
        <v>1228</v>
      </c>
      <c r="W105">
        <v>1297</v>
      </c>
      <c r="X105">
        <v>1650</v>
      </c>
      <c r="Y105">
        <v>1176</v>
      </c>
      <c r="Z105">
        <v>1397</v>
      </c>
      <c r="AA105">
        <v>1709</v>
      </c>
      <c r="AB105">
        <v>1257</v>
      </c>
      <c r="AC105">
        <v>1788</v>
      </c>
      <c r="AD105">
        <v>1542</v>
      </c>
      <c r="AE105">
        <v>1530</v>
      </c>
      <c r="AF105">
        <v>1669</v>
      </c>
      <c r="AG105">
        <v>1543</v>
      </c>
      <c r="AH105">
        <v>1660</v>
      </c>
      <c r="AI105">
        <v>1547</v>
      </c>
      <c r="AJ105">
        <v>1461</v>
      </c>
      <c r="AK105">
        <v>1061</v>
      </c>
      <c r="AL105">
        <v>1896</v>
      </c>
      <c r="AM105">
        <v>4521</v>
      </c>
      <c r="AN105">
        <v>3907</v>
      </c>
      <c r="AO105">
        <v>3938</v>
      </c>
      <c r="AP105">
        <v>3598</v>
      </c>
      <c r="AT105" t="str">
        <f>""</f>
        <v/>
      </c>
      <c r="AU105" t="str">
        <f>""</f>
        <v/>
      </c>
      <c r="AV105" t="str">
        <f>""</f>
        <v/>
      </c>
      <c r="AW105" t="str">
        <f>""</f>
        <v/>
      </c>
      <c r="AX105" t="str">
        <f>""</f>
        <v/>
      </c>
      <c r="AY105" t="str">
        <f>""</f>
        <v/>
      </c>
      <c r="AZ105" t="str">
        <f>""</f>
        <v/>
      </c>
      <c r="BA105" t="str">
        <f>""</f>
        <v/>
      </c>
      <c r="BB105" t="str">
        <f>""</f>
        <v/>
      </c>
      <c r="BC105" t="str">
        <f>""</f>
        <v/>
      </c>
      <c r="BD105" t="str">
        <f>""</f>
        <v/>
      </c>
      <c r="BE105" t="str">
        <f>""</f>
        <v/>
      </c>
      <c r="BF105" t="str">
        <f>""</f>
        <v/>
      </c>
      <c r="BG105" t="str">
        <f>""</f>
        <v/>
      </c>
      <c r="BH105" t="str">
        <f>""</f>
        <v/>
      </c>
      <c r="BI105" t="str">
        <f>""</f>
        <v/>
      </c>
      <c r="BJ105" t="str">
        <f>""</f>
        <v/>
      </c>
      <c r="BK105" t="str">
        <f>""</f>
        <v/>
      </c>
      <c r="BL105" t="str">
        <f>""</f>
        <v/>
      </c>
      <c r="BM105" t="str">
        <f>""</f>
        <v/>
      </c>
      <c r="BN105" t="str">
        <f>""</f>
        <v/>
      </c>
      <c r="BO105" t="str">
        <f>""</f>
        <v/>
      </c>
      <c r="BP105" t="str">
        <f>""</f>
        <v/>
      </c>
      <c r="BQ105" t="str">
        <f>""</f>
        <v/>
      </c>
      <c r="BR105" t="str">
        <f>""</f>
        <v/>
      </c>
      <c r="BS105" t="str">
        <f>""</f>
        <v/>
      </c>
      <c r="BT105" t="str">
        <f>""</f>
        <v/>
      </c>
      <c r="BU105" t="str">
        <f>""</f>
        <v/>
      </c>
      <c r="BV105" t="str">
        <f>""</f>
        <v/>
      </c>
      <c r="BW105" t="str">
        <f>""</f>
        <v/>
      </c>
      <c r="BX105" t="str">
        <f>""</f>
        <v/>
      </c>
      <c r="BY105" t="str">
        <f>""</f>
        <v/>
      </c>
      <c r="BZ105" t="str">
        <f>""</f>
        <v/>
      </c>
      <c r="CA105" t="str">
        <f>""</f>
        <v/>
      </c>
      <c r="CB105" t="str">
        <f>""</f>
        <v/>
      </c>
      <c r="CC105" t="str">
        <f>""</f>
        <v/>
      </c>
      <c r="CD105" t="str">
        <f>""</f>
        <v/>
      </c>
      <c r="CE105" t="str">
        <f>""</f>
        <v/>
      </c>
      <c r="CF105" t="str">
        <f>""</f>
        <v/>
      </c>
      <c r="CG105" t="str">
        <f>""</f>
        <v/>
      </c>
    </row>
    <row r="106" spans="1:85" x14ac:dyDescent="0.25">
      <c r="A106" t="str">
        <f>"BDH dynamic header1"</f>
        <v>BDH dynamic header1</v>
      </c>
      <c r="B106">
        <f ca="1">IF(OR(ISERROR($C$106),ISBLANK($C$106),ISNUMBER(SEARCH("N/A",$C$106) ),ISERROR($C$107),ISBLANK($C$107)),0,1)</f>
        <v>0</v>
      </c>
      <c r="C106" t="e">
        <f ca="1">_xll.BDH($B$39,$C$39,$B$62,$B$63,"PER=CM","Dts=S","DtFmt=FI","rows=2","Dir=H","Points=40","Sort=R","Days=A","Fill=B","FX=USD","cols=40;rows=2")</f>
        <v>#NAME?</v>
      </c>
      <c r="D106" t="s">
        <v>28</v>
      </c>
      <c r="E106" t="s">
        <v>28</v>
      </c>
      <c r="F106" t="s">
        <v>28</v>
      </c>
      <c r="G106" t="s">
        <v>28</v>
      </c>
      <c r="H106" t="s">
        <v>28</v>
      </c>
      <c r="I106" t="s">
        <v>28</v>
      </c>
      <c r="J106" t="s">
        <v>28</v>
      </c>
      <c r="K106" t="s">
        <v>28</v>
      </c>
      <c r="L106" t="s">
        <v>28</v>
      </c>
      <c r="M106" t="s">
        <v>28</v>
      </c>
      <c r="N106" t="s">
        <v>28</v>
      </c>
      <c r="O106" t="s">
        <v>28</v>
      </c>
      <c r="P106" t="s">
        <v>28</v>
      </c>
      <c r="Q106" t="s">
        <v>28</v>
      </c>
      <c r="R106" t="s">
        <v>28</v>
      </c>
      <c r="S106" t="s">
        <v>28</v>
      </c>
      <c r="T106" t="s">
        <v>28</v>
      </c>
      <c r="U106" t="s">
        <v>28</v>
      </c>
      <c r="V106" t="s">
        <v>28</v>
      </c>
      <c r="W106" t="s">
        <v>28</v>
      </c>
      <c r="X106" t="s">
        <v>28</v>
      </c>
      <c r="Y106" t="s">
        <v>28</v>
      </c>
      <c r="Z106" t="s">
        <v>28</v>
      </c>
      <c r="AA106" t="s">
        <v>28</v>
      </c>
      <c r="AB106" t="s">
        <v>28</v>
      </c>
      <c r="AC106" t="s">
        <v>28</v>
      </c>
      <c r="AD106" t="s">
        <v>28</v>
      </c>
      <c r="AE106" t="s">
        <v>28</v>
      </c>
      <c r="AF106" t="s">
        <v>28</v>
      </c>
      <c r="AG106" t="s">
        <v>28</v>
      </c>
      <c r="AH106" t="s">
        <v>28</v>
      </c>
      <c r="AI106" t="s">
        <v>28</v>
      </c>
      <c r="AJ106" t="s">
        <v>28</v>
      </c>
      <c r="AK106" t="s">
        <v>28</v>
      </c>
      <c r="AL106" t="s">
        <v>28</v>
      </c>
      <c r="AM106" t="s">
        <v>28</v>
      </c>
      <c r="AN106" t="s">
        <v>28</v>
      </c>
      <c r="AO106" t="s">
        <v>28</v>
      </c>
      <c r="AP106" t="s">
        <v>28</v>
      </c>
      <c r="AT106" t="str">
        <f>""</f>
        <v/>
      </c>
      <c r="AU106" t="str">
        <f>""</f>
        <v/>
      </c>
      <c r="AV106" t="str">
        <f>""</f>
        <v/>
      </c>
      <c r="AW106" t="str">
        <f>""</f>
        <v/>
      </c>
      <c r="AX106" t="str">
        <f>""</f>
        <v/>
      </c>
      <c r="AY106" t="str">
        <f>""</f>
        <v/>
      </c>
      <c r="AZ106" t="str">
        <f>""</f>
        <v/>
      </c>
      <c r="BA106" t="str">
        <f>""</f>
        <v/>
      </c>
      <c r="BB106" t="str">
        <f>""</f>
        <v/>
      </c>
      <c r="BC106" t="str">
        <f>""</f>
        <v/>
      </c>
      <c r="BD106" t="str">
        <f>""</f>
        <v/>
      </c>
      <c r="BE106" t="str">
        <f>""</f>
        <v/>
      </c>
      <c r="BF106" t="str">
        <f>""</f>
        <v/>
      </c>
      <c r="BG106" t="str">
        <f>""</f>
        <v/>
      </c>
      <c r="BH106" t="str">
        <f>""</f>
        <v/>
      </c>
      <c r="BI106" t="str">
        <f>""</f>
        <v/>
      </c>
      <c r="BJ106" t="str">
        <f>""</f>
        <v/>
      </c>
      <c r="BK106" t="str">
        <f>""</f>
        <v/>
      </c>
      <c r="BL106" t="str">
        <f>""</f>
        <v/>
      </c>
      <c r="BM106" t="str">
        <f>""</f>
        <v/>
      </c>
      <c r="BN106" t="str">
        <f>""</f>
        <v/>
      </c>
      <c r="BO106" t="str">
        <f>""</f>
        <v/>
      </c>
      <c r="BP106" t="str">
        <f>""</f>
        <v/>
      </c>
      <c r="BQ106" t="str">
        <f>""</f>
        <v/>
      </c>
      <c r="BR106" t="str">
        <f>""</f>
        <v/>
      </c>
      <c r="BS106" t="str">
        <f>""</f>
        <v/>
      </c>
      <c r="BT106" t="str">
        <f>""</f>
        <v/>
      </c>
      <c r="BU106" t="str">
        <f>""</f>
        <v/>
      </c>
      <c r="BV106" t="str">
        <f>""</f>
        <v/>
      </c>
      <c r="BW106" t="str">
        <f>""</f>
        <v/>
      </c>
      <c r="BX106" t="str">
        <f>""</f>
        <v/>
      </c>
      <c r="BY106" t="str">
        <f>""</f>
        <v/>
      </c>
      <c r="BZ106" t="str">
        <f>""</f>
        <v/>
      </c>
      <c r="CA106" t="str">
        <f>""</f>
        <v/>
      </c>
      <c r="CB106" t="str">
        <f>""</f>
        <v/>
      </c>
      <c r="CC106" t="str">
        <f>""</f>
        <v/>
      </c>
      <c r="CD106" t="str">
        <f>""</f>
        <v/>
      </c>
      <c r="CE106" t="str">
        <f>""</f>
        <v/>
      </c>
      <c r="CF106" t="str">
        <f>""</f>
        <v/>
      </c>
      <c r="CG106" t="str">
        <f>""</f>
        <v/>
      </c>
    </row>
    <row r="107" spans="1:85" x14ac:dyDescent="0.25">
      <c r="A107" t="str">
        <f>"BDH dynamic result1"</f>
        <v>BDH dynamic result1</v>
      </c>
      <c r="E107">
        <v>1251</v>
      </c>
      <c r="F107">
        <v>1234</v>
      </c>
      <c r="G107">
        <v>1395</v>
      </c>
      <c r="H107">
        <v>1139</v>
      </c>
      <c r="I107">
        <v>1122</v>
      </c>
      <c r="J107">
        <v>1056</v>
      </c>
      <c r="K107">
        <v>795</v>
      </c>
      <c r="L107">
        <v>1010</v>
      </c>
      <c r="M107">
        <v>651</v>
      </c>
      <c r="N107">
        <v>887</v>
      </c>
      <c r="O107">
        <v>1310</v>
      </c>
      <c r="P107">
        <v>1065</v>
      </c>
      <c r="Q107">
        <v>1093</v>
      </c>
      <c r="R107">
        <v>1302</v>
      </c>
      <c r="S107">
        <v>1202</v>
      </c>
      <c r="T107">
        <v>1281</v>
      </c>
      <c r="U107">
        <v>1224</v>
      </c>
      <c r="V107">
        <v>1114</v>
      </c>
      <c r="W107">
        <v>1151</v>
      </c>
      <c r="X107">
        <v>1385</v>
      </c>
      <c r="Y107">
        <v>1110</v>
      </c>
      <c r="Z107">
        <v>1225</v>
      </c>
      <c r="AA107">
        <v>1656</v>
      </c>
      <c r="AB107">
        <v>1396</v>
      </c>
      <c r="AC107">
        <v>1777</v>
      </c>
      <c r="AD107">
        <v>1927</v>
      </c>
      <c r="AE107">
        <v>1765</v>
      </c>
      <c r="AF107">
        <v>2132</v>
      </c>
      <c r="AG107">
        <v>2113</v>
      </c>
      <c r="AH107">
        <v>1902</v>
      </c>
      <c r="AI107">
        <v>1780</v>
      </c>
      <c r="AJ107">
        <v>2177</v>
      </c>
      <c r="AK107">
        <v>1835</v>
      </c>
      <c r="AL107">
        <v>2480</v>
      </c>
      <c r="AM107">
        <v>4135</v>
      </c>
      <c r="AN107">
        <v>4037</v>
      </c>
      <c r="AO107">
        <v>4133</v>
      </c>
      <c r="AP107">
        <v>3689</v>
      </c>
      <c r="AT107" t="str">
        <f>""</f>
        <v/>
      </c>
      <c r="AU107" t="str">
        <f>""</f>
        <v/>
      </c>
      <c r="AV107" t="str">
        <f>""</f>
        <v/>
      </c>
      <c r="AW107" t="str">
        <f>""</f>
        <v/>
      </c>
      <c r="AX107" t="str">
        <f>""</f>
        <v/>
      </c>
      <c r="AY107" t="str">
        <f>""</f>
        <v/>
      </c>
      <c r="AZ107" t="str">
        <f>""</f>
        <v/>
      </c>
      <c r="BA107" t="str">
        <f>""</f>
        <v/>
      </c>
      <c r="BB107" t="str">
        <f>""</f>
        <v/>
      </c>
      <c r="BC107" t="str">
        <f>""</f>
        <v/>
      </c>
      <c r="BD107" t="str">
        <f>""</f>
        <v/>
      </c>
      <c r="BE107" t="str">
        <f>""</f>
        <v/>
      </c>
      <c r="BF107" t="str">
        <f>""</f>
        <v/>
      </c>
      <c r="BG107" t="str">
        <f>""</f>
        <v/>
      </c>
      <c r="BH107" t="str">
        <f>""</f>
        <v/>
      </c>
      <c r="BI107" t="str">
        <f>""</f>
        <v/>
      </c>
      <c r="BJ107" t="str">
        <f>""</f>
        <v/>
      </c>
      <c r="BK107" t="str">
        <f>""</f>
        <v/>
      </c>
      <c r="BL107" t="str">
        <f>""</f>
        <v/>
      </c>
      <c r="BM107" t="str">
        <f>""</f>
        <v/>
      </c>
      <c r="BN107" t="str">
        <f>""</f>
        <v/>
      </c>
      <c r="BO107" t="str">
        <f>""</f>
        <v/>
      </c>
      <c r="BP107" t="str">
        <f>""</f>
        <v/>
      </c>
      <c r="BQ107" t="str">
        <f>""</f>
        <v/>
      </c>
      <c r="BR107" t="str">
        <f>""</f>
        <v/>
      </c>
      <c r="BS107" t="str">
        <f>""</f>
        <v/>
      </c>
      <c r="BT107" t="str">
        <f>""</f>
        <v/>
      </c>
      <c r="BU107" t="str">
        <f>""</f>
        <v/>
      </c>
      <c r="BV107" t="str">
        <f>""</f>
        <v/>
      </c>
      <c r="BW107" t="str">
        <f>""</f>
        <v/>
      </c>
      <c r="BX107" t="str">
        <f>""</f>
        <v/>
      </c>
      <c r="BY107" t="str">
        <f>""</f>
        <v/>
      </c>
      <c r="BZ107" t="str">
        <f>""</f>
        <v/>
      </c>
      <c r="CA107" t="str">
        <f>""</f>
        <v/>
      </c>
      <c r="CB107" t="str">
        <f>""</f>
        <v/>
      </c>
      <c r="CC107" t="str">
        <f>""</f>
        <v/>
      </c>
      <c r="CD107" t="str">
        <f>""</f>
        <v/>
      </c>
      <c r="CE107" t="str">
        <f>""</f>
        <v/>
      </c>
      <c r="CF107" t="str">
        <f>""</f>
        <v/>
      </c>
      <c r="CG107" t="str">
        <f>""</f>
        <v/>
      </c>
    </row>
    <row r="108" spans="1:85" x14ac:dyDescent="0.25">
      <c r="A108" t="str">
        <f>"BDH dynamic"</f>
        <v>BDH dynamic</v>
      </c>
      <c r="B108">
        <f ca="1">IF($B$104&gt;=1,$B$104,IF($B$106&gt;=1,$B$106,$B$97))</f>
        <v>2</v>
      </c>
      <c r="C108" t="str">
        <f ca="1">IF($B$104&gt;=1,$C$104,IF($B$106&gt;=1,$C$106,$C$97))</f>
        <v>10/2017</v>
      </c>
      <c r="D108" t="str">
        <f ca="1">IF($B$104&gt;=1,$D$104,IF($B$106&gt;=1,$D$106,$D$97))</f>
        <v>9/2017</v>
      </c>
      <c r="E108" t="str">
        <f ca="1">IF($B$104&gt;=1,$E$104,IF($B$106&gt;=1,$E$106,$E$97))</f>
        <v>8/2017</v>
      </c>
      <c r="F108" t="str">
        <f ca="1">IF($B$104&gt;=1,$F$104,IF($B$106&gt;=1,$F$106,$F$97))</f>
        <v>7/2017</v>
      </c>
      <c r="G108" t="str">
        <f ca="1">IF($B$104&gt;=1,$G$104,IF($B$106&gt;=1,$G$106,$G$97))</f>
        <v>6/2017</v>
      </c>
      <c r="H108" t="str">
        <f ca="1">IF($B$104&gt;=1,$H$104,IF($B$106&gt;=1,$H$106,$H$97))</f>
        <v>5/2017</v>
      </c>
      <c r="I108" t="str">
        <f ca="1">IF($B$104&gt;=1,$I$104,IF($B$106&gt;=1,$I$106,$I$97))</f>
        <v>4/2017</v>
      </c>
      <c r="J108" t="str">
        <f ca="1">IF($B$104&gt;=1,$J$104,IF($B$106&gt;=1,$J$106,$J$97))</f>
        <v>3/2017</v>
      </c>
      <c r="K108" t="str">
        <f ca="1">IF($B$104&gt;=1,$K$104,IF($B$106&gt;=1,$K$106,$K$97))</f>
        <v>2/2017</v>
      </c>
      <c r="L108" t="str">
        <f ca="1">IF($B$104&gt;=1,$L$104,IF($B$106&gt;=1,$L$106,$L$97))</f>
        <v>1/2017</v>
      </c>
      <c r="M108" t="str">
        <f ca="1">IF($B$104&gt;=1,$M$104,IF($B$106&gt;=1,$M$106,$M$97))</f>
        <v>12/2016</v>
      </c>
      <c r="N108" t="str">
        <f ca="1">IF($B$104&gt;=1,$N$104,IF($B$106&gt;=1,$N$106,$N$97))</f>
        <v>11/2016</v>
      </c>
      <c r="O108" t="str">
        <f ca="1">IF($B$104&gt;=1,$O$104,IF($B$106&gt;=1,$O$106,$O$97))</f>
        <v>10/2016</v>
      </c>
      <c r="P108" t="str">
        <f ca="1">IF($B$104&gt;=1,$P$104,IF($B$106&gt;=1,$P$106,$P$97))</f>
        <v>9/2016</v>
      </c>
      <c r="Q108" t="str">
        <f ca="1">IF($B$104&gt;=1,$Q$104,IF($B$106&gt;=1,$Q$106,$Q$97))</f>
        <v>8/2016</v>
      </c>
      <c r="R108" t="str">
        <f ca="1">IF($B$104&gt;=1,$R$104,IF($B$106&gt;=1,$R$106,$R$97))</f>
        <v>7/2016</v>
      </c>
      <c r="S108" t="str">
        <f ca="1">IF($B$104&gt;=1,$S$104,IF($B$106&gt;=1,$S$106,$S$97))</f>
        <v>6/2016</v>
      </c>
      <c r="T108" t="str">
        <f ca="1">IF($B$104&gt;=1,$T$104,IF($B$106&gt;=1,$T$106,$T$97))</f>
        <v>5/2016</v>
      </c>
      <c r="U108" t="str">
        <f ca="1">IF($B$104&gt;=1,$U$104,IF($B$106&gt;=1,$U$106,$U$97))</f>
        <v>4/2016</v>
      </c>
      <c r="V108" t="str">
        <f ca="1">IF($B$104&gt;=1,$V$104,IF($B$106&gt;=1,$V$106,$V$97))</f>
        <v>3/2016</v>
      </c>
      <c r="W108" t="str">
        <f ca="1">IF($B$104&gt;=1,$W$104,IF($B$106&gt;=1,$W$106,$W$97))</f>
        <v>2/2016</v>
      </c>
      <c r="X108" t="str">
        <f ca="1">IF($B$104&gt;=1,$X$104,IF($B$106&gt;=1,$X$106,$X$97))</f>
        <v>1/2016</v>
      </c>
      <c r="Y108" t="str">
        <f ca="1">IF($B$104&gt;=1,$Y$104,IF($B$106&gt;=1,$Y$106,$Y$97))</f>
        <v>12/2015</v>
      </c>
      <c r="Z108" t="str">
        <f ca="1">IF($B$104&gt;=1,$Z$104,IF($B$106&gt;=1,$Z$106,$Z$97))</f>
        <v>11/2015</v>
      </c>
      <c r="AA108" t="str">
        <f ca="1">IF($B$104&gt;=1,$AA$104,IF($B$106&gt;=1,$AA$106,$AA$97))</f>
        <v>10/2015</v>
      </c>
      <c r="AB108" t="str">
        <f ca="1">IF($B$104&gt;=1,$AB$104,IF($B$106&gt;=1,$AB$106,$AB$97))</f>
        <v>9/2015</v>
      </c>
      <c r="AC108" t="str">
        <f ca="1">IF($B$104&gt;=1,$AC$104,IF($B$106&gt;=1,$AC$106,$AC$97))</f>
        <v>8/2015</v>
      </c>
      <c r="AD108" t="str">
        <f ca="1">IF($B$104&gt;=1,$AD$104,IF($B$106&gt;=1,$AD$106,$AD$97))</f>
        <v>7/2015</v>
      </c>
      <c r="AE108" t="str">
        <f ca="1">IF($B$104&gt;=1,$AE$104,IF($B$106&gt;=1,$AE$106,$AE$97))</f>
        <v>6/2015</v>
      </c>
      <c r="AF108" t="str">
        <f ca="1">IF($B$104&gt;=1,$AF$104,IF($B$106&gt;=1,$AF$106,$AF$97))</f>
        <v>5/2015</v>
      </c>
      <c r="AG108" t="str">
        <f ca="1">IF($B$104&gt;=1,$AG$104,IF($B$106&gt;=1,$AG$106,$AG$97))</f>
        <v>4/2015</v>
      </c>
      <c r="AH108" t="str">
        <f ca="1">IF($B$104&gt;=1,$AH$104,IF($B$106&gt;=1,$AH$106,$AH$97))</f>
        <v>3/2015</v>
      </c>
      <c r="AI108" t="str">
        <f ca="1">IF($B$104&gt;=1,$AI$104,IF($B$106&gt;=1,$AI$106,$AI$97))</f>
        <v>2/2015</v>
      </c>
      <c r="AJ108" t="str">
        <f ca="1">IF($B$104&gt;=1,$AJ$104,IF($B$106&gt;=1,$AJ$106,$AJ$97))</f>
        <v>1/2015</v>
      </c>
      <c r="AK108" t="str">
        <f ca="1">IF($B$104&gt;=1,$AK$104,IF($B$106&gt;=1,$AK$106,$AK$97))</f>
        <v>12/2014</v>
      </c>
      <c r="AL108" t="str">
        <f ca="1">IF($B$104&gt;=1,$AL$104,IF($B$106&gt;=1,$AL$106,$AL$97))</f>
        <v>11/2014</v>
      </c>
      <c r="AM108" t="str">
        <f ca="1">IF($B$104&gt;=1,$AM$104,IF($B$106&gt;=1,$AM$106,$AM$97))</f>
        <v>10/2014</v>
      </c>
      <c r="AN108" t="str">
        <f ca="1">IF($B$104&gt;=1,$AN$104,IF($B$106&gt;=1,$AN$106,$AN$97))</f>
        <v>9/2014</v>
      </c>
      <c r="AO108" t="str">
        <f ca="1">IF($B$104&gt;=1,$AO$104,IF($B$106&gt;=1,$AO$106,$AO$97))</f>
        <v>8/2014</v>
      </c>
      <c r="AP108" t="str">
        <f ca="1">IF($B$104&gt;=1,$AP$104,IF($B$106&gt;=1,$AP$106,$AP$97))</f>
        <v>7/2014</v>
      </c>
      <c r="AT108" t="str">
        <f>""</f>
        <v/>
      </c>
      <c r="AU108" t="str">
        <f>""</f>
        <v/>
      </c>
      <c r="AV108" t="str">
        <f>""</f>
        <v/>
      </c>
      <c r="AW108" t="str">
        <f>""</f>
        <v/>
      </c>
      <c r="AX108" t="str">
        <f>""</f>
        <v/>
      </c>
      <c r="AY108" t="str">
        <f>""</f>
        <v/>
      </c>
      <c r="AZ108" t="str">
        <f>""</f>
        <v/>
      </c>
      <c r="BA108" t="str">
        <f>""</f>
        <v/>
      </c>
      <c r="BB108" t="str">
        <f>""</f>
        <v/>
      </c>
      <c r="BC108" t="str">
        <f>""</f>
        <v/>
      </c>
      <c r="BD108" t="str">
        <f>""</f>
        <v/>
      </c>
      <c r="BE108" t="str">
        <f>""</f>
        <v/>
      </c>
      <c r="BF108" t="str">
        <f>""</f>
        <v/>
      </c>
      <c r="BG108" t="str">
        <f>""</f>
        <v/>
      </c>
      <c r="BH108" t="str">
        <f>""</f>
        <v/>
      </c>
      <c r="BI108" t="str">
        <f>""</f>
        <v/>
      </c>
      <c r="BJ108" t="str">
        <f>""</f>
        <v/>
      </c>
      <c r="BK108" t="str">
        <f>""</f>
        <v/>
      </c>
      <c r="BL108" t="str">
        <f>""</f>
        <v/>
      </c>
      <c r="BM108" t="str">
        <f>""</f>
        <v/>
      </c>
      <c r="BN108" t="str">
        <f>""</f>
        <v/>
      </c>
      <c r="BO108" t="str">
        <f>""</f>
        <v/>
      </c>
      <c r="BP108" t="str">
        <f>""</f>
        <v/>
      </c>
      <c r="BQ108" t="str">
        <f>""</f>
        <v/>
      </c>
      <c r="BR108" t="str">
        <f>""</f>
        <v/>
      </c>
      <c r="BS108" t="str">
        <f>""</f>
        <v/>
      </c>
      <c r="BT108" t="str">
        <f>""</f>
        <v/>
      </c>
      <c r="BU108" t="str">
        <f>""</f>
        <v/>
      </c>
      <c r="BV108" t="str">
        <f>""</f>
        <v/>
      </c>
      <c r="BW108" t="str">
        <f>""</f>
        <v/>
      </c>
      <c r="BX108" t="str">
        <f>""</f>
        <v/>
      </c>
      <c r="BY108" t="str">
        <f>""</f>
        <v/>
      </c>
      <c r="BZ108" t="str">
        <f>""</f>
        <v/>
      </c>
      <c r="CA108" t="str">
        <f>""</f>
        <v/>
      </c>
      <c r="CB108" t="str">
        <f>""</f>
        <v/>
      </c>
      <c r="CC108" t="str">
        <f>""</f>
        <v/>
      </c>
      <c r="CD108" t="str">
        <f>""</f>
        <v/>
      </c>
      <c r="CE108" t="str">
        <f>""</f>
        <v/>
      </c>
      <c r="CF108" t="str">
        <f>""</f>
        <v/>
      </c>
      <c r="CG108" t="str">
        <f>""</f>
        <v/>
      </c>
    </row>
    <row r="109" spans="1:85" x14ac:dyDescent="0.25">
      <c r="A109" t="str">
        <f>"BDH dynamic title"</f>
        <v>BDH dynamic title</v>
      </c>
      <c r="B109">
        <f ca="1">$B$108</f>
        <v>2</v>
      </c>
      <c r="C109" t="str">
        <f ca="1">$C$108</f>
        <v>10/2017</v>
      </c>
      <c r="D109" t="str">
        <f ca="1">$D$108</f>
        <v>9/2017</v>
      </c>
      <c r="E109" t="str">
        <f ca="1">$E$108</f>
        <v>8/2017</v>
      </c>
      <c r="F109" t="str">
        <f ca="1">$F$108</f>
        <v>7/2017</v>
      </c>
      <c r="G109" t="str">
        <f ca="1">$G$108</f>
        <v>6/2017</v>
      </c>
      <c r="H109" t="str">
        <f ca="1">$H$108</f>
        <v>5/2017</v>
      </c>
      <c r="I109" t="str">
        <f ca="1">$I$108</f>
        <v>4/2017</v>
      </c>
      <c r="J109" t="str">
        <f ca="1">$J$108</f>
        <v>3/2017</v>
      </c>
      <c r="K109" t="str">
        <f ca="1">$K$108</f>
        <v>2/2017</v>
      </c>
      <c r="L109" t="str">
        <f ca="1">$L$108</f>
        <v>1/2017</v>
      </c>
      <c r="M109" t="str">
        <f ca="1">$M$108</f>
        <v>12/2016</v>
      </c>
      <c r="N109" t="str">
        <f ca="1">$N$108</f>
        <v>11/2016</v>
      </c>
      <c r="O109" t="str">
        <f ca="1">$O$108</f>
        <v>10/2016</v>
      </c>
      <c r="P109" t="str">
        <f ca="1">$P$108</f>
        <v>9/2016</v>
      </c>
      <c r="Q109" t="str">
        <f ca="1">$Q$108</f>
        <v>8/2016</v>
      </c>
      <c r="R109" t="str">
        <f ca="1">$R$108</f>
        <v>7/2016</v>
      </c>
      <c r="S109" t="str">
        <f ca="1">$S$108</f>
        <v>6/2016</v>
      </c>
      <c r="T109" t="str">
        <f ca="1">$T$108</f>
        <v>5/2016</v>
      </c>
      <c r="U109" t="str">
        <f ca="1">$U$108</f>
        <v>4/2016</v>
      </c>
      <c r="V109" t="str">
        <f ca="1">$V$108</f>
        <v>3/2016</v>
      </c>
      <c r="W109" t="str">
        <f ca="1">$W$108</f>
        <v>2/2016</v>
      </c>
      <c r="X109" t="str">
        <f ca="1">$X$108</f>
        <v>1/2016</v>
      </c>
      <c r="Y109" t="str">
        <f ca="1">$Y$108</f>
        <v>12/2015</v>
      </c>
      <c r="Z109" t="str">
        <f ca="1">$Z$108</f>
        <v>11/2015</v>
      </c>
      <c r="AA109" t="str">
        <f ca="1">$AA$108</f>
        <v>10/2015</v>
      </c>
      <c r="AB109" t="str">
        <f ca="1">$AB$108</f>
        <v>9/2015</v>
      </c>
      <c r="AC109" t="str">
        <f ca="1">$AC$108</f>
        <v>8/2015</v>
      </c>
      <c r="AD109" t="str">
        <f ca="1">$AD$108</f>
        <v>7/2015</v>
      </c>
      <c r="AE109" t="str">
        <f ca="1">$AE$108</f>
        <v>6/2015</v>
      </c>
      <c r="AF109" t="str">
        <f ca="1">$AF$108</f>
        <v>5/2015</v>
      </c>
      <c r="AG109" t="str">
        <f ca="1">$AG$108</f>
        <v>4/2015</v>
      </c>
      <c r="AH109" t="str">
        <f ca="1">$AH$108</f>
        <v>3/2015</v>
      </c>
      <c r="AI109" t="str">
        <f ca="1">$AI$108</f>
        <v>2/2015</v>
      </c>
      <c r="AJ109" t="str">
        <f ca="1">$AJ$108</f>
        <v>1/2015</v>
      </c>
      <c r="AK109" t="str">
        <f ca="1">$AK$108</f>
        <v>12/2014</v>
      </c>
      <c r="AL109" t="str">
        <f ca="1">$AL$108</f>
        <v>11/2014</v>
      </c>
      <c r="AM109" t="str">
        <f ca="1">$AM$108</f>
        <v>10/2014</v>
      </c>
      <c r="AN109" t="str">
        <f ca="1">$AN$108</f>
        <v>9/2014</v>
      </c>
      <c r="AO109" t="str">
        <f ca="1">$AO$108</f>
        <v>8/2014</v>
      </c>
      <c r="AP109" t="str">
        <f ca="1">$AP$108</f>
        <v>7/2014</v>
      </c>
      <c r="AT109" t="str">
        <f>""</f>
        <v/>
      </c>
      <c r="AU109" t="str">
        <f>""</f>
        <v/>
      </c>
      <c r="AV109" t="str">
        <f>""</f>
        <v/>
      </c>
      <c r="AW109" t="str">
        <f>""</f>
        <v/>
      </c>
      <c r="AX109" t="str">
        <f>""</f>
        <v/>
      </c>
      <c r="AY109" t="str">
        <f>""</f>
        <v/>
      </c>
      <c r="AZ109" t="str">
        <f>""</f>
        <v/>
      </c>
      <c r="BA109" t="str">
        <f>""</f>
        <v/>
      </c>
      <c r="BB109" t="str">
        <f>""</f>
        <v/>
      </c>
      <c r="BC109" t="str">
        <f>""</f>
        <v/>
      </c>
      <c r="BD109" t="str">
        <f>""</f>
        <v/>
      </c>
      <c r="BE109" t="str">
        <f>""</f>
        <v/>
      </c>
      <c r="BF109" t="str">
        <f>""</f>
        <v/>
      </c>
      <c r="BG109" t="str">
        <f>""</f>
        <v/>
      </c>
      <c r="BH109" t="str">
        <f>""</f>
        <v/>
      </c>
      <c r="BI109" t="str">
        <f>""</f>
        <v/>
      </c>
      <c r="BJ109" t="str">
        <f>""</f>
        <v/>
      </c>
      <c r="BK109" t="str">
        <f>""</f>
        <v/>
      </c>
      <c r="BL109" t="str">
        <f>""</f>
        <v/>
      </c>
      <c r="BM109" t="str">
        <f>""</f>
        <v/>
      </c>
      <c r="BN109" t="str">
        <f>""</f>
        <v/>
      </c>
      <c r="BO109" t="str">
        <f>""</f>
        <v/>
      </c>
      <c r="BP109" t="str">
        <f>""</f>
        <v/>
      </c>
      <c r="BQ109" t="str">
        <f>""</f>
        <v/>
      </c>
      <c r="BR109" t="str">
        <f>""</f>
        <v/>
      </c>
      <c r="BS109" t="str">
        <f>""</f>
        <v/>
      </c>
      <c r="BT109" t="str">
        <f>""</f>
        <v/>
      </c>
      <c r="BU109" t="str">
        <f>""</f>
        <v/>
      </c>
      <c r="BV109" t="str">
        <f>""</f>
        <v/>
      </c>
      <c r="BW109" t="str">
        <f>""</f>
        <v/>
      </c>
      <c r="BX109" t="str">
        <f>""</f>
        <v/>
      </c>
      <c r="BY109" t="str">
        <f>""</f>
        <v/>
      </c>
      <c r="BZ109" t="str">
        <f>""</f>
        <v/>
      </c>
      <c r="CA109" t="str">
        <f>""</f>
        <v/>
      </c>
      <c r="CB109" t="str">
        <f>""</f>
        <v/>
      </c>
      <c r="CC109" t="str">
        <f>""</f>
        <v/>
      </c>
      <c r="CD109" t="str">
        <f>""</f>
        <v/>
      </c>
      <c r="CE109" t="str">
        <f>""</f>
        <v/>
      </c>
      <c r="CF109" t="str">
        <f>""</f>
        <v/>
      </c>
      <c r="CG109" t="str">
        <f>""</f>
        <v/>
      </c>
    </row>
    <row r="110" spans="1:85" x14ac:dyDescent="0.25">
      <c r="A110" t="str">
        <f>"No error found"</f>
        <v>No error found</v>
      </c>
      <c r="B110" t="str">
        <f>""</f>
        <v/>
      </c>
      <c r="C110" t="str">
        <f>""</f>
        <v/>
      </c>
      <c r="D110" t="str">
        <f>""</f>
        <v/>
      </c>
      <c r="E110" t="str">
        <f>""</f>
        <v/>
      </c>
      <c r="AT110" t="str">
        <f>""</f>
        <v/>
      </c>
      <c r="AU110" t="str">
        <f>""</f>
        <v/>
      </c>
      <c r="AV110" t="str">
        <f>""</f>
        <v/>
      </c>
      <c r="AW110" t="str">
        <f>""</f>
        <v/>
      </c>
      <c r="AX110" t="str">
        <f>""</f>
        <v/>
      </c>
      <c r="AY110" t="str">
        <f>""</f>
        <v/>
      </c>
      <c r="AZ110" t="str">
        <f>""</f>
        <v/>
      </c>
      <c r="BA110" t="str">
        <f>""</f>
        <v/>
      </c>
      <c r="BB110" t="str">
        <f>""</f>
        <v/>
      </c>
      <c r="BC110" t="str">
        <f>""</f>
        <v/>
      </c>
      <c r="BD110" t="str">
        <f>""</f>
        <v/>
      </c>
      <c r="BE110" t="str">
        <f>""</f>
        <v/>
      </c>
      <c r="BF110" t="str">
        <f>""</f>
        <v/>
      </c>
      <c r="BG110" t="str">
        <f>""</f>
        <v/>
      </c>
      <c r="BH110" t="str">
        <f>""</f>
        <v/>
      </c>
      <c r="BI110" t="str">
        <f>""</f>
        <v/>
      </c>
      <c r="BJ110" t="str">
        <f>""</f>
        <v/>
      </c>
      <c r="BK110" t="str">
        <f>""</f>
        <v/>
      </c>
      <c r="BL110" t="str">
        <f>""</f>
        <v/>
      </c>
      <c r="BM110" t="str">
        <f>""</f>
        <v/>
      </c>
      <c r="BN110" t="str">
        <f>""</f>
        <v/>
      </c>
      <c r="BO110" t="str">
        <f>""</f>
        <v/>
      </c>
      <c r="BP110" t="str">
        <f>""</f>
        <v/>
      </c>
      <c r="BQ110" t="str">
        <f>""</f>
        <v/>
      </c>
      <c r="BR110" t="str">
        <f>""</f>
        <v/>
      </c>
      <c r="BS110" t="str">
        <f>""</f>
        <v/>
      </c>
      <c r="BT110" t="str">
        <f>""</f>
        <v/>
      </c>
      <c r="BU110" t="str">
        <f>""</f>
        <v/>
      </c>
      <c r="BV110" t="str">
        <f>""</f>
        <v/>
      </c>
      <c r="BW110" t="str">
        <f>""</f>
        <v/>
      </c>
      <c r="BX110" t="str">
        <f>""</f>
        <v/>
      </c>
      <c r="BY110" t="str">
        <f>""</f>
        <v/>
      </c>
      <c r="BZ110" t="str">
        <f>""</f>
        <v/>
      </c>
      <c r="CA110" t="str">
        <f>""</f>
        <v/>
      </c>
      <c r="CB110" t="str">
        <f>""</f>
        <v/>
      </c>
      <c r="CC110" t="str">
        <f>""</f>
        <v/>
      </c>
      <c r="CD110" t="str">
        <f>""</f>
        <v/>
      </c>
      <c r="CE110" t="str">
        <f>""</f>
        <v/>
      </c>
      <c r="CF110" t="str">
        <f>""</f>
        <v/>
      </c>
      <c r="CG110" t="str">
        <f>""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3"/>
  <sheetViews>
    <sheetView workbookViewId="0"/>
  </sheetViews>
  <sheetFormatPr defaultColWidth="8.85546875" defaultRowHeight="15" x14ac:dyDescent="0.25"/>
  <cols>
    <col min="1" max="1" width="9.140625" bestFit="1" customWidth="1"/>
  </cols>
  <sheetData>
    <row r="1" spans="1:1" x14ac:dyDescent="0.25">
      <c r="A1" s="1"/>
    </row>
    <row r="2" spans="1:1" x14ac:dyDescent="0.25">
      <c r="A2" t="s">
        <v>0</v>
      </c>
    </row>
    <row r="3" spans="1:1" x14ac:dyDescent="0.25">
      <c r="A3" t="s">
        <v>1</v>
      </c>
    </row>
    <row r="5" spans="1:1" x14ac:dyDescent="0.25">
      <c r="A5" t="s">
        <v>2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6</v>
      </c>
    </row>
    <row r="11" spans="1:1" x14ac:dyDescent="0.25">
      <c r="A11" t="s">
        <v>7</v>
      </c>
    </row>
    <row r="12" spans="1:1" x14ac:dyDescent="0.25">
      <c r="A12" t="s">
        <v>8</v>
      </c>
    </row>
    <row r="13" spans="1:1" x14ac:dyDescent="0.25">
      <c r="A13" t="s">
        <v>9</v>
      </c>
    </row>
    <row r="14" spans="1:1" x14ac:dyDescent="0.25">
      <c r="A14" t="s">
        <v>10</v>
      </c>
    </row>
    <row r="15" spans="1:1" x14ac:dyDescent="0.25">
      <c r="A15" t="s">
        <v>11</v>
      </c>
    </row>
    <row r="16" spans="1:1" x14ac:dyDescent="0.25">
      <c r="A16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20" spans="1:1" x14ac:dyDescent="0.25">
      <c r="A20" t="s">
        <v>15</v>
      </c>
    </row>
    <row r="21" spans="1:1" x14ac:dyDescent="0.25">
      <c r="A21" t="s">
        <v>16</v>
      </c>
    </row>
    <row r="22" spans="1:1" x14ac:dyDescent="0.25">
      <c r="A22" t="s">
        <v>17</v>
      </c>
    </row>
    <row r="23" spans="1:1" x14ac:dyDescent="0.25">
      <c r="A23" t="s">
        <v>18</v>
      </c>
    </row>
    <row r="24" spans="1:1" x14ac:dyDescent="0.25">
      <c r="A24" t="s">
        <v>19</v>
      </c>
    </row>
    <row r="25" spans="1:1" x14ac:dyDescent="0.25">
      <c r="A25" t="s">
        <v>20</v>
      </c>
    </row>
    <row r="26" spans="1:1" x14ac:dyDescent="0.25">
      <c r="A26" t="s">
        <v>21</v>
      </c>
    </row>
    <row r="27" spans="1:1" x14ac:dyDescent="0.25">
      <c r="A27" t="s">
        <v>22</v>
      </c>
    </row>
    <row r="28" spans="1:1" x14ac:dyDescent="0.25">
      <c r="A28" t="s">
        <v>23</v>
      </c>
    </row>
    <row r="29" spans="1:1" x14ac:dyDescent="0.25">
      <c r="A29" t="s">
        <v>24</v>
      </c>
    </row>
    <row r="30" spans="1:1" x14ac:dyDescent="0.25">
      <c r="A30" t="s">
        <v>25</v>
      </c>
    </row>
    <row r="31" spans="1:1" x14ac:dyDescent="0.25">
      <c r="A31" t="s">
        <v>2</v>
      </c>
    </row>
    <row r="32" spans="1:1" x14ac:dyDescent="0.25">
      <c r="A32" t="s">
        <v>26</v>
      </c>
    </row>
    <row r="33" spans="1:1" x14ac:dyDescent="0.25">
      <c r="A3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BIData</vt:lpstr>
      <vt:lpstr>ReferenceData</vt:lpstr>
      <vt:lpstr>Help-Reference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Farts of War</cp:lastModifiedBy>
  <dcterms:created xsi:type="dcterms:W3CDTF">2013-04-03T15:49:21Z</dcterms:created>
  <dcterms:modified xsi:type="dcterms:W3CDTF">2017-12-05T07:16:58Z</dcterms:modified>
</cp:coreProperties>
</file>